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65" windowWidth="21840" windowHeight="12705"/>
  </bookViews>
  <sheets>
    <sheet name="декабрь 2018" sheetId="86" r:id="rId1"/>
    <sheet name="ноябрь 2018" sheetId="85" r:id="rId2"/>
    <sheet name="октябрь 2018" sheetId="84" r:id="rId3"/>
    <sheet name="сентябрь 2018" sheetId="83" r:id="rId4"/>
    <sheet name="август 2018" sheetId="82" r:id="rId5"/>
    <sheet name="июль 2018" sheetId="81" r:id="rId6"/>
    <sheet name="июнь 2018" sheetId="80" r:id="rId7"/>
    <sheet name="май 2018" sheetId="79" r:id="rId8"/>
    <sheet name="апрель 18" sheetId="78" r:id="rId9"/>
    <sheet name="март 18" sheetId="77" r:id="rId10"/>
    <sheet name="фев.18" sheetId="76" r:id="rId11"/>
    <sheet name="янв.18" sheetId="75" r:id="rId12"/>
    <sheet name="дек.17" sheetId="74" r:id="rId13"/>
    <sheet name="нояб.2017" sheetId="73" r:id="rId14"/>
    <sheet name="окт. 2017" sheetId="72" r:id="rId15"/>
    <sheet name="сент. 2017" sheetId="71" r:id="rId16"/>
    <sheet name="август 2017" sheetId="69" r:id="rId17"/>
    <sheet name="июль 2017" sheetId="68" r:id="rId18"/>
    <sheet name="июнь 2017" sheetId="67" r:id="rId19"/>
    <sheet name="май 2017" sheetId="66" r:id="rId20"/>
    <sheet name="апрель 2017" sheetId="65" r:id="rId21"/>
    <sheet name="март 2017" sheetId="64" r:id="rId22"/>
    <sheet name="февраль 2017" sheetId="63" r:id="rId23"/>
    <sheet name="январь 2017" sheetId="62" r:id="rId24"/>
    <sheet name="декабрь 2016" sheetId="61" r:id="rId25"/>
  </sheets>
  <externalReferences>
    <externalReference r:id="rId26"/>
  </externalReferenc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6" i="86" l="1"/>
  <c r="F9" i="86"/>
  <c r="H8" i="86" s="1"/>
  <c r="F11" i="86"/>
  <c r="F10" i="86"/>
  <c r="H4" i="84"/>
  <c r="H4" i="85"/>
  <c r="H4" i="86"/>
  <c r="F9" i="85" l="1"/>
  <c r="F22" i="85" l="1"/>
  <c r="F20" i="85"/>
  <c r="F17" i="85"/>
  <c r="F15" i="85"/>
  <c r="F14" i="85"/>
  <c r="F13" i="85"/>
  <c r="F12" i="85"/>
  <c r="F11" i="85"/>
  <c r="F10" i="85"/>
  <c r="H26" i="85"/>
  <c r="H8" i="85"/>
  <c r="H23" i="84" l="1"/>
  <c r="F9" i="84"/>
  <c r="F19" i="84"/>
  <c r="F17" i="84"/>
  <c r="F16" i="84"/>
  <c r="F11" i="84"/>
  <c r="F14" i="84"/>
  <c r="F13" i="84"/>
  <c r="F12" i="84"/>
  <c r="F10" i="84"/>
  <c r="H8" i="84"/>
  <c r="H23" i="83"/>
  <c r="F19" i="83"/>
  <c r="F17" i="83"/>
  <c r="F16" i="83"/>
  <c r="F14" i="83"/>
  <c r="F13" i="83"/>
  <c r="F12" i="83"/>
  <c r="F11" i="83"/>
  <c r="F10" i="83"/>
  <c r="F9" i="83"/>
  <c r="H8" i="83"/>
  <c r="H4" i="83"/>
  <c r="H23" i="82"/>
  <c r="F19" i="82"/>
  <c r="F17" i="82"/>
  <c r="F16" i="82"/>
  <c r="F14" i="82"/>
  <c r="F13" i="82"/>
  <c r="F11" i="82"/>
  <c r="F12" i="82"/>
  <c r="F10" i="82"/>
  <c r="F9" i="82"/>
  <c r="H4" i="82"/>
  <c r="H8" i="82"/>
  <c r="H23" i="81"/>
  <c r="F9" i="81"/>
  <c r="F19" i="81"/>
  <c r="F17" i="81"/>
  <c r="F16" i="81"/>
  <c r="F13" i="81"/>
  <c r="F12" i="81"/>
  <c r="F11" i="81"/>
  <c r="F10" i="81"/>
  <c r="H4" i="81"/>
  <c r="H8" i="81"/>
  <c r="F19" i="80"/>
  <c r="F17" i="80"/>
  <c r="F16" i="80"/>
  <c r="F14" i="80"/>
  <c r="F12" i="80"/>
  <c r="F11" i="80"/>
  <c r="F10" i="80"/>
  <c r="F9" i="80"/>
  <c r="H23" i="80"/>
  <c r="H4" i="80"/>
  <c r="H8" i="80"/>
  <c r="H23" i="79"/>
  <c r="F11" i="79"/>
  <c r="F19" i="79"/>
  <c r="F18" i="79"/>
  <c r="F17" i="79"/>
  <c r="F16" i="79"/>
  <c r="F14" i="79"/>
  <c r="F13" i="79"/>
  <c r="F12" i="79"/>
  <c r="F10" i="79"/>
  <c r="F9" i="79"/>
  <c r="H23" i="78"/>
  <c r="H4" i="79"/>
  <c r="H8" i="79"/>
  <c r="F9" i="78"/>
  <c r="F11" i="78"/>
  <c r="F19" i="78"/>
  <c r="F17" i="78"/>
  <c r="F16" i="78"/>
  <c r="F13" i="78"/>
  <c r="F12" i="78"/>
  <c r="F10" i="78"/>
  <c r="H8" i="78"/>
  <c r="H23" i="76"/>
  <c r="H4" i="78"/>
  <c r="H23" i="77"/>
  <c r="F9" i="77"/>
  <c r="F11" i="77"/>
  <c r="F19" i="77"/>
  <c r="F10" i="77"/>
  <c r="F12" i="77"/>
  <c r="F13" i="77"/>
  <c r="F14" i="77"/>
  <c r="F17" i="77"/>
  <c r="H8" i="77"/>
  <c r="H4" i="77"/>
  <c r="F9" i="76"/>
  <c r="F19" i="76"/>
  <c r="F17" i="76"/>
  <c r="F14" i="76"/>
  <c r="F13" i="76"/>
  <c r="F12" i="76"/>
  <c r="F11" i="76"/>
  <c r="F10" i="76"/>
  <c r="H8" i="76"/>
  <c r="H23" i="75"/>
  <c r="H4" i="76"/>
  <c r="F14" i="75"/>
  <c r="F9" i="75"/>
  <c r="F19" i="75"/>
  <c r="F17" i="75"/>
  <c r="F13" i="75"/>
  <c r="F12" i="75"/>
  <c r="F11" i="75"/>
  <c r="F10" i="75"/>
  <c r="H23" i="74"/>
  <c r="H4" i="75"/>
  <c r="H8" i="75"/>
  <c r="F9" i="74"/>
  <c r="F19" i="74"/>
  <c r="F13" i="74"/>
  <c r="F12" i="74"/>
  <c r="F11" i="74"/>
  <c r="F10" i="74"/>
  <c r="H23" i="73"/>
  <c r="H4" i="74"/>
  <c r="H8" i="74"/>
  <c r="F11" i="73"/>
  <c r="F19" i="73"/>
  <c r="F9" i="73"/>
  <c r="F13" i="73"/>
  <c r="F12" i="73"/>
  <c r="F10" i="73"/>
  <c r="H23" i="72"/>
  <c r="H4" i="73"/>
  <c r="H8" i="73"/>
  <c r="F12" i="72"/>
  <c r="F9" i="72"/>
  <c r="F19" i="72"/>
  <c r="F17" i="72"/>
  <c r="F14" i="72"/>
  <c r="F13" i="72"/>
  <c r="F11" i="72"/>
  <c r="F10" i="72"/>
  <c r="H23" i="71"/>
  <c r="H4" i="72"/>
  <c r="H8" i="72"/>
  <c r="F19" i="71"/>
  <c r="F14" i="71"/>
  <c r="F13" i="71"/>
  <c r="F12" i="71"/>
  <c r="F11" i="71"/>
  <c r="F10" i="71"/>
  <c r="F9" i="71"/>
  <c r="H4" i="71"/>
  <c r="H8" i="71"/>
  <c r="H23" i="69"/>
  <c r="F9" i="69"/>
  <c r="F19" i="69"/>
  <c r="F14" i="69"/>
  <c r="F13" i="69"/>
  <c r="F12" i="69"/>
  <c r="F11" i="69"/>
  <c r="F10" i="69"/>
  <c r="H8" i="69"/>
  <c r="H23" i="68"/>
  <c r="H4" i="69"/>
  <c r="F13" i="68"/>
  <c r="F11" i="68"/>
  <c r="F9" i="68"/>
  <c r="F10" i="68"/>
  <c r="F12" i="68"/>
  <c r="H8" i="68"/>
  <c r="H23" i="67"/>
  <c r="H4" i="68"/>
  <c r="F19" i="67"/>
  <c r="F9" i="67"/>
  <c r="F10" i="67"/>
  <c r="F11" i="67"/>
  <c r="F12" i="67"/>
  <c r="F13" i="67"/>
  <c r="H8" i="67"/>
  <c r="F9" i="66"/>
  <c r="F11" i="66"/>
  <c r="F10" i="66"/>
  <c r="F13" i="66"/>
  <c r="H8" i="66"/>
  <c r="H23" i="66"/>
  <c r="H4" i="67"/>
  <c r="H23" i="65"/>
  <c r="H4" i="66"/>
  <c r="F11" i="65"/>
  <c r="F9" i="65"/>
  <c r="F10" i="65"/>
  <c r="F12" i="65"/>
  <c r="F19" i="65"/>
  <c r="H8" i="65"/>
  <c r="H23" i="64"/>
  <c r="H4" i="65"/>
  <c r="F9" i="64"/>
  <c r="F11" i="64"/>
  <c r="F10" i="64"/>
  <c r="H23" i="63"/>
  <c r="H4" i="64"/>
  <c r="H8" i="64"/>
  <c r="F9" i="63"/>
  <c r="H23" i="62"/>
  <c r="H4" i="63"/>
  <c r="H8" i="63"/>
  <c r="F12" i="62"/>
  <c r="H7" i="61"/>
  <c r="H23" i="61"/>
  <c r="H4" i="62"/>
  <c r="H8" i="62"/>
  <c r="H8" i="61"/>
</calcChain>
</file>

<file path=xl/sharedStrings.xml><?xml version="1.0" encoding="utf-8"?>
<sst xmlns="http://schemas.openxmlformats.org/spreadsheetml/2006/main" count="456" uniqueCount="136">
  <si>
    <t>Поступило в счет оплаты содержания и ремонта жилья,коммунальных услуг</t>
  </si>
  <si>
    <t>Содержание и ремонт жилья</t>
  </si>
  <si>
    <t>Горячая вода</t>
  </si>
  <si>
    <t>Холодная вода</t>
  </si>
  <si>
    <t>Водоотведение</t>
  </si>
  <si>
    <t>Электроэнергия</t>
  </si>
  <si>
    <t>Домофон</t>
  </si>
  <si>
    <t>Пеня</t>
  </si>
  <si>
    <t>Отопление Гкл</t>
  </si>
  <si>
    <t>Антенна</t>
  </si>
  <si>
    <t>Капитальный ремонт</t>
  </si>
  <si>
    <t>Судебные расходы</t>
  </si>
  <si>
    <t>С уважением, ООО "Управляющая организация "Мой дом"</t>
  </si>
  <si>
    <t>Отчет ТСН "Локомотивная,6 "                                   по ул. Локомотивная,6                                                                   за период 01.12.2016-31.12.2016гг.</t>
  </si>
  <si>
    <t>Задолженность собственников на 01.12.2016</t>
  </si>
  <si>
    <t>Начислено за декабрь 2016г</t>
  </si>
  <si>
    <t>Просроченная задолженность на 31.12.2016</t>
  </si>
  <si>
    <t>Выполненные работы: 1. Завершены работы по ремонту ВРУ (основного электрощита на вводе в дом). 2. Продолжаются работы по восстановлению работы общедомовых приборов учета тепла.</t>
  </si>
  <si>
    <t>Отчет ТСН "Локомотивная,6 "                                   по ул. Локомотивная,6                                                                   за период 01.01.2017-31.01.2017гг.</t>
  </si>
  <si>
    <t>Задолженность собственников на 01.01.2017</t>
  </si>
  <si>
    <t>Начислено за январь 2017г</t>
  </si>
  <si>
    <t>Просроченная задолженность на 31.01.2017</t>
  </si>
  <si>
    <t>Выполненные работы: 1. Завершены работы по восстановлению работы общедомовых приборов учета тепла. 2. Проведены работы по устройству рубильников и розеток для подключения тепловых пунктов к автономному источнику питания при отключении электроэнергии.</t>
  </si>
  <si>
    <t>Отчет ТСН "Локомотивная,6 "                                   по ул. Локомотивная,6                                                                   за период 01.02.2017-28.02.2017гг.</t>
  </si>
  <si>
    <t>Задолженность собственников на 01.02.2017</t>
  </si>
  <si>
    <t>Начислено за февраль 2017г</t>
  </si>
  <si>
    <t>Просроченная задолженность на 28.02.2017</t>
  </si>
  <si>
    <t xml:space="preserve">Выполненные работы: </t>
  </si>
  <si>
    <t>Отчет ТСН "Локомотивная,6 "                                   по ул. Локомотивная,6                                                                   за период 01.03.2017-31.03.2017гг.</t>
  </si>
  <si>
    <t>Задолженность собственников на 01.03.2017</t>
  </si>
  <si>
    <t>Начислено за март 2017г</t>
  </si>
  <si>
    <t>Выполненные работы: 1. Завершены работы по ремонту и вводу в эксплуатацию общедомовых приборов учета тепла. 2. Заказаны пластиковые окна в третий подъезд.</t>
  </si>
  <si>
    <t>Отчет ТСН "Локомотивная,6 "                                   по ул. Локомотивная,6                                                                   за период 01.04.2017-30.04.2017гг.</t>
  </si>
  <si>
    <t>Задолженность собственников на 01.04.2017</t>
  </si>
  <si>
    <t>Начислено за апрель 2017г</t>
  </si>
  <si>
    <t xml:space="preserve">Выполненные работы: 1. Произведена замена окон на пластиковые в третьем подъезде. 2. Выполнен ремонт песочницы напротив 6-го подъезда. 3. Завезен песок в песочницы. </t>
  </si>
  <si>
    <t>Отчет ТСН "Локомотивная,6 "                                   по ул. Локомотивная,6                                                                   за период 01.05.2017-31.05.2017гг.</t>
  </si>
  <si>
    <t>Задолженность собственников на 01.05.2017</t>
  </si>
  <si>
    <t>Начислено за май 2017г</t>
  </si>
  <si>
    <t>Выполненные работы: 1. Установлены пластиковые окна в третий подъезд. 2. Начаты работы по ремонту подъезда.</t>
  </si>
  <si>
    <t>Отчет ТСН "Локомотивная,6 "                                   по ул. Локомотивная,6                                                                   за период 01.06.2017-30.06.2017гг.</t>
  </si>
  <si>
    <t>Задолженность собственников на 01.06.2017</t>
  </si>
  <si>
    <t>Начислено за июнь 2017г</t>
  </si>
  <si>
    <t>Просроченная задолженность на 31.03.2017</t>
  </si>
  <si>
    <t>Просроченная задолженность на 30.04.2017</t>
  </si>
  <si>
    <t>Просроченная задолженность на 31.05.2017</t>
  </si>
  <si>
    <t>Просроченная задолженность на 30.06.2017</t>
  </si>
  <si>
    <t>Выполненные работы: 1. Завершены работы по ремонту 3-го подъезда. 2. Установлена скамейка на детской площадке. 3. Начаты работы по ремонту кровли в местах протекания. 4. Ведется проектирование узла учета холодного водоснабжения.</t>
  </si>
  <si>
    <t>Отчет ТСН "Локомотивная,6 "                                   по ул. Локомотивная,6                                                                   за период 01.07.2017-31.07.2017гг.</t>
  </si>
  <si>
    <t>Задолженность собственников на 01.07.2017</t>
  </si>
  <si>
    <t>Начислено за июль 2017г</t>
  </si>
  <si>
    <t>Просроченная задолженность на 31.07.2017</t>
  </si>
  <si>
    <t>Отчет ТСН "Локомотивная,6 "                                   по ул. Локомотивная,6                                                                   за период 01.08.2017-31.08.2017гг.</t>
  </si>
  <si>
    <t>Задолженность собственников на 01.08.2017</t>
  </si>
  <si>
    <t>Начислено за август 2017г</t>
  </si>
  <si>
    <t>Просроченная задолженность на 31.08.2017</t>
  </si>
  <si>
    <t xml:space="preserve">Выполненные работы: 1. Завершены  работы по ремонту кровли в местах протекания. 2. Завершены работы по частичному ремонту асфальтного покрытия во дворе дома. </t>
  </si>
  <si>
    <t>Отчет ТСН "Локомотивная,6 "                                   по ул. Локомотивная,6                                                                   за период 01.09.2017-30.09.2017гг.</t>
  </si>
  <si>
    <t>Задолженность собственников на 01.09.2017</t>
  </si>
  <si>
    <t>Начислено за сентябрь 2017г</t>
  </si>
  <si>
    <t>Просроченная задолженность на 30.09.2017</t>
  </si>
  <si>
    <t>Выполненные работы: 1. Выполнен частичный ремонт асфальтного покрытия на дворовой территории.</t>
  </si>
  <si>
    <t>Отчет ТСН "Локомотивная,6 "                                   по ул. Локомотивная,6                                                                   за период 01.10.2017-31.10.2017гг.</t>
  </si>
  <si>
    <t>Задолженность собственников на 01.10.2017</t>
  </si>
  <si>
    <t>Начислено за октябрь 2017г</t>
  </si>
  <si>
    <t>Просроченная задолженность на 31.10.2017</t>
  </si>
  <si>
    <t>Выполненные работы: 1. Заказана тамбурная алюминиевая дверь в третий подъезд.</t>
  </si>
  <si>
    <t>Отчет ТСН "Локомотивная,6 "                                   по ул. Локомотивная,6                                                                   за период 01.11.2017 по 30.11.2017 гг.</t>
  </si>
  <si>
    <t>Просроченная задолженность на 30.11.2017</t>
  </si>
  <si>
    <t>Начислено за ноябрь 2017г</t>
  </si>
  <si>
    <t>Задолженность собственников на 01.11.2017</t>
  </si>
  <si>
    <t>Отчет ТСН "Локомотивная,6 "                                   по ул. Локомотивная,6                                                                   за период 01.12.2017 по 31.12.2017 гг.</t>
  </si>
  <si>
    <t>Задолженность собственников на 01.12.2017</t>
  </si>
  <si>
    <t>Начислено за декабрь 2017г</t>
  </si>
  <si>
    <t>Просроченная задолженность на 31.12.2017</t>
  </si>
  <si>
    <t>Выполненные работы: 1. Установлена тамбурная алюминиевая дверь в третий подъезд. 2. Начата работы по капитальному ремонту электрооборудования дома.</t>
  </si>
  <si>
    <t>Отчет ТСН "Локомотивная,6 "                                   по ул. Локомотивная,6                                                                   за период 01.01.2018 по 31.01.2018 гг.</t>
  </si>
  <si>
    <t>Задолженность собственников на 01.01.2018</t>
  </si>
  <si>
    <t>Просроченная задолженность на 31.01.2018</t>
  </si>
  <si>
    <t>Начислено за январь 2018г</t>
  </si>
  <si>
    <t xml:space="preserve">Выполненные работы: 1. Продолжаются работы по капитальному ремонту электрооборудования дома. 2. Начаты работы по монтажу системы подъездного отопления. </t>
  </si>
  <si>
    <t>Отчет ТСН "Локомотивная,6 "                                   по ул. Локомотивная,6                                                                   за период 01.02.2018 по 28.02.2018 гг.</t>
  </si>
  <si>
    <t>Задолженность собственников на 01.02.2018</t>
  </si>
  <si>
    <t>Начислено за февраль 2018г</t>
  </si>
  <si>
    <t>Просроченная задолженность на 28.02.2018</t>
  </si>
  <si>
    <t>Отчет ТСН "Локомотивная,6 "                                   по ул. Локомотивная,6                                                                   за период 01.03.2018 по 31.03.2018 гг.</t>
  </si>
  <si>
    <t>Начислено за март 2018г</t>
  </si>
  <si>
    <t>Просроченная задолженность на 31.03.2018</t>
  </si>
  <si>
    <t>Выполненные работы: 1. Завершены работы по капитальному ремонту электрооборудования дома. 2. Завершены работы по монтажу системы подъездного отопления. 3. Начаты работы по утеплению торцевой стены 6-го подъезда.</t>
  </si>
  <si>
    <t>Отчет ТСН "Локомотивная,6 "                                   по ул. Локомотивная,6                                                                   за период 01.04.2018 по 30.04.2018 гг.</t>
  </si>
  <si>
    <t>Задолженность собственников на 01.03.2018</t>
  </si>
  <si>
    <t>Задолженность собственников на 01.04.2018г.</t>
  </si>
  <si>
    <t>Начислено за апрель 2018г</t>
  </si>
  <si>
    <t>Просроченная задолженность на 30.04.2018</t>
  </si>
  <si>
    <t>Выполненные работы: 1. Завершены  работы по утеплению торцевой стены 6-го подъезда.</t>
  </si>
  <si>
    <t>Отчет ТСН "Локомотивная,6 "                                   по ул. Локомотивная,6                                                                   за период 01.05.2018 по 31.05.2018 гг.</t>
  </si>
  <si>
    <t>Задолженность собственников на 01.05.2018г.</t>
  </si>
  <si>
    <t>Начислено за май 2018г</t>
  </si>
  <si>
    <t>Просроченная задолженность на 31.05.2018</t>
  </si>
  <si>
    <t>Выполненные работы: 1. Начаты работы по ремонту подъезда; 2. Завершены работы по ремонту кровли над входами во все подъезды.</t>
  </si>
  <si>
    <t>Отчет ТСН "Локомотивная,6 "                                   по ул. Локомотивная,6                                                                   за период 01.06.2018 по 30.06.2018 гг.</t>
  </si>
  <si>
    <t>Задолженность собственников на 01.06.2018г.</t>
  </si>
  <si>
    <t>Начислено за июнь 2018г</t>
  </si>
  <si>
    <t>Просроченная задолженность на 30.06.2018</t>
  </si>
  <si>
    <t xml:space="preserve">Выполненные работы: 1. Завершены работы по ремонту подъезда; 2. Начаты работы по ремонту асфальтного покрытия на дворовой территории. </t>
  </si>
  <si>
    <t>Отчет ТСН "Локомотивная,6 "                                   по ул. Локомотивная,6                                                                   за период 01.07.2018 по 31.07.2018 гг.</t>
  </si>
  <si>
    <t>Задолженность собственников на 01.07.2018г.</t>
  </si>
  <si>
    <t>Просроченная задолженность на 31.07.2018</t>
  </si>
  <si>
    <t>Начислено за июль 2018г</t>
  </si>
  <si>
    <t>С уважением, ООО "Розенталь Групп "Ботейн"</t>
  </si>
  <si>
    <t xml:space="preserve">Выполненные работы: 1. Завершены работы по ремонту подъезда; 2. Завершены работы по ремонту асфальтного покрытия на дворовой территории. </t>
  </si>
  <si>
    <t>Отчет ТСН "Локомотивная,6 "                                   по ул. Локомотивная,6                                                                   за период 01.08.2018 по 31.08.2018 гг.</t>
  </si>
  <si>
    <t>Задолженность собственников на 01.08.2018г.</t>
  </si>
  <si>
    <t>Начислено за август 2018г</t>
  </si>
  <si>
    <t>Просроченная задолженность на 31.08.2018</t>
  </si>
  <si>
    <t>Отчет ТСН "Локомотивная,6 "                                   по ул. Локомотивная,6                                                                   за период 01.09.2018 по 30.09.2018 гг.</t>
  </si>
  <si>
    <t>Задолженность собственников на 01.09.2018г.</t>
  </si>
  <si>
    <t>Начислено за сентябрь 2018г</t>
  </si>
  <si>
    <t>Просроченная задолженность на 30.09.2018</t>
  </si>
  <si>
    <t>Отчет ТСН "Локомотивная,6 "                                   по ул. Локомотивная,6                                                                   за период 01.10.2018 по 31.10.2018 гг.</t>
  </si>
  <si>
    <t>Задолженность собственников на 01.10.2018г.</t>
  </si>
  <si>
    <t>Начислено за октябрь 2018г</t>
  </si>
  <si>
    <t>Просроченная задолженность на 31.10.2018</t>
  </si>
  <si>
    <t xml:space="preserve">Выполненные работы: 1. Установлена тамбурная дверь в шестом подъезде. </t>
  </si>
  <si>
    <t>Отчет ТСН "Локомотивная,6 "                                   по ул. Локомотивная,6                                                                   за период 01.11.2018 по 30.11.2018 гг.</t>
  </si>
  <si>
    <t>Задолженность собственников на 01.11.2018г.</t>
  </si>
  <si>
    <t>Начислено за ноябрь 2018г</t>
  </si>
  <si>
    <t>Компонент на тепловую энергию</t>
  </si>
  <si>
    <t>Компонент на теплоноситель</t>
  </si>
  <si>
    <t>Платные услуги</t>
  </si>
  <si>
    <t>Просроченная задолженность на 30.11.2018</t>
  </si>
  <si>
    <t xml:space="preserve">Выполненные работы: 1. Установлена  дверь на техническое помещение в шестом подъезде. </t>
  </si>
  <si>
    <t>Отчет ТСН "Локомотивная,6 "                                   по ул. Локомотивная,6                                                                   за период 01.12.2018 по 31.12.2018 гг.</t>
  </si>
  <si>
    <t>Задолженность собственников на 01.12.2018г.</t>
  </si>
  <si>
    <t>Начислено за декабрь 2018г</t>
  </si>
  <si>
    <t>Просроченная задолженность на 31.12.2018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</si>
</sst>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20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0" xfId="0" applyFont="1"/>
    <xf numFmtId="2" fontId="2" fillId="0" borderId="2" xfId="0" applyNumberFormat="1" applyFont="1" applyBorder="1"/>
    <xf numFmtId="0" fontId="3" fillId="0" borderId="0" xfId="0" applyFont="1" applyBorder="1" applyAlignment="1">
      <alignment horizontal="left"/>
    </xf>
    <xf numFmtId="2" fontId="2" fillId="2" borderId="5" xfId="0" applyNumberFormat="1" applyFont="1" applyFill="1" applyBorder="1"/>
    <xf numFmtId="2" fontId="2" fillId="0" borderId="0" xfId="0" applyNumberFormat="1" applyFont="1"/>
    <xf numFmtId="0" fontId="2" fillId="0" borderId="2" xfId="0" applyFont="1" applyBorder="1"/>
    <xf numFmtId="2" fontId="0" fillId="0" borderId="0" xfId="0" applyNumberFormat="1"/>
    <xf numFmtId="2" fontId="2" fillId="0" borderId="8" xfId="0" applyNumberFormat="1" applyFont="1" applyBorder="1"/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4" fontId="2" fillId="0" borderId="2" xfId="0" applyNumberFormat="1" applyFont="1" applyBorder="1"/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4" fontId="2" fillId="0" borderId="8" xfId="0" applyNumberFormat="1" applyFont="1" applyBorder="1"/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4" fontId="2" fillId="2" borderId="5" xfId="0" applyNumberFormat="1" applyFont="1" applyFill="1" applyBorder="1"/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Border="1" applyAlignment="1">
      <alignment vertical="top" wrapText="1"/>
    </xf>
    <xf numFmtId="0" fontId="2" fillId="0" borderId="0" xfId="0" applyFont="1" applyAlignment="1">
      <alignment horizontal="right"/>
    </xf>
    <xf numFmtId="0" fontId="4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4" fontId="5" fillId="0" borderId="12" xfId="0" applyNumberFormat="1" applyFont="1" applyBorder="1" applyAlignment="1"/>
    <xf numFmtId="4" fontId="5" fillId="0" borderId="10" xfId="0" applyNumberFormat="1" applyFont="1" applyBorder="1" applyAlignment="1"/>
    <xf numFmtId="4" fontId="5" fillId="0" borderId="13" xfId="0" applyNumberFormat="1" applyFont="1" applyBorder="1" applyAlignment="1"/>
    <xf numFmtId="0" fontId="2" fillId="0" borderId="1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 vertical="top" wrapText="1"/>
    </xf>
    <xf numFmtId="0" fontId="0" fillId="0" borderId="10" xfId="0" applyBorder="1" applyAlignment="1">
      <alignment wrapText="1"/>
    </xf>
    <xf numFmtId="0" fontId="0" fillId="0" borderId="13" xfId="0" applyBorder="1" applyAlignment="1">
      <alignment wrapText="1"/>
    </xf>
    <xf numFmtId="0" fontId="4" fillId="0" borderId="9" xfId="0" applyFont="1" applyBorder="1" applyAlignment="1">
      <alignment horizontal="left" wrapText="1"/>
    </xf>
    <xf numFmtId="0" fontId="4" fillId="0" borderId="10" xfId="0" applyFont="1" applyBorder="1" applyAlignment="1">
      <alignment horizontal="left" wrapText="1"/>
    </xf>
    <xf numFmtId="0" fontId="4" fillId="0" borderId="13" xfId="0" applyFont="1" applyBorder="1" applyAlignment="1">
      <alignment horizontal="left" wrapText="1"/>
    </xf>
    <xf numFmtId="4" fontId="5" fillId="0" borderId="12" xfId="0" applyNumberFormat="1" applyFont="1" applyBorder="1" applyAlignment="1">
      <alignment horizontal="right"/>
    </xf>
    <xf numFmtId="4" fontId="5" fillId="0" borderId="10" xfId="0" applyNumberFormat="1" applyFont="1" applyBorder="1" applyAlignment="1">
      <alignment horizontal="right"/>
    </xf>
    <xf numFmtId="4" fontId="5" fillId="0" borderId="13" xfId="0" applyNumberFormat="1" applyFont="1" applyBorder="1" applyAlignment="1">
      <alignment horizontal="right"/>
    </xf>
    <xf numFmtId="0" fontId="4" fillId="0" borderId="12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1" xfId="0" applyFont="1" applyBorder="1" applyAlignment="1">
      <alignment wrapText="1"/>
    </xf>
    <xf numFmtId="0" fontId="5" fillId="0" borderId="11" xfId="0" applyFont="1" applyBorder="1" applyAlignment="1"/>
    <xf numFmtId="0" fontId="5" fillId="0" borderId="12" xfId="0" applyFont="1" applyBorder="1" applyAlignment="1"/>
    <xf numFmtId="0" fontId="1" fillId="0" borderId="0" xfId="0" applyFont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4" fillId="0" borderId="11" xfId="0" applyFont="1" applyBorder="1" applyAlignment="1"/>
    <xf numFmtId="2" fontId="5" fillId="0" borderId="12" xfId="0" applyNumberFormat="1" applyFont="1" applyBorder="1" applyAlignment="1"/>
    <xf numFmtId="2" fontId="5" fillId="0" borderId="10" xfId="0" applyNumberFormat="1" applyFont="1" applyBorder="1" applyAlignment="1"/>
    <xf numFmtId="2" fontId="5" fillId="0" borderId="13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vgenij\Desktop\C:\&#1043;&#1083;&#1072;&#1074;%20&#1073;&#1091;&#1093;\&#1045;&#1078;&#1077;&#1084;&#1077;&#1089;&#1103;&#1095;&#1085;&#1099;&#1077;%20&#1086;&#1090;&#1095;&#1077;&#1090;&#1099;%20&#1058;&#1057;&#1046;\2017\&#1057;&#1077;&#1085;&#1090;&#1103;&#1073;&#1088;&#1100;%202017\Lokomotivnaya6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вгуст 2017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35"/>
  <sheetViews>
    <sheetView tabSelected="1" topLeftCell="A4" workbookViewId="0">
      <selection activeCell="A28" sqref="A28:H29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0" t="s">
        <v>132</v>
      </c>
      <c r="B2" s="90"/>
      <c r="C2" s="90"/>
      <c r="D2" s="90"/>
      <c r="E2" s="90"/>
      <c r="F2" s="90"/>
      <c r="G2" s="90"/>
      <c r="H2" s="90"/>
    </row>
    <row r="3" spans="1:9" ht="58.5" customHeight="1" x14ac:dyDescent="0.25">
      <c r="A3" s="91"/>
      <c r="B3" s="91"/>
      <c r="C3" s="91"/>
      <c r="D3" s="91"/>
      <c r="E3" s="91"/>
      <c r="F3" s="91"/>
      <c r="G3" s="91"/>
      <c r="H3" s="91"/>
    </row>
    <row r="4" spans="1:9" ht="27.75" customHeight="1" x14ac:dyDescent="0.3">
      <c r="A4" s="92" t="s">
        <v>133</v>
      </c>
      <c r="B4" s="93"/>
      <c r="C4" s="93"/>
      <c r="D4" s="93"/>
      <c r="E4" s="93"/>
      <c r="F4" s="93"/>
      <c r="G4" s="93"/>
      <c r="H4" s="32">
        <f>'ноябрь 2018'!H26</f>
        <v>2328421.17</v>
      </c>
    </row>
    <row r="5" spans="1:9" ht="18" x14ac:dyDescent="0.2">
      <c r="A5" s="60"/>
      <c r="B5" s="61"/>
      <c r="C5" s="61"/>
      <c r="D5" s="61"/>
      <c r="E5" s="61"/>
      <c r="F5" s="61"/>
      <c r="G5" s="61"/>
      <c r="H5" s="6"/>
    </row>
    <row r="6" spans="1:9" ht="26.25" customHeight="1" x14ac:dyDescent="0.2">
      <c r="A6" s="60"/>
      <c r="B6" s="61"/>
      <c r="C6" s="61"/>
      <c r="D6" s="61"/>
      <c r="E6" s="61"/>
      <c r="F6" s="61"/>
      <c r="G6" s="61"/>
      <c r="H6" s="6"/>
    </row>
    <row r="7" spans="1:9" ht="15" customHeight="1" x14ac:dyDescent="0.3">
      <c r="A7" s="71" t="s">
        <v>134</v>
      </c>
      <c r="B7" s="72"/>
      <c r="C7" s="72"/>
      <c r="D7" s="72"/>
      <c r="E7" s="72"/>
      <c r="F7" s="72"/>
      <c r="G7" s="72"/>
      <c r="H7" s="17">
        <v>1845980.5</v>
      </c>
    </row>
    <row r="8" spans="1:9" ht="39" customHeight="1" x14ac:dyDescent="0.3">
      <c r="A8" s="69" t="s">
        <v>0</v>
      </c>
      <c r="B8" s="70"/>
      <c r="C8" s="70"/>
      <c r="D8" s="70"/>
      <c r="E8" s="70"/>
      <c r="F8" s="70"/>
      <c r="G8" s="70"/>
      <c r="H8" s="17">
        <f>SUM(F9:H22)</f>
        <v>1662645.54</v>
      </c>
    </row>
    <row r="9" spans="1:9" ht="15" customHeight="1" x14ac:dyDescent="0.25">
      <c r="A9" s="94" t="s">
        <v>1</v>
      </c>
      <c r="B9" s="88"/>
      <c r="C9" s="88"/>
      <c r="D9" s="88"/>
      <c r="E9" s="89"/>
      <c r="F9" s="66">
        <f>13812.34+47.63+1000.72+3626.93+482428.05+2326.35+17180.08</f>
        <v>520422.1</v>
      </c>
      <c r="G9" s="67"/>
      <c r="H9" s="68"/>
      <c r="I9" s="7"/>
    </row>
    <row r="10" spans="1:9" ht="15" customHeight="1" x14ac:dyDescent="0.25">
      <c r="A10" s="84" t="s">
        <v>129</v>
      </c>
      <c r="B10" s="85"/>
      <c r="C10" s="85"/>
      <c r="D10" s="85"/>
      <c r="E10" s="86"/>
      <c r="F10" s="81">
        <f>7398.51</f>
        <v>7398.51</v>
      </c>
      <c r="G10" s="82"/>
      <c r="H10" s="83"/>
      <c r="I10" s="7"/>
    </row>
    <row r="11" spans="1:9" ht="15" customHeight="1" x14ac:dyDescent="0.25">
      <c r="A11" s="87" t="s">
        <v>2</v>
      </c>
      <c r="B11" s="88"/>
      <c r="C11" s="88"/>
      <c r="D11" s="88"/>
      <c r="E11" s="89"/>
      <c r="F11" s="66">
        <f>29092.17</f>
        <v>29092.17</v>
      </c>
      <c r="G11" s="67"/>
      <c r="H11" s="68"/>
    </row>
    <row r="12" spans="1:9" ht="15" customHeight="1" x14ac:dyDescent="0.25">
      <c r="A12" s="79" t="s">
        <v>127</v>
      </c>
      <c r="B12" s="79"/>
      <c r="C12" s="79"/>
      <c r="D12" s="79"/>
      <c r="E12" s="80"/>
      <c r="F12" s="81">
        <v>100845.39</v>
      </c>
      <c r="G12" s="82"/>
      <c r="H12" s="83"/>
    </row>
    <row r="13" spans="1:9" ht="15" customHeight="1" x14ac:dyDescent="0.25">
      <c r="A13" s="64" t="s">
        <v>3</v>
      </c>
      <c r="B13" s="65"/>
      <c r="C13" s="65"/>
      <c r="D13" s="65"/>
      <c r="E13" s="65"/>
      <c r="F13" s="66">
        <v>99713.86</v>
      </c>
      <c r="G13" s="67"/>
      <c r="H13" s="68"/>
    </row>
    <row r="14" spans="1:9" ht="15" customHeight="1" x14ac:dyDescent="0.25">
      <c r="A14" s="64" t="s">
        <v>4</v>
      </c>
      <c r="B14" s="65"/>
      <c r="C14" s="65"/>
      <c r="D14" s="65"/>
      <c r="E14" s="65"/>
      <c r="F14" s="66">
        <v>111358.48</v>
      </c>
      <c r="G14" s="67"/>
      <c r="H14" s="68"/>
    </row>
    <row r="15" spans="1:9" ht="15" customHeight="1" x14ac:dyDescent="0.25">
      <c r="A15" s="78" t="s">
        <v>128</v>
      </c>
      <c r="B15" s="79"/>
      <c r="C15" s="79"/>
      <c r="D15" s="79"/>
      <c r="E15" s="80"/>
      <c r="F15" s="81">
        <v>46165.08</v>
      </c>
      <c r="G15" s="82"/>
      <c r="H15" s="83"/>
    </row>
    <row r="16" spans="1:9" ht="15" customHeight="1" x14ac:dyDescent="0.25">
      <c r="A16" s="64" t="s">
        <v>5</v>
      </c>
      <c r="B16" s="65"/>
      <c r="C16" s="65"/>
      <c r="D16" s="65"/>
      <c r="E16" s="65"/>
      <c r="F16" s="66">
        <v>207269.14</v>
      </c>
      <c r="G16" s="67"/>
      <c r="H16" s="68"/>
    </row>
    <row r="17" spans="1:9" ht="15" customHeight="1" x14ac:dyDescent="0.25">
      <c r="A17" s="64" t="s">
        <v>6</v>
      </c>
      <c r="B17" s="65"/>
      <c r="C17" s="65"/>
      <c r="D17" s="65"/>
      <c r="E17" s="65"/>
      <c r="F17" s="66">
        <v>11533.59</v>
      </c>
      <c r="G17" s="67"/>
      <c r="H17" s="68"/>
    </row>
    <row r="18" spans="1:9" ht="15" customHeight="1" x14ac:dyDescent="0.25">
      <c r="A18" s="64" t="s">
        <v>7</v>
      </c>
      <c r="B18" s="65"/>
      <c r="C18" s="65"/>
      <c r="D18" s="65"/>
      <c r="E18" s="65"/>
      <c r="F18" s="66"/>
      <c r="G18" s="67"/>
      <c r="H18" s="68"/>
    </row>
    <row r="19" spans="1:9" ht="15" customHeight="1" x14ac:dyDescent="0.25">
      <c r="A19" s="64" t="s">
        <v>9</v>
      </c>
      <c r="B19" s="65"/>
      <c r="C19" s="65"/>
      <c r="D19" s="65"/>
      <c r="E19" s="65"/>
      <c r="F19" s="66">
        <v>5912.09</v>
      </c>
      <c r="G19" s="67"/>
      <c r="H19" s="68"/>
    </row>
    <row r="20" spans="1:9" ht="15" customHeight="1" x14ac:dyDescent="0.25">
      <c r="A20" s="64" t="s">
        <v>10</v>
      </c>
      <c r="B20" s="76"/>
      <c r="C20" s="76"/>
      <c r="D20" s="76"/>
      <c r="E20" s="77"/>
      <c r="F20" s="66">
        <v>85400.5</v>
      </c>
      <c r="G20" s="67"/>
      <c r="H20" s="68"/>
    </row>
    <row r="21" spans="1:9" ht="15" customHeight="1" x14ac:dyDescent="0.25">
      <c r="A21" s="64" t="s">
        <v>11</v>
      </c>
      <c r="B21" s="76"/>
      <c r="C21" s="76"/>
      <c r="D21" s="76"/>
      <c r="E21" s="77"/>
      <c r="F21" s="66"/>
      <c r="G21" s="67"/>
      <c r="H21" s="68"/>
    </row>
    <row r="22" spans="1:9" ht="15" customHeight="1" x14ac:dyDescent="0.25">
      <c r="A22" s="64" t="s">
        <v>8</v>
      </c>
      <c r="B22" s="65"/>
      <c r="C22" s="65"/>
      <c r="D22" s="65"/>
      <c r="E22" s="65"/>
      <c r="F22" s="66">
        <v>437534.63</v>
      </c>
      <c r="G22" s="67"/>
      <c r="H22" s="68"/>
      <c r="I22" s="7"/>
    </row>
    <row r="23" spans="1:9" ht="15" customHeight="1" x14ac:dyDescent="0.2">
      <c r="A23" s="69"/>
      <c r="B23" s="70"/>
      <c r="C23" s="70"/>
      <c r="D23" s="70"/>
      <c r="E23" s="70"/>
      <c r="F23" s="70"/>
      <c r="G23" s="70"/>
      <c r="H23" s="2"/>
      <c r="I23" s="7"/>
    </row>
    <row r="24" spans="1:9" ht="15" customHeight="1" x14ac:dyDescent="0.25">
      <c r="A24" s="60"/>
      <c r="B24" s="61"/>
      <c r="C24" s="61"/>
      <c r="D24" s="61"/>
      <c r="E24" s="61"/>
      <c r="F24" s="3"/>
      <c r="G24" s="3"/>
      <c r="H24" s="2"/>
    </row>
    <row r="25" spans="1:9" ht="15" customHeight="1" x14ac:dyDescent="0.2">
      <c r="A25" s="71"/>
      <c r="B25" s="72"/>
      <c r="C25" s="72"/>
      <c r="D25" s="72"/>
      <c r="E25" s="72"/>
      <c r="F25" s="72"/>
      <c r="G25" s="72"/>
      <c r="H25" s="2"/>
    </row>
    <row r="26" spans="1:9" ht="15" customHeight="1" x14ac:dyDescent="0.3">
      <c r="A26" s="73" t="s">
        <v>135</v>
      </c>
      <c r="B26" s="74"/>
      <c r="C26" s="74"/>
      <c r="D26" s="74"/>
      <c r="E26" s="74"/>
      <c r="F26" s="74"/>
      <c r="G26" s="74"/>
      <c r="H26" s="57">
        <f>4184623.95-H7</f>
        <v>2338643.4500000002</v>
      </c>
    </row>
    <row r="27" spans="1:9" ht="15" customHeight="1" x14ac:dyDescent="0.2">
      <c r="A27" s="1"/>
      <c r="B27" s="1"/>
      <c r="C27" s="1"/>
      <c r="D27" s="1"/>
      <c r="E27" s="1"/>
      <c r="F27" s="1"/>
      <c r="G27" s="5"/>
      <c r="H27" s="5"/>
    </row>
    <row r="28" spans="1:9" ht="36.75" customHeight="1" x14ac:dyDescent="0.25">
      <c r="A28" s="75" t="s">
        <v>27</v>
      </c>
      <c r="B28" s="75"/>
      <c r="C28" s="75"/>
      <c r="D28" s="75"/>
      <c r="E28" s="75"/>
      <c r="F28" s="75"/>
      <c r="G28" s="75"/>
      <c r="H28" s="75"/>
    </row>
    <row r="29" spans="1:9" ht="43.5" customHeight="1" x14ac:dyDescent="0.25">
      <c r="A29" s="75"/>
      <c r="B29" s="75"/>
      <c r="C29" s="75"/>
      <c r="D29" s="75"/>
      <c r="E29" s="75"/>
      <c r="F29" s="75"/>
      <c r="G29" s="75"/>
      <c r="H29" s="75"/>
    </row>
    <row r="30" spans="1:9" ht="21" customHeight="1" x14ac:dyDescent="0.25">
      <c r="A30" s="62"/>
      <c r="B30" s="62"/>
      <c r="C30" s="62"/>
      <c r="D30" s="62"/>
      <c r="E30" s="62"/>
      <c r="F30" s="62"/>
      <c r="G30" s="62"/>
      <c r="H30" s="62"/>
    </row>
    <row r="31" spans="1:9" ht="22.5" customHeight="1" x14ac:dyDescent="0.25">
      <c r="A31" s="63" t="s">
        <v>109</v>
      </c>
      <c r="B31" s="63"/>
      <c r="C31" s="63"/>
      <c r="D31" s="63"/>
      <c r="E31" s="63"/>
      <c r="F31" s="63"/>
      <c r="G31" s="63"/>
      <c r="H31" s="63"/>
    </row>
    <row r="32" spans="1:9" ht="15" customHeight="1" x14ac:dyDescent="0.25">
      <c r="A32" s="63"/>
      <c r="B32" s="63"/>
      <c r="C32" s="63"/>
      <c r="D32" s="63"/>
      <c r="E32" s="63"/>
      <c r="F32" s="63"/>
      <c r="G32" s="63"/>
      <c r="H32" s="63"/>
    </row>
    <row r="33" ht="43.5" customHeight="1" x14ac:dyDescent="0.25"/>
    <row r="34" ht="10.35" customHeight="1" x14ac:dyDescent="0.25"/>
    <row r="35" ht="84" hidden="1" customHeight="1" x14ac:dyDescent="0.2"/>
  </sheetData>
  <mergeCells count="38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19:E19"/>
    <mergeCell ref="F19:H19"/>
    <mergeCell ref="A20:E20"/>
    <mergeCell ref="F20:H20"/>
    <mergeCell ref="A21:E21"/>
    <mergeCell ref="F21:H21"/>
    <mergeCell ref="A30:H30"/>
    <mergeCell ref="A31:H32"/>
    <mergeCell ref="A22:E22"/>
    <mergeCell ref="F22:H22"/>
    <mergeCell ref="A23:G23"/>
    <mergeCell ref="A25:G25"/>
    <mergeCell ref="A26:G26"/>
    <mergeCell ref="A28:H29"/>
  </mergeCells>
  <pageMargins left="0.7" right="0.7" top="0.75" bottom="0.75" header="0.3" footer="0.3"/>
  <pageSetup paperSize="9" scale="94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32"/>
  <sheetViews>
    <sheetView workbookViewId="0">
      <selection activeCell="A16" sqref="A16:E1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0" t="s">
        <v>85</v>
      </c>
      <c r="B2" s="90"/>
      <c r="C2" s="90"/>
      <c r="D2" s="90"/>
      <c r="E2" s="90"/>
      <c r="F2" s="90"/>
      <c r="G2" s="90"/>
      <c r="H2" s="90"/>
    </row>
    <row r="3" spans="1:9" ht="58.5" customHeight="1" x14ac:dyDescent="0.25">
      <c r="A3" s="91"/>
      <c r="B3" s="91"/>
      <c r="C3" s="91"/>
      <c r="D3" s="91"/>
      <c r="E3" s="91"/>
      <c r="F3" s="91"/>
      <c r="G3" s="91"/>
      <c r="H3" s="91"/>
    </row>
    <row r="4" spans="1:9" ht="27.75" customHeight="1" x14ac:dyDescent="0.3">
      <c r="A4" s="92" t="s">
        <v>90</v>
      </c>
      <c r="B4" s="93"/>
      <c r="C4" s="93"/>
      <c r="D4" s="93"/>
      <c r="E4" s="93"/>
      <c r="F4" s="93"/>
      <c r="G4" s="93"/>
      <c r="H4" s="32">
        <f>фев.18!H23</f>
        <v>1942564.4299999997</v>
      </c>
    </row>
    <row r="5" spans="1:9" ht="18" x14ac:dyDescent="0.2">
      <c r="A5" s="41"/>
      <c r="B5" s="42"/>
      <c r="C5" s="42"/>
      <c r="D5" s="42"/>
      <c r="E5" s="42"/>
      <c r="F5" s="42"/>
      <c r="G5" s="42"/>
      <c r="H5" s="6"/>
    </row>
    <row r="6" spans="1:9" ht="26.25" customHeight="1" x14ac:dyDescent="0.2">
      <c r="A6" s="41"/>
      <c r="B6" s="42"/>
      <c r="C6" s="42"/>
      <c r="D6" s="42"/>
      <c r="E6" s="42"/>
      <c r="F6" s="42"/>
      <c r="G6" s="42"/>
      <c r="H6" s="6"/>
    </row>
    <row r="7" spans="1:9" ht="15" customHeight="1" x14ac:dyDescent="0.3">
      <c r="A7" s="71" t="s">
        <v>86</v>
      </c>
      <c r="B7" s="72"/>
      <c r="C7" s="72"/>
      <c r="D7" s="72"/>
      <c r="E7" s="72"/>
      <c r="F7" s="72"/>
      <c r="G7" s="72"/>
      <c r="H7" s="17">
        <v>1519930.01</v>
      </c>
    </row>
    <row r="8" spans="1:9" ht="39" customHeight="1" x14ac:dyDescent="0.3">
      <c r="A8" s="69" t="s">
        <v>0</v>
      </c>
      <c r="B8" s="70"/>
      <c r="C8" s="70"/>
      <c r="D8" s="70"/>
      <c r="E8" s="70"/>
      <c r="F8" s="70"/>
      <c r="G8" s="70"/>
      <c r="H8" s="2">
        <f>SUM(F9:H19)</f>
        <v>1789047.71</v>
      </c>
    </row>
    <row r="9" spans="1:9" ht="15" customHeight="1" x14ac:dyDescent="0.25">
      <c r="A9" s="94" t="s">
        <v>1</v>
      </c>
      <c r="B9" s="88"/>
      <c r="C9" s="88"/>
      <c r="D9" s="88"/>
      <c r="E9" s="89"/>
      <c r="F9" s="66">
        <f>156.98+3436.61+13189.65+2178.42+16343.64+470601.72</f>
        <v>505907.01999999996</v>
      </c>
      <c r="G9" s="67"/>
      <c r="H9" s="68"/>
      <c r="I9" s="7"/>
    </row>
    <row r="10" spans="1:9" ht="15" customHeight="1" x14ac:dyDescent="0.25">
      <c r="A10" s="87" t="s">
        <v>2</v>
      </c>
      <c r="B10" s="88"/>
      <c r="C10" s="88"/>
      <c r="D10" s="88"/>
      <c r="E10" s="89"/>
      <c r="F10" s="66">
        <f>16126.81</f>
        <v>16126.81</v>
      </c>
      <c r="G10" s="67"/>
      <c r="H10" s="68"/>
    </row>
    <row r="11" spans="1:9" ht="15" customHeight="1" x14ac:dyDescent="0.25">
      <c r="A11" s="64" t="s">
        <v>3</v>
      </c>
      <c r="B11" s="65"/>
      <c r="C11" s="65"/>
      <c r="D11" s="65"/>
      <c r="E11" s="65"/>
      <c r="F11" s="66">
        <f>87555.55+51413.78</f>
        <v>138969.33000000002</v>
      </c>
      <c r="G11" s="67"/>
      <c r="H11" s="68"/>
    </row>
    <row r="12" spans="1:9" ht="15" customHeight="1" x14ac:dyDescent="0.25">
      <c r="A12" s="64" t="s">
        <v>4</v>
      </c>
      <c r="B12" s="65"/>
      <c r="C12" s="65"/>
      <c r="D12" s="65"/>
      <c r="E12" s="65"/>
      <c r="F12" s="66">
        <f>97436.3</f>
        <v>97436.3</v>
      </c>
      <c r="G12" s="67"/>
      <c r="H12" s="68"/>
    </row>
    <row r="13" spans="1:9" ht="15" customHeight="1" x14ac:dyDescent="0.25">
      <c r="A13" s="64" t="s">
        <v>5</v>
      </c>
      <c r="B13" s="65"/>
      <c r="C13" s="65"/>
      <c r="D13" s="65"/>
      <c r="E13" s="65"/>
      <c r="F13" s="66">
        <f>161780.57</f>
        <v>161780.57</v>
      </c>
      <c r="G13" s="67"/>
      <c r="H13" s="68"/>
    </row>
    <row r="14" spans="1:9" ht="15" customHeight="1" x14ac:dyDescent="0.25">
      <c r="A14" s="64" t="s">
        <v>6</v>
      </c>
      <c r="B14" s="65"/>
      <c r="C14" s="65"/>
      <c r="D14" s="65"/>
      <c r="E14" s="65"/>
      <c r="F14" s="66">
        <f>11317.14</f>
        <v>11317.14</v>
      </c>
      <c r="G14" s="67"/>
      <c r="H14" s="68"/>
    </row>
    <row r="15" spans="1:9" ht="15" customHeight="1" x14ac:dyDescent="0.25">
      <c r="A15" s="64" t="s">
        <v>7</v>
      </c>
      <c r="B15" s="65"/>
      <c r="C15" s="65"/>
      <c r="D15" s="65"/>
      <c r="E15" s="65"/>
      <c r="F15" s="66">
        <v>780.51</v>
      </c>
      <c r="G15" s="67"/>
      <c r="H15" s="68"/>
    </row>
    <row r="16" spans="1:9" ht="15" customHeight="1" x14ac:dyDescent="0.25">
      <c r="A16" s="64" t="s">
        <v>9</v>
      </c>
      <c r="B16" s="65"/>
      <c r="C16" s="65"/>
      <c r="D16" s="65"/>
      <c r="E16" s="65"/>
      <c r="F16" s="66">
        <v>2298.4299999999998</v>
      </c>
      <c r="G16" s="67"/>
      <c r="H16" s="68"/>
    </row>
    <row r="17" spans="1:9" ht="15" customHeight="1" x14ac:dyDescent="0.25">
      <c r="A17" s="64" t="s">
        <v>10</v>
      </c>
      <c r="B17" s="76"/>
      <c r="C17" s="76"/>
      <c r="D17" s="76"/>
      <c r="E17" s="77"/>
      <c r="F17" s="66">
        <f>105120.28</f>
        <v>105120.28</v>
      </c>
      <c r="G17" s="67"/>
      <c r="H17" s="68"/>
    </row>
    <row r="18" spans="1:9" ht="15" customHeight="1" x14ac:dyDescent="0.25">
      <c r="A18" s="64" t="s">
        <v>11</v>
      </c>
      <c r="B18" s="76"/>
      <c r="C18" s="76"/>
      <c r="D18" s="76"/>
      <c r="E18" s="77"/>
      <c r="F18" s="66"/>
      <c r="G18" s="67"/>
      <c r="H18" s="68"/>
    </row>
    <row r="19" spans="1:9" ht="15" customHeight="1" x14ac:dyDescent="0.25">
      <c r="A19" s="64" t="s">
        <v>8</v>
      </c>
      <c r="B19" s="65"/>
      <c r="C19" s="65"/>
      <c r="D19" s="65"/>
      <c r="E19" s="65"/>
      <c r="F19" s="66">
        <f>113460.1+635851.22</f>
        <v>749311.32</v>
      </c>
      <c r="G19" s="67"/>
      <c r="H19" s="68"/>
      <c r="I19" s="7"/>
    </row>
    <row r="20" spans="1:9" ht="15" customHeight="1" x14ac:dyDescent="0.3">
      <c r="A20" s="69"/>
      <c r="B20" s="70"/>
      <c r="C20" s="70"/>
      <c r="D20" s="70"/>
      <c r="E20" s="70"/>
      <c r="F20" s="70"/>
      <c r="G20" s="70"/>
      <c r="H20" s="2"/>
      <c r="I20" s="7"/>
    </row>
    <row r="21" spans="1:9" ht="15" customHeight="1" x14ac:dyDescent="0.3">
      <c r="A21" s="41"/>
      <c r="B21" s="42"/>
      <c r="C21" s="42"/>
      <c r="D21" s="42"/>
      <c r="E21" s="42"/>
      <c r="F21" s="3"/>
      <c r="G21" s="3"/>
      <c r="H21" s="2"/>
    </row>
    <row r="22" spans="1:9" ht="15" customHeight="1" x14ac:dyDescent="0.3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3">
      <c r="A23" s="73" t="s">
        <v>87</v>
      </c>
      <c r="B23" s="74"/>
      <c r="C23" s="74"/>
      <c r="D23" s="74"/>
      <c r="E23" s="74"/>
      <c r="F23" s="74"/>
      <c r="G23" s="74"/>
      <c r="H23" s="4">
        <f>3302087.2-H7</f>
        <v>1782157.1900000002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5" t="s">
        <v>88</v>
      </c>
      <c r="B25" s="75"/>
      <c r="C25" s="75"/>
      <c r="D25" s="75"/>
      <c r="E25" s="75"/>
      <c r="F25" s="75"/>
      <c r="G25" s="75"/>
      <c r="H25" s="75"/>
    </row>
    <row r="26" spans="1:9" ht="43.5" customHeight="1" x14ac:dyDescent="0.25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5">
      <c r="A27" s="62"/>
      <c r="B27" s="62"/>
      <c r="C27" s="62"/>
      <c r="D27" s="62"/>
      <c r="E27" s="62"/>
      <c r="F27" s="62"/>
      <c r="G27" s="62"/>
      <c r="H27" s="62"/>
    </row>
    <row r="28" spans="1:9" ht="22.5" customHeight="1" x14ac:dyDescent="0.25">
      <c r="A28" s="63" t="s">
        <v>12</v>
      </c>
      <c r="B28" s="63"/>
      <c r="C28" s="63"/>
      <c r="D28" s="63"/>
      <c r="E28" s="63"/>
      <c r="F28" s="63"/>
      <c r="G28" s="63"/>
      <c r="H28" s="63"/>
    </row>
    <row r="29" spans="1:9" ht="15" customHeight="1" x14ac:dyDescent="0.25">
      <c r="A29" s="63"/>
      <c r="B29" s="63"/>
      <c r="C29" s="63"/>
      <c r="D29" s="63"/>
      <c r="E29" s="63"/>
      <c r="F29" s="63"/>
      <c r="G29" s="63"/>
      <c r="H29" s="63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scale="94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32"/>
  <sheetViews>
    <sheetView workbookViewId="0">
      <selection activeCell="K8" sqref="K8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0" t="s">
        <v>81</v>
      </c>
      <c r="B2" s="90"/>
      <c r="C2" s="90"/>
      <c r="D2" s="90"/>
      <c r="E2" s="90"/>
      <c r="F2" s="90"/>
      <c r="G2" s="90"/>
      <c r="H2" s="90"/>
    </row>
    <row r="3" spans="1:9" ht="58.5" customHeight="1" x14ac:dyDescent="0.25">
      <c r="A3" s="91"/>
      <c r="B3" s="91"/>
      <c r="C3" s="91"/>
      <c r="D3" s="91"/>
      <c r="E3" s="91"/>
      <c r="F3" s="91"/>
      <c r="G3" s="91"/>
      <c r="H3" s="91"/>
    </row>
    <row r="4" spans="1:9" ht="27.75" customHeight="1" x14ac:dyDescent="0.3">
      <c r="A4" s="92" t="s">
        <v>82</v>
      </c>
      <c r="B4" s="93"/>
      <c r="C4" s="93"/>
      <c r="D4" s="93"/>
      <c r="E4" s="93"/>
      <c r="F4" s="93"/>
      <c r="G4" s="93"/>
      <c r="H4" s="32">
        <f>янв.18!H23</f>
        <v>1752098.59</v>
      </c>
    </row>
    <row r="5" spans="1:9" ht="18" x14ac:dyDescent="0.2">
      <c r="A5" s="39"/>
      <c r="B5" s="40"/>
      <c r="C5" s="40"/>
      <c r="D5" s="40"/>
      <c r="E5" s="40"/>
      <c r="F5" s="40"/>
      <c r="G5" s="40"/>
      <c r="H5" s="6"/>
    </row>
    <row r="6" spans="1:9" ht="26.25" customHeight="1" x14ac:dyDescent="0.2">
      <c r="A6" s="39"/>
      <c r="B6" s="40"/>
      <c r="C6" s="40"/>
      <c r="D6" s="40"/>
      <c r="E6" s="40"/>
      <c r="F6" s="40"/>
      <c r="G6" s="40"/>
      <c r="H6" s="6"/>
    </row>
    <row r="7" spans="1:9" ht="15" customHeight="1" x14ac:dyDescent="0.3">
      <c r="A7" s="71" t="s">
        <v>83</v>
      </c>
      <c r="B7" s="72"/>
      <c r="C7" s="72"/>
      <c r="D7" s="72"/>
      <c r="E7" s="72"/>
      <c r="F7" s="72"/>
      <c r="G7" s="72"/>
      <c r="H7" s="17">
        <v>1724894.85</v>
      </c>
    </row>
    <row r="8" spans="1:9" ht="39" customHeight="1" x14ac:dyDescent="0.3">
      <c r="A8" s="69" t="s">
        <v>0</v>
      </c>
      <c r="B8" s="70"/>
      <c r="C8" s="70"/>
      <c r="D8" s="70"/>
      <c r="E8" s="70"/>
      <c r="F8" s="70"/>
      <c r="G8" s="70"/>
      <c r="H8" s="2">
        <f>SUM(F9:H19)</f>
        <v>1634544.35</v>
      </c>
    </row>
    <row r="9" spans="1:9" ht="15" customHeight="1" x14ac:dyDescent="0.25">
      <c r="A9" s="94" t="s">
        <v>1</v>
      </c>
      <c r="B9" s="88"/>
      <c r="C9" s="88"/>
      <c r="D9" s="88"/>
      <c r="E9" s="89"/>
      <c r="F9" s="66">
        <f>430270.31+2079.37+15362.31+389.74+3097.98</f>
        <v>451199.70999999996</v>
      </c>
      <c r="G9" s="67"/>
      <c r="H9" s="68"/>
      <c r="I9" s="7"/>
    </row>
    <row r="10" spans="1:9" ht="15" customHeight="1" x14ac:dyDescent="0.25">
      <c r="A10" s="87" t="s">
        <v>2</v>
      </c>
      <c r="B10" s="88"/>
      <c r="C10" s="88"/>
      <c r="D10" s="88"/>
      <c r="E10" s="89"/>
      <c r="F10" s="66">
        <f>10230.37</f>
        <v>10230.370000000001</v>
      </c>
      <c r="G10" s="67"/>
      <c r="H10" s="68"/>
    </row>
    <row r="11" spans="1:9" ht="15" customHeight="1" x14ac:dyDescent="0.25">
      <c r="A11" s="64" t="s">
        <v>3</v>
      </c>
      <c r="B11" s="65"/>
      <c r="C11" s="65"/>
      <c r="D11" s="65"/>
      <c r="E11" s="65"/>
      <c r="F11" s="66">
        <f>72387.1+44428.66</f>
        <v>116815.76000000001</v>
      </c>
      <c r="G11" s="67"/>
      <c r="H11" s="68"/>
    </row>
    <row r="12" spans="1:9" ht="15" customHeight="1" x14ac:dyDescent="0.25">
      <c r="A12" s="64" t="s">
        <v>4</v>
      </c>
      <c r="B12" s="65"/>
      <c r="C12" s="65"/>
      <c r="D12" s="65"/>
      <c r="E12" s="65"/>
      <c r="F12" s="66">
        <f>84206.12</f>
        <v>84206.12</v>
      </c>
      <c r="G12" s="67"/>
      <c r="H12" s="68"/>
    </row>
    <row r="13" spans="1:9" ht="15" customHeight="1" x14ac:dyDescent="0.25">
      <c r="A13" s="64" t="s">
        <v>5</v>
      </c>
      <c r="B13" s="65"/>
      <c r="C13" s="65"/>
      <c r="D13" s="65"/>
      <c r="E13" s="65"/>
      <c r="F13" s="66">
        <f>149400.91</f>
        <v>149400.91</v>
      </c>
      <c r="G13" s="67"/>
      <c r="H13" s="68"/>
    </row>
    <row r="14" spans="1:9" ht="15" customHeight="1" x14ac:dyDescent="0.25">
      <c r="A14" s="64" t="s">
        <v>6</v>
      </c>
      <c r="B14" s="65"/>
      <c r="C14" s="65"/>
      <c r="D14" s="65"/>
      <c r="E14" s="65"/>
      <c r="F14" s="66">
        <f>10642.98</f>
        <v>10642.98</v>
      </c>
      <c r="G14" s="67"/>
      <c r="H14" s="68"/>
    </row>
    <row r="15" spans="1:9" ht="15" customHeight="1" x14ac:dyDescent="0.25">
      <c r="A15" s="64" t="s">
        <v>7</v>
      </c>
      <c r="B15" s="65"/>
      <c r="C15" s="65"/>
      <c r="D15" s="65"/>
      <c r="E15" s="65"/>
      <c r="F15" s="66"/>
      <c r="G15" s="67"/>
      <c r="H15" s="68"/>
    </row>
    <row r="16" spans="1:9" ht="15" customHeight="1" x14ac:dyDescent="0.25">
      <c r="A16" s="64" t="s">
        <v>9</v>
      </c>
      <c r="B16" s="65"/>
      <c r="C16" s="65"/>
      <c r="D16" s="65"/>
      <c r="E16" s="65"/>
      <c r="F16" s="66"/>
      <c r="G16" s="67"/>
      <c r="H16" s="68"/>
    </row>
    <row r="17" spans="1:9" ht="15" customHeight="1" x14ac:dyDescent="0.25">
      <c r="A17" s="64" t="s">
        <v>10</v>
      </c>
      <c r="B17" s="76"/>
      <c r="C17" s="76"/>
      <c r="D17" s="76"/>
      <c r="E17" s="77"/>
      <c r="F17" s="66">
        <f>94626.21</f>
        <v>94626.21</v>
      </c>
      <c r="G17" s="67"/>
      <c r="H17" s="68"/>
    </row>
    <row r="18" spans="1:9" ht="15" customHeight="1" x14ac:dyDescent="0.25">
      <c r="A18" s="64" t="s">
        <v>11</v>
      </c>
      <c r="B18" s="76"/>
      <c r="C18" s="76"/>
      <c r="D18" s="76"/>
      <c r="E18" s="77"/>
      <c r="F18" s="66"/>
      <c r="G18" s="67"/>
      <c r="H18" s="68"/>
    </row>
    <row r="19" spans="1:9" ht="15" customHeight="1" x14ac:dyDescent="0.25">
      <c r="A19" s="64" t="s">
        <v>8</v>
      </c>
      <c r="B19" s="65"/>
      <c r="C19" s="65"/>
      <c r="D19" s="65"/>
      <c r="E19" s="65"/>
      <c r="F19" s="66">
        <f>618896.86+98525.43</f>
        <v>717422.29</v>
      </c>
      <c r="G19" s="67"/>
      <c r="H19" s="68"/>
      <c r="I19" s="7"/>
    </row>
    <row r="20" spans="1:9" ht="15" customHeight="1" x14ac:dyDescent="0.3">
      <c r="A20" s="69"/>
      <c r="B20" s="70"/>
      <c r="C20" s="70"/>
      <c r="D20" s="70"/>
      <c r="E20" s="70"/>
      <c r="F20" s="70"/>
      <c r="G20" s="70"/>
      <c r="H20" s="2"/>
      <c r="I20" s="7"/>
    </row>
    <row r="21" spans="1:9" ht="15" customHeight="1" x14ac:dyDescent="0.3">
      <c r="A21" s="39"/>
      <c r="B21" s="40"/>
      <c r="C21" s="40"/>
      <c r="D21" s="40"/>
      <c r="E21" s="40"/>
      <c r="F21" s="3"/>
      <c r="G21" s="3"/>
      <c r="H21" s="2"/>
    </row>
    <row r="22" spans="1:9" ht="15" customHeight="1" x14ac:dyDescent="0.3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3">
      <c r="A23" s="73" t="s">
        <v>84</v>
      </c>
      <c r="B23" s="74"/>
      <c r="C23" s="74"/>
      <c r="D23" s="74"/>
      <c r="E23" s="74"/>
      <c r="F23" s="74"/>
      <c r="G23" s="74"/>
      <c r="H23" s="4">
        <f>3667459.28-H7</f>
        <v>1942564.4299999997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5" t="s">
        <v>80</v>
      </c>
      <c r="B25" s="75"/>
      <c r="C25" s="75"/>
      <c r="D25" s="75"/>
      <c r="E25" s="75"/>
      <c r="F25" s="75"/>
      <c r="G25" s="75"/>
      <c r="H25" s="75"/>
    </row>
    <row r="26" spans="1:9" ht="43.5" customHeight="1" x14ac:dyDescent="0.25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5">
      <c r="A27" s="62"/>
      <c r="B27" s="62"/>
      <c r="C27" s="62"/>
      <c r="D27" s="62"/>
      <c r="E27" s="62"/>
      <c r="F27" s="62"/>
      <c r="G27" s="62"/>
      <c r="H27" s="62"/>
    </row>
    <row r="28" spans="1:9" ht="22.5" customHeight="1" x14ac:dyDescent="0.25">
      <c r="A28" s="63" t="s">
        <v>12</v>
      </c>
      <c r="B28" s="63"/>
      <c r="C28" s="63"/>
      <c r="D28" s="63"/>
      <c r="E28" s="63"/>
      <c r="F28" s="63"/>
      <c r="G28" s="63"/>
      <c r="H28" s="63"/>
    </row>
    <row r="29" spans="1:9" ht="15" customHeight="1" x14ac:dyDescent="0.25">
      <c r="A29" s="63"/>
      <c r="B29" s="63"/>
      <c r="C29" s="63"/>
      <c r="D29" s="63"/>
      <c r="E29" s="63"/>
      <c r="F29" s="63"/>
      <c r="G29" s="63"/>
      <c r="H29" s="63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scale="94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0" t="s">
        <v>76</v>
      </c>
      <c r="B2" s="90"/>
      <c r="C2" s="90"/>
      <c r="D2" s="90"/>
      <c r="E2" s="90"/>
      <c r="F2" s="90"/>
      <c r="G2" s="90"/>
      <c r="H2" s="90"/>
    </row>
    <row r="3" spans="1:9" ht="58.5" customHeight="1" x14ac:dyDescent="0.25">
      <c r="A3" s="91"/>
      <c r="B3" s="91"/>
      <c r="C3" s="91"/>
      <c r="D3" s="91"/>
      <c r="E3" s="91"/>
      <c r="F3" s="91"/>
      <c r="G3" s="91"/>
      <c r="H3" s="91"/>
    </row>
    <row r="4" spans="1:9" ht="27.75" customHeight="1" x14ac:dyDescent="0.3">
      <c r="A4" s="92" t="s">
        <v>77</v>
      </c>
      <c r="B4" s="93"/>
      <c r="C4" s="93"/>
      <c r="D4" s="93"/>
      <c r="E4" s="93"/>
      <c r="F4" s="93"/>
      <c r="G4" s="93"/>
      <c r="H4" s="32">
        <f>дек.17!H23</f>
        <v>1563457.5100000002</v>
      </c>
    </row>
    <row r="5" spans="1:9" ht="18" x14ac:dyDescent="0.2">
      <c r="A5" s="37"/>
      <c r="B5" s="38"/>
      <c r="C5" s="38"/>
      <c r="D5" s="38"/>
      <c r="E5" s="38"/>
      <c r="F5" s="38"/>
      <c r="G5" s="38"/>
      <c r="H5" s="6"/>
    </row>
    <row r="6" spans="1:9" ht="26.25" customHeight="1" x14ac:dyDescent="0.2">
      <c r="A6" s="37"/>
      <c r="B6" s="38"/>
      <c r="C6" s="38"/>
      <c r="D6" s="38"/>
      <c r="E6" s="38"/>
      <c r="F6" s="38"/>
      <c r="G6" s="38"/>
      <c r="H6" s="6"/>
    </row>
    <row r="7" spans="1:9" ht="15" customHeight="1" x14ac:dyDescent="0.3">
      <c r="A7" s="71" t="s">
        <v>79</v>
      </c>
      <c r="B7" s="72"/>
      <c r="C7" s="72"/>
      <c r="D7" s="72"/>
      <c r="E7" s="72"/>
      <c r="F7" s="72"/>
      <c r="G7" s="72"/>
      <c r="H7" s="17">
        <v>1813665.95</v>
      </c>
    </row>
    <row r="8" spans="1:9" ht="39" customHeight="1" x14ac:dyDescent="0.3">
      <c r="A8" s="69" t="s">
        <v>0</v>
      </c>
      <c r="B8" s="70"/>
      <c r="C8" s="70"/>
      <c r="D8" s="70"/>
      <c r="E8" s="70"/>
      <c r="F8" s="70"/>
      <c r="G8" s="70"/>
      <c r="H8" s="2">
        <f>SUM(F9:H19)</f>
        <v>1554583.63</v>
      </c>
    </row>
    <row r="9" spans="1:9" ht="15" customHeight="1" x14ac:dyDescent="0.25">
      <c r="A9" s="94" t="s">
        <v>1</v>
      </c>
      <c r="B9" s="88"/>
      <c r="C9" s="88"/>
      <c r="D9" s="88"/>
      <c r="E9" s="89"/>
      <c r="F9" s="66">
        <f>383764.53+200+138.51+3005.54+1868.08+14102.93+11011.13</f>
        <v>414090.72000000003</v>
      </c>
      <c r="G9" s="67"/>
      <c r="H9" s="68"/>
      <c r="I9" s="7"/>
    </row>
    <row r="10" spans="1:9" ht="15" customHeight="1" x14ac:dyDescent="0.25">
      <c r="A10" s="87" t="s">
        <v>2</v>
      </c>
      <c r="B10" s="88"/>
      <c r="C10" s="88"/>
      <c r="D10" s="88"/>
      <c r="E10" s="89"/>
      <c r="F10" s="66">
        <f>2061.49</f>
        <v>2061.4899999999998</v>
      </c>
      <c r="G10" s="67"/>
      <c r="H10" s="68"/>
    </row>
    <row r="11" spans="1:9" ht="15" customHeight="1" x14ac:dyDescent="0.25">
      <c r="A11" s="64" t="s">
        <v>3</v>
      </c>
      <c r="B11" s="65"/>
      <c r="C11" s="65"/>
      <c r="D11" s="65"/>
      <c r="E11" s="65"/>
      <c r="F11" s="66">
        <f>44839.54+72625.46</f>
        <v>117465</v>
      </c>
      <c r="G11" s="67"/>
      <c r="H11" s="68"/>
    </row>
    <row r="12" spans="1:9" ht="15" customHeight="1" x14ac:dyDescent="0.25">
      <c r="A12" s="64" t="s">
        <v>4</v>
      </c>
      <c r="B12" s="65"/>
      <c r="C12" s="65"/>
      <c r="D12" s="65"/>
      <c r="E12" s="65"/>
      <c r="F12" s="66">
        <f>84186.65</f>
        <v>84186.65</v>
      </c>
      <c r="G12" s="67"/>
      <c r="H12" s="68"/>
    </row>
    <row r="13" spans="1:9" ht="15" customHeight="1" x14ac:dyDescent="0.25">
      <c r="A13" s="64" t="s">
        <v>5</v>
      </c>
      <c r="B13" s="65"/>
      <c r="C13" s="65"/>
      <c r="D13" s="65"/>
      <c r="E13" s="65"/>
      <c r="F13" s="66">
        <f>142673.29</f>
        <v>142673.29</v>
      </c>
      <c r="G13" s="67"/>
      <c r="H13" s="68"/>
    </row>
    <row r="14" spans="1:9" ht="15" customHeight="1" x14ac:dyDescent="0.25">
      <c r="A14" s="64" t="s">
        <v>6</v>
      </c>
      <c r="B14" s="65"/>
      <c r="C14" s="65"/>
      <c r="D14" s="65"/>
      <c r="E14" s="65"/>
      <c r="F14" s="66">
        <f>9700.95</f>
        <v>9700.9500000000007</v>
      </c>
      <c r="G14" s="67"/>
      <c r="H14" s="68"/>
    </row>
    <row r="15" spans="1:9" ht="15" customHeight="1" x14ac:dyDescent="0.25">
      <c r="A15" s="64" t="s">
        <v>7</v>
      </c>
      <c r="B15" s="65"/>
      <c r="C15" s="65"/>
      <c r="D15" s="65"/>
      <c r="E15" s="65"/>
      <c r="F15" s="66"/>
      <c r="G15" s="67"/>
      <c r="H15" s="68"/>
    </row>
    <row r="16" spans="1:9" ht="15" customHeight="1" x14ac:dyDescent="0.25">
      <c r="A16" s="64" t="s">
        <v>9</v>
      </c>
      <c r="B16" s="65"/>
      <c r="C16" s="65"/>
      <c r="D16" s="65"/>
      <c r="E16" s="65"/>
      <c r="F16" s="66"/>
      <c r="G16" s="67"/>
      <c r="H16" s="68"/>
    </row>
    <row r="17" spans="1:9" ht="15" customHeight="1" x14ac:dyDescent="0.25">
      <c r="A17" s="64" t="s">
        <v>10</v>
      </c>
      <c r="B17" s="76"/>
      <c r="C17" s="76"/>
      <c r="D17" s="76"/>
      <c r="E17" s="77"/>
      <c r="F17" s="66">
        <f>105134.2</f>
        <v>105134.2</v>
      </c>
      <c r="G17" s="67"/>
      <c r="H17" s="68"/>
    </row>
    <row r="18" spans="1:9" ht="15" customHeight="1" x14ac:dyDescent="0.25">
      <c r="A18" s="64" t="s">
        <v>11</v>
      </c>
      <c r="B18" s="76"/>
      <c r="C18" s="76"/>
      <c r="D18" s="76"/>
      <c r="E18" s="77"/>
      <c r="F18" s="66"/>
      <c r="G18" s="67"/>
      <c r="H18" s="68"/>
    </row>
    <row r="19" spans="1:9" ht="15" customHeight="1" x14ac:dyDescent="0.25">
      <c r="A19" s="64" t="s">
        <v>8</v>
      </c>
      <c r="B19" s="65"/>
      <c r="C19" s="65"/>
      <c r="D19" s="65"/>
      <c r="E19" s="65"/>
      <c r="F19" s="66">
        <f>579935.14+99336.19</f>
        <v>679271.33000000007</v>
      </c>
      <c r="G19" s="67"/>
      <c r="H19" s="68"/>
      <c r="I19" s="7"/>
    </row>
    <row r="20" spans="1:9" ht="15" customHeight="1" x14ac:dyDescent="0.3">
      <c r="A20" s="69"/>
      <c r="B20" s="70"/>
      <c r="C20" s="70"/>
      <c r="D20" s="70"/>
      <c r="E20" s="70"/>
      <c r="F20" s="70"/>
      <c r="G20" s="70"/>
      <c r="H20" s="2"/>
      <c r="I20" s="7"/>
    </row>
    <row r="21" spans="1:9" ht="15" customHeight="1" x14ac:dyDescent="0.3">
      <c r="A21" s="37"/>
      <c r="B21" s="38"/>
      <c r="C21" s="38"/>
      <c r="D21" s="38"/>
      <c r="E21" s="38"/>
      <c r="F21" s="3"/>
      <c r="G21" s="3"/>
      <c r="H21" s="2"/>
    </row>
    <row r="22" spans="1:9" ht="15" customHeight="1" x14ac:dyDescent="0.3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3">
      <c r="A23" s="73" t="s">
        <v>78</v>
      </c>
      <c r="B23" s="74"/>
      <c r="C23" s="74"/>
      <c r="D23" s="74"/>
      <c r="E23" s="74"/>
      <c r="F23" s="74"/>
      <c r="G23" s="74"/>
      <c r="H23" s="4">
        <f>3565764.54-H7</f>
        <v>1752098.59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5" t="s">
        <v>80</v>
      </c>
      <c r="B25" s="75"/>
      <c r="C25" s="75"/>
      <c r="D25" s="75"/>
      <c r="E25" s="75"/>
      <c r="F25" s="75"/>
      <c r="G25" s="75"/>
      <c r="H25" s="75"/>
    </row>
    <row r="26" spans="1:9" ht="43.5" customHeight="1" x14ac:dyDescent="0.25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5">
      <c r="A27" s="62"/>
      <c r="B27" s="62"/>
      <c r="C27" s="62"/>
      <c r="D27" s="62"/>
      <c r="E27" s="62"/>
      <c r="F27" s="62"/>
      <c r="G27" s="62"/>
      <c r="H27" s="62"/>
    </row>
    <row r="28" spans="1:9" ht="22.5" customHeight="1" x14ac:dyDescent="0.25">
      <c r="A28" s="63" t="s">
        <v>12</v>
      </c>
      <c r="B28" s="63"/>
      <c r="C28" s="63"/>
      <c r="D28" s="63"/>
      <c r="E28" s="63"/>
      <c r="F28" s="63"/>
      <c r="G28" s="63"/>
      <c r="H28" s="63"/>
    </row>
    <row r="29" spans="1:9" ht="15" customHeight="1" x14ac:dyDescent="0.25">
      <c r="A29" s="63"/>
      <c r="B29" s="63"/>
      <c r="C29" s="63"/>
      <c r="D29" s="63"/>
      <c r="E29" s="63"/>
      <c r="F29" s="63"/>
      <c r="G29" s="63"/>
      <c r="H29" s="63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scale="94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0" t="s">
        <v>71</v>
      </c>
      <c r="B2" s="90"/>
      <c r="C2" s="90"/>
      <c r="D2" s="90"/>
      <c r="E2" s="90"/>
      <c r="F2" s="90"/>
      <c r="G2" s="90"/>
      <c r="H2" s="90"/>
    </row>
    <row r="3" spans="1:9" ht="58.5" customHeight="1" x14ac:dyDescent="0.25">
      <c r="A3" s="91"/>
      <c r="B3" s="91"/>
      <c r="C3" s="91"/>
      <c r="D3" s="91"/>
      <c r="E3" s="91"/>
      <c r="F3" s="91"/>
      <c r="G3" s="91"/>
      <c r="H3" s="91"/>
    </row>
    <row r="4" spans="1:9" ht="27.75" customHeight="1" x14ac:dyDescent="0.3">
      <c r="A4" s="92" t="s">
        <v>72</v>
      </c>
      <c r="B4" s="93"/>
      <c r="C4" s="93"/>
      <c r="D4" s="93"/>
      <c r="E4" s="93"/>
      <c r="F4" s="93"/>
      <c r="G4" s="93"/>
      <c r="H4" s="32">
        <f>нояб.2017!H23</f>
        <v>1586158.2500000002</v>
      </c>
    </row>
    <row r="5" spans="1:9" ht="18" x14ac:dyDescent="0.2">
      <c r="A5" s="35"/>
      <c r="B5" s="36"/>
      <c r="C5" s="36"/>
      <c r="D5" s="36"/>
      <c r="E5" s="36"/>
      <c r="F5" s="36"/>
      <c r="G5" s="36"/>
      <c r="H5" s="6"/>
    </row>
    <row r="6" spans="1:9" ht="26.25" customHeight="1" x14ac:dyDescent="0.2">
      <c r="A6" s="35"/>
      <c r="B6" s="36"/>
      <c r="C6" s="36"/>
      <c r="D6" s="36"/>
      <c r="E6" s="36"/>
      <c r="F6" s="36"/>
      <c r="G6" s="36"/>
      <c r="H6" s="6"/>
    </row>
    <row r="7" spans="1:9" ht="15" customHeight="1" x14ac:dyDescent="0.3">
      <c r="A7" s="71" t="s">
        <v>73</v>
      </c>
      <c r="B7" s="72"/>
      <c r="C7" s="72"/>
      <c r="D7" s="72"/>
      <c r="E7" s="72"/>
      <c r="F7" s="72"/>
      <c r="G7" s="72"/>
      <c r="H7" s="17">
        <v>1746356.94</v>
      </c>
    </row>
    <row r="8" spans="1:9" ht="39" customHeight="1" x14ac:dyDescent="0.3">
      <c r="A8" s="69" t="s">
        <v>0</v>
      </c>
      <c r="B8" s="70"/>
      <c r="C8" s="70"/>
      <c r="D8" s="70"/>
      <c r="E8" s="70"/>
      <c r="F8" s="70"/>
      <c r="G8" s="70"/>
      <c r="H8" s="2">
        <f>SUM(F9:H19)</f>
        <v>1665114.17</v>
      </c>
    </row>
    <row r="9" spans="1:9" ht="15" customHeight="1" x14ac:dyDescent="0.25">
      <c r="A9" s="94" t="s">
        <v>1</v>
      </c>
      <c r="B9" s="88"/>
      <c r="C9" s="88"/>
      <c r="D9" s="88"/>
      <c r="E9" s="89"/>
      <c r="F9" s="66">
        <f>11000+1044.55+2950.01+1600.17+2152+15740.71+429046.04</f>
        <v>463533.48</v>
      </c>
      <c r="G9" s="67"/>
      <c r="H9" s="68"/>
      <c r="I9" s="7"/>
    </row>
    <row r="10" spans="1:9" ht="15" customHeight="1" x14ac:dyDescent="0.25">
      <c r="A10" s="87" t="s">
        <v>2</v>
      </c>
      <c r="B10" s="88"/>
      <c r="C10" s="88"/>
      <c r="D10" s="88"/>
      <c r="E10" s="89"/>
      <c r="F10" s="66">
        <f>26846.35</f>
        <v>26846.35</v>
      </c>
      <c r="G10" s="67"/>
      <c r="H10" s="68"/>
    </row>
    <row r="11" spans="1:9" ht="15" customHeight="1" x14ac:dyDescent="0.25">
      <c r="A11" s="64" t="s">
        <v>3</v>
      </c>
      <c r="B11" s="65"/>
      <c r="C11" s="65"/>
      <c r="D11" s="65"/>
      <c r="E11" s="65"/>
      <c r="F11" s="66">
        <f>43088.58+80423.04</f>
        <v>123511.62</v>
      </c>
      <c r="G11" s="67"/>
      <c r="H11" s="68"/>
    </row>
    <row r="12" spans="1:9" ht="15" customHeight="1" x14ac:dyDescent="0.25">
      <c r="A12" s="64" t="s">
        <v>4</v>
      </c>
      <c r="B12" s="65"/>
      <c r="C12" s="65"/>
      <c r="D12" s="65"/>
      <c r="E12" s="65"/>
      <c r="F12" s="66">
        <f>93735.6</f>
        <v>93735.6</v>
      </c>
      <c r="G12" s="67"/>
      <c r="H12" s="68"/>
    </row>
    <row r="13" spans="1:9" ht="15" customHeight="1" x14ac:dyDescent="0.25">
      <c r="A13" s="64" t="s">
        <v>5</v>
      </c>
      <c r="B13" s="65"/>
      <c r="C13" s="65"/>
      <c r="D13" s="65"/>
      <c r="E13" s="65"/>
      <c r="F13" s="66">
        <f>161906.14</f>
        <v>161906.14000000001</v>
      </c>
      <c r="G13" s="67"/>
      <c r="H13" s="68"/>
    </row>
    <row r="14" spans="1:9" ht="15" customHeight="1" x14ac:dyDescent="0.25">
      <c r="A14" s="64" t="s">
        <v>6</v>
      </c>
      <c r="B14" s="65"/>
      <c r="C14" s="65"/>
      <c r="D14" s="65"/>
      <c r="E14" s="65"/>
      <c r="F14" s="66">
        <v>10580.03</v>
      </c>
      <c r="G14" s="67"/>
      <c r="H14" s="68"/>
    </row>
    <row r="15" spans="1:9" ht="15" customHeight="1" x14ac:dyDescent="0.25">
      <c r="A15" s="64" t="s">
        <v>7</v>
      </c>
      <c r="B15" s="65"/>
      <c r="C15" s="65"/>
      <c r="D15" s="65"/>
      <c r="E15" s="65"/>
      <c r="F15" s="66"/>
      <c r="G15" s="67"/>
      <c r="H15" s="68"/>
    </row>
    <row r="16" spans="1:9" ht="15" customHeight="1" x14ac:dyDescent="0.25">
      <c r="A16" s="64" t="s">
        <v>9</v>
      </c>
      <c r="B16" s="65"/>
      <c r="C16" s="65"/>
      <c r="D16" s="65"/>
      <c r="E16" s="65"/>
      <c r="F16" s="66"/>
      <c r="G16" s="67"/>
      <c r="H16" s="68"/>
    </row>
    <row r="17" spans="1:9" ht="15" customHeight="1" x14ac:dyDescent="0.25">
      <c r="A17" s="64" t="s">
        <v>10</v>
      </c>
      <c r="B17" s="76"/>
      <c r="C17" s="76"/>
      <c r="D17" s="76"/>
      <c r="E17" s="77"/>
      <c r="F17" s="66">
        <v>226830.9</v>
      </c>
      <c r="G17" s="67"/>
      <c r="H17" s="68"/>
    </row>
    <row r="18" spans="1:9" ht="15" customHeight="1" x14ac:dyDescent="0.25">
      <c r="A18" s="64" t="s">
        <v>11</v>
      </c>
      <c r="B18" s="76"/>
      <c r="C18" s="76"/>
      <c r="D18" s="76"/>
      <c r="E18" s="77"/>
      <c r="F18" s="66"/>
      <c r="G18" s="67"/>
      <c r="H18" s="68"/>
    </row>
    <row r="19" spans="1:9" ht="15" customHeight="1" x14ac:dyDescent="0.25">
      <c r="A19" s="64" t="s">
        <v>8</v>
      </c>
      <c r="B19" s="65"/>
      <c r="C19" s="65"/>
      <c r="D19" s="65"/>
      <c r="E19" s="65"/>
      <c r="F19" s="66">
        <f>462769.96+95400.09</f>
        <v>558170.05000000005</v>
      </c>
      <c r="G19" s="67"/>
      <c r="H19" s="68"/>
      <c r="I19" s="7"/>
    </row>
    <row r="20" spans="1:9" ht="15" customHeight="1" x14ac:dyDescent="0.3">
      <c r="A20" s="69"/>
      <c r="B20" s="70"/>
      <c r="C20" s="70"/>
      <c r="D20" s="70"/>
      <c r="E20" s="70"/>
      <c r="F20" s="70"/>
      <c r="G20" s="70"/>
      <c r="H20" s="2"/>
      <c r="I20" s="7"/>
    </row>
    <row r="21" spans="1:9" ht="15" customHeight="1" x14ac:dyDescent="0.3">
      <c r="A21" s="35"/>
      <c r="B21" s="36"/>
      <c r="C21" s="36"/>
      <c r="D21" s="36"/>
      <c r="E21" s="36"/>
      <c r="F21" s="3"/>
      <c r="G21" s="3"/>
      <c r="H21" s="2"/>
    </row>
    <row r="22" spans="1:9" ht="15" customHeight="1" x14ac:dyDescent="0.3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3">
      <c r="A23" s="73" t="s">
        <v>74</v>
      </c>
      <c r="B23" s="74"/>
      <c r="C23" s="74"/>
      <c r="D23" s="74"/>
      <c r="E23" s="74"/>
      <c r="F23" s="74"/>
      <c r="G23" s="74"/>
      <c r="H23" s="4">
        <f>3309814.45-H7</f>
        <v>1563457.5100000002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5" t="s">
        <v>75</v>
      </c>
      <c r="B25" s="75"/>
      <c r="C25" s="75"/>
      <c r="D25" s="75"/>
      <c r="E25" s="75"/>
      <c r="F25" s="75"/>
      <c r="G25" s="75"/>
      <c r="H25" s="75"/>
    </row>
    <row r="26" spans="1:9" ht="43.5" customHeight="1" x14ac:dyDescent="0.25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5">
      <c r="A27" s="62"/>
      <c r="B27" s="62"/>
      <c r="C27" s="62"/>
      <c r="D27" s="62"/>
      <c r="E27" s="62"/>
      <c r="F27" s="62"/>
      <c r="G27" s="62"/>
      <c r="H27" s="62"/>
    </row>
    <row r="28" spans="1:9" ht="22.5" customHeight="1" x14ac:dyDescent="0.25">
      <c r="A28" s="63" t="s">
        <v>12</v>
      </c>
      <c r="B28" s="63"/>
      <c r="C28" s="63"/>
      <c r="D28" s="63"/>
      <c r="E28" s="63"/>
      <c r="F28" s="63"/>
      <c r="G28" s="63"/>
      <c r="H28" s="63"/>
    </row>
    <row r="29" spans="1:9" ht="15" customHeight="1" x14ac:dyDescent="0.25">
      <c r="A29" s="63"/>
      <c r="B29" s="63"/>
      <c r="C29" s="63"/>
      <c r="D29" s="63"/>
      <c r="E29" s="63"/>
      <c r="F29" s="63"/>
      <c r="G29" s="63"/>
      <c r="H29" s="63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scale="94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32"/>
  <sheetViews>
    <sheetView workbookViewId="0">
      <selection activeCell="A2" sqref="A2:H3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0" t="s">
        <v>67</v>
      </c>
      <c r="B2" s="90"/>
      <c r="C2" s="90"/>
      <c r="D2" s="90"/>
      <c r="E2" s="90"/>
      <c r="F2" s="90"/>
      <c r="G2" s="90"/>
      <c r="H2" s="90"/>
    </row>
    <row r="3" spans="1:9" ht="58.5" customHeight="1" x14ac:dyDescent="0.25">
      <c r="A3" s="91"/>
      <c r="B3" s="91"/>
      <c r="C3" s="91"/>
      <c r="D3" s="91"/>
      <c r="E3" s="91"/>
      <c r="F3" s="91"/>
      <c r="G3" s="91"/>
      <c r="H3" s="91"/>
    </row>
    <row r="4" spans="1:9" ht="27.75" customHeight="1" x14ac:dyDescent="0.3">
      <c r="A4" s="92" t="s">
        <v>70</v>
      </c>
      <c r="B4" s="93"/>
      <c r="C4" s="93"/>
      <c r="D4" s="93"/>
      <c r="E4" s="93"/>
      <c r="F4" s="93"/>
      <c r="G4" s="93"/>
      <c r="H4" s="32">
        <f>'окт. 2017'!H23</f>
        <v>1138170.76</v>
      </c>
    </row>
    <row r="5" spans="1:9" ht="18" x14ac:dyDescent="0.2">
      <c r="A5" s="33"/>
      <c r="B5" s="34"/>
      <c r="C5" s="34"/>
      <c r="D5" s="34"/>
      <c r="E5" s="34"/>
      <c r="F5" s="34"/>
      <c r="G5" s="34"/>
      <c r="H5" s="6"/>
    </row>
    <row r="6" spans="1:9" ht="26.25" customHeight="1" x14ac:dyDescent="0.2">
      <c r="A6" s="33"/>
      <c r="B6" s="34"/>
      <c r="C6" s="34"/>
      <c r="D6" s="34"/>
      <c r="E6" s="34"/>
      <c r="F6" s="34"/>
      <c r="G6" s="34"/>
      <c r="H6" s="6"/>
    </row>
    <row r="7" spans="1:9" ht="15" customHeight="1" x14ac:dyDescent="0.3">
      <c r="A7" s="71" t="s">
        <v>69</v>
      </c>
      <c r="B7" s="72"/>
      <c r="C7" s="72"/>
      <c r="D7" s="72"/>
      <c r="E7" s="72"/>
      <c r="F7" s="72"/>
      <c r="G7" s="72"/>
      <c r="H7" s="17">
        <v>1642985.45</v>
      </c>
    </row>
    <row r="8" spans="1:9" ht="39" customHeight="1" x14ac:dyDescent="0.3">
      <c r="A8" s="69" t="s">
        <v>0</v>
      </c>
      <c r="B8" s="70"/>
      <c r="C8" s="70"/>
      <c r="D8" s="70"/>
      <c r="E8" s="70"/>
      <c r="F8" s="70"/>
      <c r="G8" s="70"/>
      <c r="H8" s="2">
        <f>SUM(F9:H19)</f>
        <v>1306583.43</v>
      </c>
    </row>
    <row r="9" spans="1:9" ht="15" customHeight="1" x14ac:dyDescent="0.25">
      <c r="A9" s="94" t="s">
        <v>1</v>
      </c>
      <c r="B9" s="88"/>
      <c r="C9" s="88"/>
      <c r="D9" s="88"/>
      <c r="E9" s="89"/>
      <c r="F9" s="66">
        <f>402926.33+11000+1029.29+2859.17+0.02+1968.3+14704.3</f>
        <v>434487.41</v>
      </c>
      <c r="G9" s="67"/>
      <c r="H9" s="68"/>
      <c r="I9" s="7"/>
    </row>
    <row r="10" spans="1:9" ht="15" customHeight="1" x14ac:dyDescent="0.25">
      <c r="A10" s="87" t="s">
        <v>2</v>
      </c>
      <c r="B10" s="88"/>
      <c r="C10" s="88"/>
      <c r="D10" s="88"/>
      <c r="E10" s="89"/>
      <c r="F10" s="66">
        <f>20109.79</f>
        <v>20109.79</v>
      </c>
      <c r="G10" s="67"/>
      <c r="H10" s="68"/>
    </row>
    <row r="11" spans="1:9" ht="15" customHeight="1" x14ac:dyDescent="0.25">
      <c r="A11" s="64" t="s">
        <v>3</v>
      </c>
      <c r="B11" s="65"/>
      <c r="C11" s="65"/>
      <c r="D11" s="65"/>
      <c r="E11" s="65"/>
      <c r="F11" s="66">
        <f>79457.57+34760.67</f>
        <v>114218.24000000001</v>
      </c>
      <c r="G11" s="67"/>
      <c r="H11" s="68"/>
    </row>
    <row r="12" spans="1:9" ht="15" customHeight="1" x14ac:dyDescent="0.25">
      <c r="A12" s="64" t="s">
        <v>4</v>
      </c>
      <c r="B12" s="65"/>
      <c r="C12" s="65"/>
      <c r="D12" s="65"/>
      <c r="E12" s="65"/>
      <c r="F12" s="66">
        <f>83681.64</f>
        <v>83681.64</v>
      </c>
      <c r="G12" s="67"/>
      <c r="H12" s="68"/>
    </row>
    <row r="13" spans="1:9" ht="15" customHeight="1" x14ac:dyDescent="0.25">
      <c r="A13" s="64" t="s">
        <v>5</v>
      </c>
      <c r="B13" s="65"/>
      <c r="C13" s="65"/>
      <c r="D13" s="65"/>
      <c r="E13" s="65"/>
      <c r="F13" s="66">
        <f>150131.64</f>
        <v>150131.64000000001</v>
      </c>
      <c r="G13" s="67"/>
      <c r="H13" s="68"/>
    </row>
    <row r="14" spans="1:9" ht="15" customHeight="1" x14ac:dyDescent="0.25">
      <c r="A14" s="64" t="s">
        <v>6</v>
      </c>
      <c r="B14" s="65"/>
      <c r="C14" s="65"/>
      <c r="D14" s="65"/>
      <c r="E14" s="65"/>
      <c r="F14" s="66">
        <v>10110.98</v>
      </c>
      <c r="G14" s="67"/>
      <c r="H14" s="68"/>
    </row>
    <row r="15" spans="1:9" ht="15" customHeight="1" x14ac:dyDescent="0.25">
      <c r="A15" s="64" t="s">
        <v>7</v>
      </c>
      <c r="B15" s="65"/>
      <c r="C15" s="65"/>
      <c r="D15" s="65"/>
      <c r="E15" s="65"/>
      <c r="F15" s="66"/>
      <c r="G15" s="67"/>
      <c r="H15" s="68"/>
    </row>
    <row r="16" spans="1:9" ht="15" customHeight="1" x14ac:dyDescent="0.25">
      <c r="A16" s="64" t="s">
        <v>9</v>
      </c>
      <c r="B16" s="65"/>
      <c r="C16" s="65"/>
      <c r="D16" s="65"/>
      <c r="E16" s="65"/>
      <c r="F16" s="66"/>
      <c r="G16" s="67"/>
      <c r="H16" s="68"/>
    </row>
    <row r="17" spans="1:9" ht="15" customHeight="1" x14ac:dyDescent="0.25">
      <c r="A17" s="64" t="s">
        <v>10</v>
      </c>
      <c r="B17" s="76"/>
      <c r="C17" s="76"/>
      <c r="D17" s="76"/>
      <c r="E17" s="77"/>
      <c r="F17" s="66">
        <v>98880.27</v>
      </c>
      <c r="G17" s="67"/>
      <c r="H17" s="68"/>
    </row>
    <row r="18" spans="1:9" ht="15" customHeight="1" x14ac:dyDescent="0.25">
      <c r="A18" s="64" t="s">
        <v>11</v>
      </c>
      <c r="B18" s="76"/>
      <c r="C18" s="76"/>
      <c r="D18" s="76"/>
      <c r="E18" s="77"/>
      <c r="F18" s="66"/>
      <c r="G18" s="67"/>
      <c r="H18" s="68"/>
    </row>
    <row r="19" spans="1:9" ht="15" customHeight="1" x14ac:dyDescent="0.25">
      <c r="A19" s="64" t="s">
        <v>8</v>
      </c>
      <c r="B19" s="65"/>
      <c r="C19" s="65"/>
      <c r="D19" s="65"/>
      <c r="E19" s="65"/>
      <c r="F19" s="66">
        <f>76869.66+318093.8</f>
        <v>394963.45999999996</v>
      </c>
      <c r="G19" s="67"/>
      <c r="H19" s="68"/>
      <c r="I19" s="7"/>
    </row>
    <row r="20" spans="1:9" ht="15" customHeight="1" x14ac:dyDescent="0.3">
      <c r="A20" s="69"/>
      <c r="B20" s="70"/>
      <c r="C20" s="70"/>
      <c r="D20" s="70"/>
      <c r="E20" s="70"/>
      <c r="F20" s="70"/>
      <c r="G20" s="70"/>
      <c r="H20" s="2"/>
      <c r="I20" s="7"/>
    </row>
    <row r="21" spans="1:9" ht="15" customHeight="1" x14ac:dyDescent="0.3">
      <c r="A21" s="33"/>
      <c r="B21" s="34"/>
      <c r="C21" s="34"/>
      <c r="D21" s="34"/>
      <c r="E21" s="34"/>
      <c r="F21" s="3"/>
      <c r="G21" s="3"/>
      <c r="H21" s="2"/>
    </row>
    <row r="22" spans="1:9" ht="15" customHeight="1" x14ac:dyDescent="0.3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3">
      <c r="A23" s="73" t="s">
        <v>68</v>
      </c>
      <c r="B23" s="74"/>
      <c r="C23" s="74"/>
      <c r="D23" s="74"/>
      <c r="E23" s="74"/>
      <c r="F23" s="74"/>
      <c r="G23" s="74"/>
      <c r="H23" s="4">
        <f>3229143.7-H7</f>
        <v>1586158.2500000002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5" t="s">
        <v>66</v>
      </c>
      <c r="B25" s="75"/>
      <c r="C25" s="75"/>
      <c r="D25" s="75"/>
      <c r="E25" s="75"/>
      <c r="F25" s="75"/>
      <c r="G25" s="75"/>
      <c r="H25" s="75"/>
    </row>
    <row r="26" spans="1:9" ht="43.5" customHeight="1" x14ac:dyDescent="0.25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5">
      <c r="A27" s="62"/>
      <c r="B27" s="62"/>
      <c r="C27" s="62"/>
      <c r="D27" s="62"/>
      <c r="E27" s="62"/>
      <c r="F27" s="62"/>
      <c r="G27" s="62"/>
      <c r="H27" s="62"/>
    </row>
    <row r="28" spans="1:9" ht="22.5" customHeight="1" x14ac:dyDescent="0.25">
      <c r="A28" s="63" t="s">
        <v>12</v>
      </c>
      <c r="B28" s="63"/>
      <c r="C28" s="63"/>
      <c r="D28" s="63"/>
      <c r="E28" s="63"/>
      <c r="F28" s="63"/>
      <c r="G28" s="63"/>
      <c r="H28" s="63"/>
    </row>
    <row r="29" spans="1:9" ht="15" customHeight="1" x14ac:dyDescent="0.25">
      <c r="A29" s="63"/>
      <c r="B29" s="63"/>
      <c r="C29" s="63"/>
      <c r="D29" s="63"/>
      <c r="E29" s="63"/>
      <c r="F29" s="63"/>
      <c r="G29" s="63"/>
      <c r="H29" s="63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scale="94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0" t="s">
        <v>62</v>
      </c>
      <c r="B2" s="90"/>
      <c r="C2" s="90"/>
      <c r="D2" s="90"/>
      <c r="E2" s="90"/>
      <c r="F2" s="90"/>
      <c r="G2" s="90"/>
      <c r="H2" s="90"/>
    </row>
    <row r="3" spans="1:9" ht="58.5" customHeight="1" x14ac:dyDescent="0.25">
      <c r="A3" s="91"/>
      <c r="B3" s="91"/>
      <c r="C3" s="91"/>
      <c r="D3" s="91"/>
      <c r="E3" s="91"/>
      <c r="F3" s="91"/>
      <c r="G3" s="91"/>
      <c r="H3" s="91"/>
    </row>
    <row r="4" spans="1:9" ht="27.75" customHeight="1" x14ac:dyDescent="0.3">
      <c r="A4" s="92" t="s">
        <v>63</v>
      </c>
      <c r="B4" s="93"/>
      <c r="C4" s="93"/>
      <c r="D4" s="93"/>
      <c r="E4" s="93"/>
      <c r="F4" s="93"/>
      <c r="G4" s="93"/>
      <c r="H4" s="32">
        <f>'сент. 2017'!H23</f>
        <v>1166361.8600000003</v>
      </c>
    </row>
    <row r="5" spans="1:9" ht="18" x14ac:dyDescent="0.2">
      <c r="A5" s="30"/>
      <c r="B5" s="31"/>
      <c r="C5" s="31"/>
      <c r="D5" s="31"/>
      <c r="E5" s="31"/>
      <c r="F5" s="31"/>
      <c r="G5" s="31"/>
      <c r="H5" s="6"/>
    </row>
    <row r="6" spans="1:9" ht="26.25" customHeight="1" x14ac:dyDescent="0.2">
      <c r="A6" s="30"/>
      <c r="B6" s="31"/>
      <c r="C6" s="31"/>
      <c r="D6" s="31"/>
      <c r="E6" s="31"/>
      <c r="F6" s="31"/>
      <c r="G6" s="31"/>
      <c r="H6" s="6"/>
    </row>
    <row r="7" spans="1:9" ht="15" customHeight="1" x14ac:dyDescent="0.3">
      <c r="A7" s="71" t="s">
        <v>64</v>
      </c>
      <c r="B7" s="72"/>
      <c r="C7" s="72"/>
      <c r="D7" s="72"/>
      <c r="E7" s="72"/>
      <c r="F7" s="72"/>
      <c r="G7" s="72"/>
      <c r="H7" s="17">
        <v>1447376.01</v>
      </c>
    </row>
    <row r="8" spans="1:9" ht="39" customHeight="1" x14ac:dyDescent="0.3">
      <c r="A8" s="69" t="s">
        <v>0</v>
      </c>
      <c r="B8" s="70"/>
      <c r="C8" s="70"/>
      <c r="D8" s="70"/>
      <c r="E8" s="70"/>
      <c r="F8" s="70"/>
      <c r="G8" s="70"/>
      <c r="H8" s="2">
        <f>SUM(F9:H19)</f>
        <v>1014214.69</v>
      </c>
    </row>
    <row r="9" spans="1:9" ht="15" customHeight="1" x14ac:dyDescent="0.25">
      <c r="A9" s="94" t="s">
        <v>1</v>
      </c>
      <c r="B9" s="88"/>
      <c r="C9" s="88"/>
      <c r="D9" s="88"/>
      <c r="E9" s="89"/>
      <c r="F9" s="66">
        <f>434231.14+6361.62+2609.06+2206.95+1833.33+15904.6+8598.38</f>
        <v>471745.08</v>
      </c>
      <c r="G9" s="67"/>
      <c r="H9" s="68"/>
      <c r="I9" s="7"/>
    </row>
    <row r="10" spans="1:9" ht="15" customHeight="1" x14ac:dyDescent="0.25">
      <c r="A10" s="87" t="s">
        <v>2</v>
      </c>
      <c r="B10" s="88"/>
      <c r="C10" s="88"/>
      <c r="D10" s="88"/>
      <c r="E10" s="89"/>
      <c r="F10" s="66">
        <f>94250.45</f>
        <v>94250.45</v>
      </c>
      <c r="G10" s="67"/>
      <c r="H10" s="68"/>
    </row>
    <row r="11" spans="1:9" ht="15" customHeight="1" x14ac:dyDescent="0.25">
      <c r="A11" s="64" t="s">
        <v>3</v>
      </c>
      <c r="B11" s="65"/>
      <c r="C11" s="65"/>
      <c r="D11" s="65"/>
      <c r="E11" s="65"/>
      <c r="F11" s="66">
        <f>95956.15+1369.86</f>
        <v>97326.01</v>
      </c>
      <c r="G11" s="67"/>
      <c r="H11" s="68"/>
    </row>
    <row r="12" spans="1:9" ht="15" customHeight="1" x14ac:dyDescent="0.25">
      <c r="A12" s="64" t="s">
        <v>4</v>
      </c>
      <c r="B12" s="65"/>
      <c r="C12" s="65"/>
      <c r="D12" s="65"/>
      <c r="E12" s="65"/>
      <c r="F12" s="66">
        <f>86619.09</f>
        <v>86619.09</v>
      </c>
      <c r="G12" s="67"/>
      <c r="H12" s="68"/>
    </row>
    <row r="13" spans="1:9" ht="15" customHeight="1" x14ac:dyDescent="0.25">
      <c r="A13" s="64" t="s">
        <v>5</v>
      </c>
      <c r="B13" s="65"/>
      <c r="C13" s="65"/>
      <c r="D13" s="65"/>
      <c r="E13" s="65"/>
      <c r="F13" s="66">
        <f>169926.88</f>
        <v>169926.88</v>
      </c>
      <c r="G13" s="67"/>
      <c r="H13" s="68"/>
    </row>
    <row r="14" spans="1:9" ht="15" customHeight="1" x14ac:dyDescent="0.25">
      <c r="A14" s="64" t="s">
        <v>6</v>
      </c>
      <c r="B14" s="65"/>
      <c r="C14" s="65"/>
      <c r="D14" s="65"/>
      <c r="E14" s="65"/>
      <c r="F14" s="66">
        <f>10909.61</f>
        <v>10909.61</v>
      </c>
      <c r="G14" s="67"/>
      <c r="H14" s="68"/>
    </row>
    <row r="15" spans="1:9" ht="15" customHeight="1" x14ac:dyDescent="0.25">
      <c r="A15" s="64" t="s">
        <v>7</v>
      </c>
      <c r="B15" s="65"/>
      <c r="C15" s="65"/>
      <c r="D15" s="65"/>
      <c r="E15" s="65"/>
      <c r="F15" s="66"/>
      <c r="G15" s="67"/>
      <c r="H15" s="68"/>
    </row>
    <row r="16" spans="1:9" ht="15" customHeight="1" x14ac:dyDescent="0.25">
      <c r="A16" s="64" t="s">
        <v>9</v>
      </c>
      <c r="B16" s="65"/>
      <c r="C16" s="65"/>
      <c r="D16" s="65"/>
      <c r="E16" s="65"/>
      <c r="F16" s="66"/>
      <c r="G16" s="67"/>
      <c r="H16" s="68"/>
    </row>
    <row r="17" spans="1:9" ht="15" customHeight="1" x14ac:dyDescent="0.25">
      <c r="A17" s="64" t="s">
        <v>10</v>
      </c>
      <c r="B17" s="76"/>
      <c r="C17" s="76"/>
      <c r="D17" s="76"/>
      <c r="E17" s="77"/>
      <c r="F17" s="66">
        <f>62017.57</f>
        <v>62017.57</v>
      </c>
      <c r="G17" s="67"/>
      <c r="H17" s="68"/>
    </row>
    <row r="18" spans="1:9" ht="15" customHeight="1" x14ac:dyDescent="0.25">
      <c r="A18" s="64" t="s">
        <v>11</v>
      </c>
      <c r="B18" s="76"/>
      <c r="C18" s="76"/>
      <c r="D18" s="76"/>
      <c r="E18" s="77"/>
      <c r="F18" s="66"/>
      <c r="G18" s="67"/>
      <c r="H18" s="68"/>
    </row>
    <row r="19" spans="1:9" ht="15" customHeight="1" x14ac:dyDescent="0.25">
      <c r="A19" s="64" t="s">
        <v>8</v>
      </c>
      <c r="B19" s="65"/>
      <c r="C19" s="65"/>
      <c r="D19" s="65"/>
      <c r="E19" s="65"/>
      <c r="F19" s="66">
        <f>18307.92+3112.08</f>
        <v>21420</v>
      </c>
      <c r="G19" s="67"/>
      <c r="H19" s="68"/>
      <c r="I19" s="7"/>
    </row>
    <row r="20" spans="1:9" ht="15" customHeight="1" x14ac:dyDescent="0.3">
      <c r="A20" s="69"/>
      <c r="B20" s="70"/>
      <c r="C20" s="70"/>
      <c r="D20" s="70"/>
      <c r="E20" s="70"/>
      <c r="F20" s="70"/>
      <c r="G20" s="70"/>
      <c r="H20" s="2"/>
      <c r="I20" s="7"/>
    </row>
    <row r="21" spans="1:9" ht="15" customHeight="1" x14ac:dyDescent="0.3">
      <c r="A21" s="30"/>
      <c r="B21" s="31"/>
      <c r="C21" s="31"/>
      <c r="D21" s="31"/>
      <c r="E21" s="31"/>
      <c r="F21" s="3"/>
      <c r="G21" s="3"/>
      <c r="H21" s="2"/>
    </row>
    <row r="22" spans="1:9" ht="15" customHeight="1" x14ac:dyDescent="0.3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3">
      <c r="A23" s="73" t="s">
        <v>65</v>
      </c>
      <c r="B23" s="74"/>
      <c r="C23" s="74"/>
      <c r="D23" s="74"/>
      <c r="E23" s="74"/>
      <c r="F23" s="74"/>
      <c r="G23" s="74"/>
      <c r="H23" s="4">
        <f>2585546.77-H7</f>
        <v>1138170.76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5" t="s">
        <v>66</v>
      </c>
      <c r="B25" s="75"/>
      <c r="C25" s="75"/>
      <c r="D25" s="75"/>
      <c r="E25" s="75"/>
      <c r="F25" s="75"/>
      <c r="G25" s="75"/>
      <c r="H25" s="75"/>
    </row>
    <row r="26" spans="1:9" ht="43.5" customHeight="1" x14ac:dyDescent="0.25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5">
      <c r="A27" s="62"/>
      <c r="B27" s="62"/>
      <c r="C27" s="62"/>
      <c r="D27" s="62"/>
      <c r="E27" s="62"/>
      <c r="F27" s="62"/>
      <c r="G27" s="62"/>
      <c r="H27" s="62"/>
    </row>
    <row r="28" spans="1:9" ht="22.5" customHeight="1" x14ac:dyDescent="0.25">
      <c r="A28" s="63" t="s">
        <v>12</v>
      </c>
      <c r="B28" s="63"/>
      <c r="C28" s="63"/>
      <c r="D28" s="63"/>
      <c r="E28" s="63"/>
      <c r="F28" s="63"/>
      <c r="G28" s="63"/>
      <c r="H28" s="63"/>
    </row>
    <row r="29" spans="1:9" ht="15" customHeight="1" x14ac:dyDescent="0.25">
      <c r="A29" s="63"/>
      <c r="B29" s="63"/>
      <c r="C29" s="63"/>
      <c r="D29" s="63"/>
      <c r="E29" s="63"/>
      <c r="F29" s="63"/>
      <c r="G29" s="63"/>
      <c r="H29" s="63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scale="94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32"/>
  <sheetViews>
    <sheetView workbookViewId="0">
      <selection activeCell="A2" sqref="A2:H3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0" t="s">
        <v>57</v>
      </c>
      <c r="B2" s="90"/>
      <c r="C2" s="90"/>
      <c r="D2" s="90"/>
      <c r="E2" s="90"/>
      <c r="F2" s="90"/>
      <c r="G2" s="90"/>
      <c r="H2" s="90"/>
    </row>
    <row r="3" spans="1:9" ht="58.5" customHeight="1" x14ac:dyDescent="0.25">
      <c r="A3" s="91"/>
      <c r="B3" s="91"/>
      <c r="C3" s="91"/>
      <c r="D3" s="91"/>
      <c r="E3" s="91"/>
      <c r="F3" s="91"/>
      <c r="G3" s="91"/>
      <c r="H3" s="91"/>
    </row>
    <row r="4" spans="1:9" ht="27.75" customHeight="1" x14ac:dyDescent="0.3">
      <c r="A4" s="92" t="s">
        <v>58</v>
      </c>
      <c r="B4" s="93"/>
      <c r="C4" s="93"/>
      <c r="D4" s="93"/>
      <c r="E4" s="93"/>
      <c r="F4" s="93"/>
      <c r="G4" s="93"/>
      <c r="H4" s="8" t="e">
        <f>'[1]август 2017'!H23</f>
        <v>#REF!</v>
      </c>
    </row>
    <row r="5" spans="1:9" ht="18" x14ac:dyDescent="0.2">
      <c r="A5" s="28"/>
      <c r="B5" s="29"/>
      <c r="C5" s="29"/>
      <c r="D5" s="29"/>
      <c r="E5" s="29"/>
      <c r="F5" s="29"/>
      <c r="G5" s="29"/>
      <c r="H5" s="6"/>
    </row>
    <row r="6" spans="1:9" ht="26.25" customHeight="1" x14ac:dyDescent="0.2">
      <c r="A6" s="28"/>
      <c r="B6" s="29"/>
      <c r="C6" s="29"/>
      <c r="D6" s="29"/>
      <c r="E6" s="29"/>
      <c r="F6" s="29"/>
      <c r="G6" s="29"/>
      <c r="H6" s="6"/>
    </row>
    <row r="7" spans="1:9" ht="15" customHeight="1" x14ac:dyDescent="0.3">
      <c r="A7" s="71" t="s">
        <v>59</v>
      </c>
      <c r="B7" s="72"/>
      <c r="C7" s="72"/>
      <c r="D7" s="72"/>
      <c r="E7" s="72"/>
      <c r="F7" s="72"/>
      <c r="G7" s="72"/>
      <c r="H7" s="17">
        <v>985383.07</v>
      </c>
    </row>
    <row r="8" spans="1:9" ht="39" customHeight="1" x14ac:dyDescent="0.3">
      <c r="A8" s="69" t="s">
        <v>0</v>
      </c>
      <c r="B8" s="70"/>
      <c r="C8" s="70"/>
      <c r="D8" s="70"/>
      <c r="E8" s="70"/>
      <c r="F8" s="70"/>
      <c r="G8" s="70"/>
      <c r="H8" s="2">
        <f>SUM(F9:H19)</f>
        <v>975062.38000000024</v>
      </c>
    </row>
    <row r="9" spans="1:9" ht="15" customHeight="1" x14ac:dyDescent="0.25">
      <c r="A9" s="94" t="s">
        <v>1</v>
      </c>
      <c r="B9" s="88"/>
      <c r="C9" s="88"/>
      <c r="D9" s="88"/>
      <c r="E9" s="89"/>
      <c r="F9" s="95">
        <f>408632.52+5902.65+2080.73+14834.15+1833.33+9712.31</f>
        <v>442995.69000000006</v>
      </c>
      <c r="G9" s="96"/>
      <c r="H9" s="97"/>
      <c r="I9" s="7"/>
    </row>
    <row r="10" spans="1:9" ht="15" customHeight="1" x14ac:dyDescent="0.25">
      <c r="A10" s="87" t="s">
        <v>2</v>
      </c>
      <c r="B10" s="88"/>
      <c r="C10" s="88"/>
      <c r="D10" s="88"/>
      <c r="E10" s="89"/>
      <c r="F10" s="95">
        <f>136583.43</f>
        <v>136583.43</v>
      </c>
      <c r="G10" s="96"/>
      <c r="H10" s="97"/>
    </row>
    <row r="11" spans="1:9" ht="15" customHeight="1" x14ac:dyDescent="0.25">
      <c r="A11" s="64" t="s">
        <v>3</v>
      </c>
      <c r="B11" s="65"/>
      <c r="C11" s="65"/>
      <c r="D11" s="65"/>
      <c r="E11" s="65"/>
      <c r="F11" s="95">
        <f>84324.68+1432.69</f>
        <v>85757.37</v>
      </c>
      <c r="G11" s="96"/>
      <c r="H11" s="97"/>
    </row>
    <row r="12" spans="1:9" ht="15" customHeight="1" x14ac:dyDescent="0.25">
      <c r="A12" s="64" t="s">
        <v>4</v>
      </c>
      <c r="B12" s="65"/>
      <c r="C12" s="65"/>
      <c r="D12" s="65"/>
      <c r="E12" s="65"/>
      <c r="F12" s="95">
        <f>89718.17</f>
        <v>89718.17</v>
      </c>
      <c r="G12" s="96"/>
      <c r="H12" s="97"/>
    </row>
    <row r="13" spans="1:9" ht="15" customHeight="1" x14ac:dyDescent="0.25">
      <c r="A13" s="64" t="s">
        <v>5</v>
      </c>
      <c r="B13" s="65"/>
      <c r="C13" s="65"/>
      <c r="D13" s="65"/>
      <c r="E13" s="65"/>
      <c r="F13" s="95">
        <f>184132.07</f>
        <v>184132.07</v>
      </c>
      <c r="G13" s="96"/>
      <c r="H13" s="97"/>
    </row>
    <row r="14" spans="1:9" ht="15" customHeight="1" x14ac:dyDescent="0.25">
      <c r="A14" s="64" t="s">
        <v>6</v>
      </c>
      <c r="B14" s="65"/>
      <c r="C14" s="65"/>
      <c r="D14" s="65"/>
      <c r="E14" s="65"/>
      <c r="F14" s="95">
        <f>10342.61</f>
        <v>10342.61</v>
      </c>
      <c r="G14" s="96"/>
      <c r="H14" s="97"/>
    </row>
    <row r="15" spans="1:9" ht="15" customHeight="1" x14ac:dyDescent="0.25">
      <c r="A15" s="64" t="s">
        <v>7</v>
      </c>
      <c r="B15" s="65"/>
      <c r="C15" s="65"/>
      <c r="D15" s="65"/>
      <c r="E15" s="65"/>
      <c r="F15" s="95"/>
      <c r="G15" s="96"/>
      <c r="H15" s="97"/>
    </row>
    <row r="16" spans="1:9" ht="15" customHeight="1" x14ac:dyDescent="0.25">
      <c r="A16" s="64" t="s">
        <v>9</v>
      </c>
      <c r="B16" s="65"/>
      <c r="C16" s="65"/>
      <c r="D16" s="65"/>
      <c r="E16" s="65"/>
      <c r="F16" s="95"/>
      <c r="G16" s="96"/>
      <c r="H16" s="97"/>
    </row>
    <row r="17" spans="1:9" ht="15" customHeight="1" x14ac:dyDescent="0.25">
      <c r="A17" s="64" t="s">
        <v>10</v>
      </c>
      <c r="B17" s="76"/>
      <c r="C17" s="76"/>
      <c r="D17" s="76"/>
      <c r="E17" s="77"/>
      <c r="F17" s="95"/>
      <c r="G17" s="96"/>
      <c r="H17" s="97"/>
    </row>
    <row r="18" spans="1:9" ht="15" customHeight="1" x14ac:dyDescent="0.25">
      <c r="A18" s="64" t="s">
        <v>11</v>
      </c>
      <c r="B18" s="76"/>
      <c r="C18" s="76"/>
      <c r="D18" s="76"/>
      <c r="E18" s="77"/>
      <c r="F18" s="95"/>
      <c r="G18" s="96"/>
      <c r="H18" s="97"/>
    </row>
    <row r="19" spans="1:9" ht="15" customHeight="1" x14ac:dyDescent="0.25">
      <c r="A19" s="64" t="s">
        <v>8</v>
      </c>
      <c r="B19" s="65"/>
      <c r="C19" s="65"/>
      <c r="D19" s="65"/>
      <c r="E19" s="65"/>
      <c r="F19" s="95">
        <f>22278.15+3254.89</f>
        <v>25533.040000000001</v>
      </c>
      <c r="G19" s="96"/>
      <c r="H19" s="97"/>
      <c r="I19" s="7"/>
    </row>
    <row r="20" spans="1:9" ht="15" customHeight="1" x14ac:dyDescent="0.3">
      <c r="A20" s="69"/>
      <c r="B20" s="70"/>
      <c r="C20" s="70"/>
      <c r="D20" s="70"/>
      <c r="E20" s="70"/>
      <c r="F20" s="70"/>
      <c r="G20" s="70"/>
      <c r="H20" s="2"/>
      <c r="I20" s="7"/>
    </row>
    <row r="21" spans="1:9" ht="15" customHeight="1" x14ac:dyDescent="0.3">
      <c r="A21" s="28"/>
      <c r="B21" s="29"/>
      <c r="C21" s="29"/>
      <c r="D21" s="29"/>
      <c r="E21" s="29"/>
      <c r="F21" s="3"/>
      <c r="G21" s="3"/>
      <c r="H21" s="2"/>
    </row>
    <row r="22" spans="1:9" ht="15" customHeight="1" x14ac:dyDescent="0.3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3">
      <c r="A23" s="73" t="s">
        <v>60</v>
      </c>
      <c r="B23" s="74"/>
      <c r="C23" s="74"/>
      <c r="D23" s="74"/>
      <c r="E23" s="74"/>
      <c r="F23" s="74"/>
      <c r="G23" s="74"/>
      <c r="H23" s="4">
        <f>2151744.93-H7</f>
        <v>1166361.8600000003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5" t="s">
        <v>61</v>
      </c>
      <c r="B25" s="75"/>
      <c r="C25" s="75"/>
      <c r="D25" s="75"/>
      <c r="E25" s="75"/>
      <c r="F25" s="75"/>
      <c r="G25" s="75"/>
      <c r="H25" s="75"/>
    </row>
    <row r="26" spans="1:9" ht="43.5" customHeight="1" x14ac:dyDescent="0.25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5">
      <c r="A27" s="62"/>
      <c r="B27" s="62"/>
      <c r="C27" s="62"/>
      <c r="D27" s="62"/>
      <c r="E27" s="62"/>
      <c r="F27" s="62"/>
      <c r="G27" s="62"/>
      <c r="H27" s="62"/>
    </row>
    <row r="28" spans="1:9" ht="22.5" customHeight="1" x14ac:dyDescent="0.25">
      <c r="A28" s="63" t="s">
        <v>12</v>
      </c>
      <c r="B28" s="63"/>
      <c r="C28" s="63"/>
      <c r="D28" s="63"/>
      <c r="E28" s="63"/>
      <c r="F28" s="63"/>
      <c r="G28" s="63"/>
      <c r="H28" s="63"/>
    </row>
    <row r="29" spans="1:9" ht="15" customHeight="1" x14ac:dyDescent="0.25">
      <c r="A29" s="63"/>
      <c r="B29" s="63"/>
      <c r="C29" s="63"/>
      <c r="D29" s="63"/>
      <c r="E29" s="63"/>
      <c r="F29" s="63"/>
      <c r="G29" s="63"/>
      <c r="H29" s="63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scale="94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0" t="s">
        <v>52</v>
      </c>
      <c r="B2" s="90"/>
      <c r="C2" s="90"/>
      <c r="D2" s="90"/>
      <c r="E2" s="90"/>
      <c r="F2" s="90"/>
      <c r="G2" s="90"/>
      <c r="H2" s="90"/>
    </row>
    <row r="3" spans="1:9" ht="58.5" customHeight="1" x14ac:dyDescent="0.25">
      <c r="A3" s="91"/>
      <c r="B3" s="91"/>
      <c r="C3" s="91"/>
      <c r="D3" s="91"/>
      <c r="E3" s="91"/>
      <c r="F3" s="91"/>
      <c r="G3" s="91"/>
      <c r="H3" s="91"/>
    </row>
    <row r="4" spans="1:9" ht="27.75" customHeight="1" x14ac:dyDescent="0.3">
      <c r="A4" s="92" t="s">
        <v>53</v>
      </c>
      <c r="B4" s="93"/>
      <c r="C4" s="93"/>
      <c r="D4" s="93"/>
      <c r="E4" s="93"/>
      <c r="F4" s="93"/>
      <c r="G4" s="93"/>
      <c r="H4" s="8">
        <f>'июль 2017'!H23</f>
        <v>955574.83000000007</v>
      </c>
    </row>
    <row r="5" spans="1:9" ht="18" x14ac:dyDescent="0.2">
      <c r="A5" s="26"/>
      <c r="B5" s="27"/>
      <c r="C5" s="27"/>
      <c r="D5" s="27"/>
      <c r="E5" s="27"/>
      <c r="F5" s="27"/>
      <c r="G5" s="27"/>
      <c r="H5" s="6"/>
    </row>
    <row r="6" spans="1:9" ht="26.25" customHeight="1" x14ac:dyDescent="0.2">
      <c r="A6" s="26"/>
      <c r="B6" s="27"/>
      <c r="C6" s="27"/>
      <c r="D6" s="27"/>
      <c r="E6" s="27"/>
      <c r="F6" s="27"/>
      <c r="G6" s="27"/>
      <c r="H6" s="6"/>
    </row>
    <row r="7" spans="1:9" ht="15" customHeight="1" x14ac:dyDescent="0.3">
      <c r="A7" s="71" t="s">
        <v>54</v>
      </c>
      <c r="B7" s="72"/>
      <c r="C7" s="72"/>
      <c r="D7" s="72"/>
      <c r="E7" s="72"/>
      <c r="F7" s="72"/>
      <c r="G7" s="72"/>
      <c r="H7" s="17">
        <v>1074617.28</v>
      </c>
    </row>
    <row r="8" spans="1:9" ht="39" customHeight="1" x14ac:dyDescent="0.3">
      <c r="A8" s="69" t="s">
        <v>0</v>
      </c>
      <c r="B8" s="70"/>
      <c r="C8" s="70"/>
      <c r="D8" s="70"/>
      <c r="E8" s="70"/>
      <c r="F8" s="70"/>
      <c r="G8" s="70"/>
      <c r="H8" s="2">
        <f>SUM(F9:H19)</f>
        <v>858660.49999999977</v>
      </c>
    </row>
    <row r="9" spans="1:9" ht="15" customHeight="1" x14ac:dyDescent="0.25">
      <c r="A9" s="94" t="s">
        <v>1</v>
      </c>
      <c r="B9" s="88"/>
      <c r="C9" s="88"/>
      <c r="D9" s="88"/>
      <c r="E9" s="89"/>
      <c r="F9" s="95">
        <f>5601.27+1969.94+13931.57+393690.81+1833.55</f>
        <v>417027.13999999996</v>
      </c>
      <c r="G9" s="96"/>
      <c r="H9" s="97"/>
      <c r="I9" s="7"/>
    </row>
    <row r="10" spans="1:9" ht="15" customHeight="1" x14ac:dyDescent="0.25">
      <c r="A10" s="87" t="s">
        <v>2</v>
      </c>
      <c r="B10" s="88"/>
      <c r="C10" s="88"/>
      <c r="D10" s="88"/>
      <c r="E10" s="89"/>
      <c r="F10" s="95">
        <f>108664.03+2230.98</f>
        <v>110895.01</v>
      </c>
      <c r="G10" s="96"/>
      <c r="H10" s="97"/>
    </row>
    <row r="11" spans="1:9" ht="15" customHeight="1" x14ac:dyDescent="0.25">
      <c r="A11" s="64" t="s">
        <v>3</v>
      </c>
      <c r="B11" s="65"/>
      <c r="C11" s="65"/>
      <c r="D11" s="65"/>
      <c r="E11" s="65"/>
      <c r="F11" s="95">
        <f>982.02+74930.94</f>
        <v>75912.960000000006</v>
      </c>
      <c r="G11" s="96"/>
      <c r="H11" s="97"/>
    </row>
    <row r="12" spans="1:9" ht="15" customHeight="1" x14ac:dyDescent="0.25">
      <c r="A12" s="64" t="s">
        <v>4</v>
      </c>
      <c r="B12" s="65"/>
      <c r="C12" s="65"/>
      <c r="D12" s="65"/>
      <c r="E12" s="65"/>
      <c r="F12" s="95">
        <f>76538.63</f>
        <v>76538.63</v>
      </c>
      <c r="G12" s="96"/>
      <c r="H12" s="97"/>
    </row>
    <row r="13" spans="1:9" ht="15" customHeight="1" x14ac:dyDescent="0.25">
      <c r="A13" s="64" t="s">
        <v>5</v>
      </c>
      <c r="B13" s="65"/>
      <c r="C13" s="65"/>
      <c r="D13" s="65"/>
      <c r="E13" s="65"/>
      <c r="F13" s="95">
        <f>148212.31</f>
        <v>148212.31</v>
      </c>
      <c r="G13" s="96"/>
      <c r="H13" s="97"/>
    </row>
    <row r="14" spans="1:9" ht="15" customHeight="1" x14ac:dyDescent="0.25">
      <c r="A14" s="64" t="s">
        <v>6</v>
      </c>
      <c r="B14" s="65"/>
      <c r="C14" s="65"/>
      <c r="D14" s="65"/>
      <c r="E14" s="65"/>
      <c r="F14" s="95">
        <f>9933.75</f>
        <v>9933.75</v>
      </c>
      <c r="G14" s="96"/>
      <c r="H14" s="97"/>
    </row>
    <row r="15" spans="1:9" ht="15" customHeight="1" x14ac:dyDescent="0.25">
      <c r="A15" s="64" t="s">
        <v>7</v>
      </c>
      <c r="B15" s="65"/>
      <c r="C15" s="65"/>
      <c r="D15" s="65"/>
      <c r="E15" s="65"/>
      <c r="F15" s="95"/>
      <c r="G15" s="96"/>
      <c r="H15" s="97"/>
    </row>
    <row r="16" spans="1:9" ht="15" customHeight="1" x14ac:dyDescent="0.25">
      <c r="A16" s="64" t="s">
        <v>9</v>
      </c>
      <c r="B16" s="65"/>
      <c r="C16" s="65"/>
      <c r="D16" s="65"/>
      <c r="E16" s="65"/>
      <c r="F16" s="95"/>
      <c r="G16" s="96"/>
      <c r="H16" s="97"/>
    </row>
    <row r="17" spans="1:9" ht="15" customHeight="1" x14ac:dyDescent="0.25">
      <c r="A17" s="64" t="s">
        <v>10</v>
      </c>
      <c r="B17" s="76"/>
      <c r="C17" s="76"/>
      <c r="D17" s="76"/>
      <c r="E17" s="77"/>
      <c r="F17" s="95"/>
      <c r="G17" s="96"/>
      <c r="H17" s="97"/>
    </row>
    <row r="18" spans="1:9" ht="15" customHeight="1" x14ac:dyDescent="0.25">
      <c r="A18" s="64" t="s">
        <v>11</v>
      </c>
      <c r="B18" s="76"/>
      <c r="C18" s="76"/>
      <c r="D18" s="76"/>
      <c r="E18" s="77"/>
      <c r="F18" s="95"/>
      <c r="G18" s="96"/>
      <c r="H18" s="97"/>
    </row>
    <row r="19" spans="1:9" ht="15" customHeight="1" x14ac:dyDescent="0.25">
      <c r="A19" s="64" t="s">
        <v>8</v>
      </c>
      <c r="B19" s="65"/>
      <c r="C19" s="65"/>
      <c r="D19" s="65"/>
      <c r="E19" s="65"/>
      <c r="F19" s="95">
        <f>20140.7</f>
        <v>20140.7</v>
      </c>
      <c r="G19" s="96"/>
      <c r="H19" s="97"/>
      <c r="I19" s="7"/>
    </row>
    <row r="20" spans="1:9" ht="15" customHeight="1" x14ac:dyDescent="0.3">
      <c r="A20" s="69"/>
      <c r="B20" s="70"/>
      <c r="C20" s="70"/>
      <c r="D20" s="70"/>
      <c r="E20" s="70"/>
      <c r="F20" s="70"/>
      <c r="G20" s="70"/>
      <c r="H20" s="2"/>
      <c r="I20" s="7"/>
    </row>
    <row r="21" spans="1:9" ht="15" customHeight="1" x14ac:dyDescent="0.3">
      <c r="A21" s="26"/>
      <c r="B21" s="27"/>
      <c r="C21" s="27"/>
      <c r="D21" s="27"/>
      <c r="E21" s="27"/>
      <c r="F21" s="3"/>
      <c r="G21" s="3"/>
      <c r="H21" s="2"/>
    </row>
    <row r="22" spans="1:9" ht="15" customHeight="1" x14ac:dyDescent="0.3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3">
      <c r="A23" s="73" t="s">
        <v>55</v>
      </c>
      <c r="B23" s="74"/>
      <c r="C23" s="74"/>
      <c r="D23" s="74"/>
      <c r="E23" s="74"/>
      <c r="F23" s="74"/>
      <c r="G23" s="74"/>
      <c r="H23" s="4">
        <f>2141139.4-H7</f>
        <v>1066522.1199999999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5" t="s">
        <v>56</v>
      </c>
      <c r="B25" s="75"/>
      <c r="C25" s="75"/>
      <c r="D25" s="75"/>
      <c r="E25" s="75"/>
      <c r="F25" s="75"/>
      <c r="G25" s="75"/>
      <c r="H25" s="75"/>
    </row>
    <row r="26" spans="1:9" ht="43.5" customHeight="1" x14ac:dyDescent="0.25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5">
      <c r="A27" s="62"/>
      <c r="B27" s="62"/>
      <c r="C27" s="62"/>
      <c r="D27" s="62"/>
      <c r="E27" s="62"/>
      <c r="F27" s="62"/>
      <c r="G27" s="62"/>
      <c r="H27" s="62"/>
    </row>
    <row r="28" spans="1:9" ht="22.5" customHeight="1" x14ac:dyDescent="0.25">
      <c r="A28" s="63" t="s">
        <v>12</v>
      </c>
      <c r="B28" s="63"/>
      <c r="C28" s="63"/>
      <c r="D28" s="63"/>
      <c r="E28" s="63"/>
      <c r="F28" s="63"/>
      <c r="G28" s="63"/>
      <c r="H28" s="63"/>
    </row>
    <row r="29" spans="1:9" ht="15" customHeight="1" x14ac:dyDescent="0.25">
      <c r="A29" s="63"/>
      <c r="B29" s="63"/>
      <c r="C29" s="63"/>
      <c r="D29" s="63"/>
      <c r="E29" s="63"/>
      <c r="F29" s="63"/>
      <c r="G29" s="63"/>
      <c r="H29" s="63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scale="94" fitToHeight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32"/>
  <sheetViews>
    <sheetView workbookViewId="0">
      <selection activeCell="O3" sqref="O3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0" t="s">
        <v>48</v>
      </c>
      <c r="B2" s="90"/>
      <c r="C2" s="90"/>
      <c r="D2" s="90"/>
      <c r="E2" s="90"/>
      <c r="F2" s="90"/>
      <c r="G2" s="90"/>
      <c r="H2" s="90"/>
    </row>
    <row r="3" spans="1:9" ht="58.5" customHeight="1" x14ac:dyDescent="0.25">
      <c r="A3" s="91"/>
      <c r="B3" s="91"/>
      <c r="C3" s="91"/>
      <c r="D3" s="91"/>
      <c r="E3" s="91"/>
      <c r="F3" s="91"/>
      <c r="G3" s="91"/>
      <c r="H3" s="91"/>
    </row>
    <row r="4" spans="1:9" ht="27.75" customHeight="1" x14ac:dyDescent="0.3">
      <c r="A4" s="92" t="s">
        <v>49</v>
      </c>
      <c r="B4" s="93"/>
      <c r="C4" s="93"/>
      <c r="D4" s="93"/>
      <c r="E4" s="93"/>
      <c r="F4" s="93"/>
      <c r="G4" s="93"/>
      <c r="H4" s="8">
        <f>'июнь 2017'!H23</f>
        <v>922310.14999999991</v>
      </c>
    </row>
    <row r="5" spans="1:9" ht="18" x14ac:dyDescent="0.2">
      <c r="A5" s="24"/>
      <c r="B5" s="25"/>
      <c r="C5" s="25"/>
      <c r="D5" s="25"/>
      <c r="E5" s="25"/>
      <c r="F5" s="25"/>
      <c r="G5" s="25"/>
      <c r="H5" s="6"/>
    </row>
    <row r="6" spans="1:9" ht="26.25" customHeight="1" x14ac:dyDescent="0.2">
      <c r="A6" s="24"/>
      <c r="B6" s="25"/>
      <c r="C6" s="25"/>
      <c r="D6" s="25"/>
      <c r="E6" s="25"/>
      <c r="F6" s="25"/>
      <c r="G6" s="25"/>
      <c r="H6" s="6"/>
    </row>
    <row r="7" spans="1:9" ht="15" customHeight="1" x14ac:dyDescent="0.3">
      <c r="A7" s="71" t="s">
        <v>50</v>
      </c>
      <c r="B7" s="72"/>
      <c r="C7" s="72"/>
      <c r="D7" s="72"/>
      <c r="E7" s="72"/>
      <c r="F7" s="72"/>
      <c r="G7" s="72"/>
      <c r="H7" s="17">
        <v>968112.69</v>
      </c>
    </row>
    <row r="8" spans="1:9" ht="39" customHeight="1" x14ac:dyDescent="0.3">
      <c r="A8" s="69" t="s">
        <v>0</v>
      </c>
      <c r="B8" s="70"/>
      <c r="C8" s="70"/>
      <c r="D8" s="70"/>
      <c r="E8" s="70"/>
      <c r="F8" s="70"/>
      <c r="G8" s="70"/>
      <c r="H8" s="2">
        <f>SUM(F9:H19)</f>
        <v>908274.3600000001</v>
      </c>
    </row>
    <row r="9" spans="1:9" ht="15" customHeight="1" x14ac:dyDescent="0.25">
      <c r="A9" s="94" t="s">
        <v>1</v>
      </c>
      <c r="B9" s="88"/>
      <c r="C9" s="88"/>
      <c r="D9" s="88"/>
      <c r="E9" s="89"/>
      <c r="F9" s="95">
        <f>1666.67+399416.16+3062.62</f>
        <v>404145.44999999995</v>
      </c>
      <c r="G9" s="96"/>
      <c r="H9" s="97"/>
      <c r="I9" s="7"/>
    </row>
    <row r="10" spans="1:9" ht="15" customHeight="1" x14ac:dyDescent="0.25">
      <c r="A10" s="87" t="s">
        <v>2</v>
      </c>
      <c r="B10" s="88"/>
      <c r="C10" s="88"/>
      <c r="D10" s="88"/>
      <c r="E10" s="89"/>
      <c r="F10" s="95">
        <f>109283.1+5176.38+10436.08</f>
        <v>124895.56000000001</v>
      </c>
      <c r="G10" s="96"/>
      <c r="H10" s="97"/>
    </row>
    <row r="11" spans="1:9" ht="15" customHeight="1" x14ac:dyDescent="0.25">
      <c r="A11" s="64" t="s">
        <v>3</v>
      </c>
      <c r="B11" s="65"/>
      <c r="C11" s="65"/>
      <c r="D11" s="65"/>
      <c r="E11" s="65"/>
      <c r="F11" s="95">
        <f>4593.7+2077.83+79029.34</f>
        <v>85700.87</v>
      </c>
      <c r="G11" s="96"/>
      <c r="H11" s="97"/>
    </row>
    <row r="12" spans="1:9" ht="15" customHeight="1" x14ac:dyDescent="0.25">
      <c r="A12" s="64" t="s">
        <v>4</v>
      </c>
      <c r="B12" s="65"/>
      <c r="C12" s="65"/>
      <c r="D12" s="65"/>
      <c r="E12" s="65"/>
      <c r="F12" s="95">
        <f>82185.44</f>
        <v>82185.440000000002</v>
      </c>
      <c r="G12" s="96"/>
      <c r="H12" s="97"/>
    </row>
    <row r="13" spans="1:9" ht="15" customHeight="1" x14ac:dyDescent="0.25">
      <c r="A13" s="64" t="s">
        <v>5</v>
      </c>
      <c r="B13" s="65"/>
      <c r="C13" s="65"/>
      <c r="D13" s="65"/>
      <c r="E13" s="65"/>
      <c r="F13" s="95">
        <f>14125.71+136485.45</f>
        <v>150611.16</v>
      </c>
      <c r="G13" s="96"/>
      <c r="H13" s="97"/>
    </row>
    <row r="14" spans="1:9" ht="15" customHeight="1" x14ac:dyDescent="0.25">
      <c r="A14" s="64" t="s">
        <v>6</v>
      </c>
      <c r="B14" s="65"/>
      <c r="C14" s="65"/>
      <c r="D14" s="65"/>
      <c r="E14" s="65"/>
      <c r="F14" s="95">
        <v>10039.65</v>
      </c>
      <c r="G14" s="96"/>
      <c r="H14" s="97"/>
    </row>
    <row r="15" spans="1:9" ht="15" customHeight="1" x14ac:dyDescent="0.25">
      <c r="A15" s="64" t="s">
        <v>7</v>
      </c>
      <c r="B15" s="65"/>
      <c r="C15" s="65"/>
      <c r="D15" s="65"/>
      <c r="E15" s="65"/>
      <c r="F15" s="95"/>
      <c r="G15" s="96"/>
      <c r="H15" s="97"/>
    </row>
    <row r="16" spans="1:9" ht="15" customHeight="1" x14ac:dyDescent="0.25">
      <c r="A16" s="64" t="s">
        <v>9</v>
      </c>
      <c r="B16" s="65"/>
      <c r="C16" s="65"/>
      <c r="D16" s="65"/>
      <c r="E16" s="65"/>
      <c r="F16" s="95"/>
      <c r="G16" s="96"/>
      <c r="H16" s="97"/>
    </row>
    <row r="17" spans="1:9" ht="15" customHeight="1" x14ac:dyDescent="0.25">
      <c r="A17" s="64" t="s">
        <v>10</v>
      </c>
      <c r="B17" s="76"/>
      <c r="C17" s="76"/>
      <c r="D17" s="76"/>
      <c r="E17" s="77"/>
      <c r="F17" s="95"/>
      <c r="G17" s="96"/>
      <c r="H17" s="97"/>
    </row>
    <row r="18" spans="1:9" ht="15" customHeight="1" x14ac:dyDescent="0.25">
      <c r="A18" s="64" t="s">
        <v>11</v>
      </c>
      <c r="B18" s="76"/>
      <c r="C18" s="76"/>
      <c r="D18" s="76"/>
      <c r="E18" s="77"/>
      <c r="F18" s="95"/>
      <c r="G18" s="96"/>
      <c r="H18" s="97"/>
    </row>
    <row r="19" spans="1:9" ht="15" customHeight="1" x14ac:dyDescent="0.25">
      <c r="A19" s="64" t="s">
        <v>8</v>
      </c>
      <c r="B19" s="65"/>
      <c r="C19" s="65"/>
      <c r="D19" s="65"/>
      <c r="E19" s="65"/>
      <c r="F19" s="95">
        <v>50696.23</v>
      </c>
      <c r="G19" s="96"/>
      <c r="H19" s="97"/>
      <c r="I19" s="7"/>
    </row>
    <row r="20" spans="1:9" ht="15" customHeight="1" x14ac:dyDescent="0.3">
      <c r="A20" s="69"/>
      <c r="B20" s="70"/>
      <c r="C20" s="70"/>
      <c r="D20" s="70"/>
      <c r="E20" s="70"/>
      <c r="F20" s="70"/>
      <c r="G20" s="70"/>
      <c r="H20" s="2"/>
      <c r="I20" s="7"/>
    </row>
    <row r="21" spans="1:9" ht="15" customHeight="1" x14ac:dyDescent="0.3">
      <c r="A21" s="24"/>
      <c r="B21" s="25"/>
      <c r="C21" s="25"/>
      <c r="D21" s="25"/>
      <c r="E21" s="25"/>
      <c r="F21" s="3"/>
      <c r="G21" s="3"/>
      <c r="H21" s="2"/>
    </row>
    <row r="22" spans="1:9" ht="15" customHeight="1" x14ac:dyDescent="0.3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3">
      <c r="A23" s="73" t="s">
        <v>51</v>
      </c>
      <c r="B23" s="74"/>
      <c r="C23" s="74"/>
      <c r="D23" s="74"/>
      <c r="E23" s="74"/>
      <c r="F23" s="74"/>
      <c r="G23" s="74"/>
      <c r="H23" s="4">
        <f>1923687.52-H7</f>
        <v>955574.83000000007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5" t="s">
        <v>47</v>
      </c>
      <c r="B25" s="75"/>
      <c r="C25" s="75"/>
      <c r="D25" s="75"/>
      <c r="E25" s="75"/>
      <c r="F25" s="75"/>
      <c r="G25" s="75"/>
      <c r="H25" s="75"/>
    </row>
    <row r="26" spans="1:9" ht="43.5" customHeight="1" x14ac:dyDescent="0.25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5">
      <c r="A27" s="62"/>
      <c r="B27" s="62"/>
      <c r="C27" s="62"/>
      <c r="D27" s="62"/>
      <c r="E27" s="62"/>
      <c r="F27" s="62"/>
      <c r="G27" s="62"/>
      <c r="H27" s="62"/>
    </row>
    <row r="28" spans="1:9" ht="22.5" customHeight="1" x14ac:dyDescent="0.25">
      <c r="A28" s="63" t="s">
        <v>12</v>
      </c>
      <c r="B28" s="63"/>
      <c r="C28" s="63"/>
      <c r="D28" s="63"/>
      <c r="E28" s="63"/>
      <c r="F28" s="63"/>
      <c r="G28" s="63"/>
      <c r="H28" s="63"/>
    </row>
    <row r="29" spans="1:9" ht="15" customHeight="1" x14ac:dyDescent="0.25">
      <c r="A29" s="63"/>
      <c r="B29" s="63"/>
      <c r="C29" s="63"/>
      <c r="D29" s="63"/>
      <c r="E29" s="63"/>
      <c r="F29" s="63"/>
      <c r="G29" s="63"/>
      <c r="H29" s="63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scale="94" fitToHeight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32"/>
  <sheetViews>
    <sheetView topLeftCell="A16"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0" t="s">
        <v>40</v>
      </c>
      <c r="B2" s="90"/>
      <c r="C2" s="90"/>
      <c r="D2" s="90"/>
      <c r="E2" s="90"/>
      <c r="F2" s="90"/>
      <c r="G2" s="90"/>
      <c r="H2" s="90"/>
    </row>
    <row r="3" spans="1:9" ht="58.5" customHeight="1" x14ac:dyDescent="0.25">
      <c r="A3" s="91"/>
      <c r="B3" s="91"/>
      <c r="C3" s="91"/>
      <c r="D3" s="91"/>
      <c r="E3" s="91"/>
      <c r="F3" s="91"/>
      <c r="G3" s="91"/>
      <c r="H3" s="91"/>
    </row>
    <row r="4" spans="1:9" ht="27.75" customHeight="1" x14ac:dyDescent="0.3">
      <c r="A4" s="92" t="s">
        <v>41</v>
      </c>
      <c r="B4" s="93"/>
      <c r="C4" s="93"/>
      <c r="D4" s="93"/>
      <c r="E4" s="93"/>
      <c r="F4" s="93"/>
      <c r="G4" s="93"/>
      <c r="H4" s="8">
        <f>'май 2017'!H23</f>
        <v>987544.86</v>
      </c>
    </row>
    <row r="5" spans="1:9" ht="18" x14ac:dyDescent="0.2">
      <c r="A5" s="22"/>
      <c r="B5" s="23"/>
      <c r="C5" s="23"/>
      <c r="D5" s="23"/>
      <c r="E5" s="23"/>
      <c r="F5" s="23"/>
      <c r="G5" s="23"/>
      <c r="H5" s="6"/>
    </row>
    <row r="6" spans="1:9" ht="26.25" customHeight="1" x14ac:dyDescent="0.2">
      <c r="A6" s="22"/>
      <c r="B6" s="23"/>
      <c r="C6" s="23"/>
      <c r="D6" s="23"/>
      <c r="E6" s="23"/>
      <c r="F6" s="23"/>
      <c r="G6" s="23"/>
      <c r="H6" s="6"/>
    </row>
    <row r="7" spans="1:9" ht="15" customHeight="1" x14ac:dyDescent="0.3">
      <c r="A7" s="71" t="s">
        <v>42</v>
      </c>
      <c r="B7" s="72"/>
      <c r="C7" s="72"/>
      <c r="D7" s="72"/>
      <c r="E7" s="72"/>
      <c r="F7" s="72"/>
      <c r="G7" s="72"/>
      <c r="H7" s="17">
        <v>941539.23</v>
      </c>
    </row>
    <row r="8" spans="1:9" ht="39" customHeight="1" x14ac:dyDescent="0.3">
      <c r="A8" s="69" t="s">
        <v>0</v>
      </c>
      <c r="B8" s="70"/>
      <c r="C8" s="70"/>
      <c r="D8" s="70"/>
      <c r="E8" s="70"/>
      <c r="F8" s="70"/>
      <c r="G8" s="70"/>
      <c r="H8" s="2">
        <f>SUM(F9:H19)</f>
        <v>986807.29999999993</v>
      </c>
    </row>
    <row r="9" spans="1:9" ht="15" customHeight="1" x14ac:dyDescent="0.25">
      <c r="A9" s="94" t="s">
        <v>1</v>
      </c>
      <c r="B9" s="88"/>
      <c r="C9" s="88"/>
      <c r="D9" s="88"/>
      <c r="E9" s="89"/>
      <c r="F9" s="95">
        <f>412074.19+2267.56</f>
        <v>414341.75</v>
      </c>
      <c r="G9" s="96"/>
      <c r="H9" s="97"/>
      <c r="I9" s="7"/>
    </row>
    <row r="10" spans="1:9" ht="15" customHeight="1" x14ac:dyDescent="0.25">
      <c r="A10" s="87" t="s">
        <v>2</v>
      </c>
      <c r="B10" s="88"/>
      <c r="C10" s="88"/>
      <c r="D10" s="88"/>
      <c r="E10" s="89"/>
      <c r="F10" s="95">
        <f>5097.27+119933.18+16487.17</f>
        <v>141517.62</v>
      </c>
      <c r="G10" s="96"/>
      <c r="H10" s="97"/>
    </row>
    <row r="11" spans="1:9" ht="15" customHeight="1" x14ac:dyDescent="0.25">
      <c r="A11" s="64" t="s">
        <v>3</v>
      </c>
      <c r="B11" s="65"/>
      <c r="C11" s="65"/>
      <c r="D11" s="65"/>
      <c r="E11" s="65"/>
      <c r="F11" s="95">
        <f>7247.25+72873.95+3846.71</f>
        <v>83967.91</v>
      </c>
      <c r="G11" s="96"/>
      <c r="H11" s="97"/>
    </row>
    <row r="12" spans="1:9" ht="15" customHeight="1" x14ac:dyDescent="0.25">
      <c r="A12" s="64" t="s">
        <v>4</v>
      </c>
      <c r="B12" s="65"/>
      <c r="C12" s="65"/>
      <c r="D12" s="65"/>
      <c r="E12" s="65"/>
      <c r="F12" s="95">
        <f>80111.25</f>
        <v>80111.25</v>
      </c>
      <c r="G12" s="96"/>
      <c r="H12" s="97"/>
    </row>
    <row r="13" spans="1:9" ht="15" customHeight="1" x14ac:dyDescent="0.25">
      <c r="A13" s="64" t="s">
        <v>5</v>
      </c>
      <c r="B13" s="65"/>
      <c r="C13" s="65"/>
      <c r="D13" s="65"/>
      <c r="E13" s="65"/>
      <c r="F13" s="95">
        <f>123857.9+13959.8</f>
        <v>137817.69999999998</v>
      </c>
      <c r="G13" s="96"/>
      <c r="H13" s="97"/>
    </row>
    <row r="14" spans="1:9" ht="15" customHeight="1" x14ac:dyDescent="0.25">
      <c r="A14" s="64" t="s">
        <v>6</v>
      </c>
      <c r="B14" s="65"/>
      <c r="C14" s="65"/>
      <c r="D14" s="65"/>
      <c r="E14" s="65"/>
      <c r="F14" s="95">
        <v>10322.57</v>
      </c>
      <c r="G14" s="96"/>
      <c r="H14" s="97"/>
    </row>
    <row r="15" spans="1:9" ht="15" customHeight="1" x14ac:dyDescent="0.25">
      <c r="A15" s="64" t="s">
        <v>7</v>
      </c>
      <c r="B15" s="65"/>
      <c r="C15" s="65"/>
      <c r="D15" s="65"/>
      <c r="E15" s="65"/>
      <c r="F15" s="95"/>
      <c r="G15" s="96"/>
      <c r="H15" s="97"/>
    </row>
    <row r="16" spans="1:9" ht="15" customHeight="1" x14ac:dyDescent="0.25">
      <c r="A16" s="64" t="s">
        <v>9</v>
      </c>
      <c r="B16" s="65"/>
      <c r="C16" s="65"/>
      <c r="D16" s="65"/>
      <c r="E16" s="65"/>
      <c r="F16" s="95"/>
      <c r="G16" s="96"/>
      <c r="H16" s="97"/>
    </row>
    <row r="17" spans="1:9" ht="15" customHeight="1" x14ac:dyDescent="0.25">
      <c r="A17" s="64" t="s">
        <v>10</v>
      </c>
      <c r="B17" s="76"/>
      <c r="C17" s="76"/>
      <c r="D17" s="76"/>
      <c r="E17" s="77"/>
      <c r="F17" s="95"/>
      <c r="G17" s="96"/>
      <c r="H17" s="97"/>
    </row>
    <row r="18" spans="1:9" ht="15" customHeight="1" x14ac:dyDescent="0.25">
      <c r="A18" s="64" t="s">
        <v>11</v>
      </c>
      <c r="B18" s="76"/>
      <c r="C18" s="76"/>
      <c r="D18" s="76"/>
      <c r="E18" s="77"/>
      <c r="F18" s="95"/>
      <c r="G18" s="96"/>
      <c r="H18" s="97"/>
    </row>
    <row r="19" spans="1:9" ht="15" customHeight="1" x14ac:dyDescent="0.25">
      <c r="A19" s="64" t="s">
        <v>8</v>
      </c>
      <c r="B19" s="65"/>
      <c r="C19" s="65"/>
      <c r="D19" s="65"/>
      <c r="E19" s="65"/>
      <c r="F19" s="95">
        <f>118728.5</f>
        <v>118728.5</v>
      </c>
      <c r="G19" s="96"/>
      <c r="H19" s="97"/>
      <c r="I19" s="7"/>
    </row>
    <row r="20" spans="1:9" ht="15" customHeight="1" x14ac:dyDescent="0.2">
      <c r="A20" s="69"/>
      <c r="B20" s="70"/>
      <c r="C20" s="70"/>
      <c r="D20" s="70"/>
      <c r="E20" s="70"/>
      <c r="F20" s="70"/>
      <c r="G20" s="70"/>
      <c r="H20" s="2"/>
      <c r="I20" s="7"/>
    </row>
    <row r="21" spans="1:9" ht="15" customHeight="1" x14ac:dyDescent="0.25">
      <c r="A21" s="22"/>
      <c r="B21" s="23"/>
      <c r="C21" s="23"/>
      <c r="D21" s="23"/>
      <c r="E21" s="23"/>
      <c r="F21" s="3"/>
      <c r="G21" s="3"/>
      <c r="H21" s="2"/>
    </row>
    <row r="22" spans="1:9" ht="15" customHeight="1" x14ac:dyDescent="0.2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3">
      <c r="A23" s="73" t="s">
        <v>46</v>
      </c>
      <c r="B23" s="74"/>
      <c r="C23" s="74"/>
      <c r="D23" s="74"/>
      <c r="E23" s="74"/>
      <c r="F23" s="74"/>
      <c r="G23" s="74"/>
      <c r="H23" s="4">
        <f>1863849.38-H7</f>
        <v>922310.14999999991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5" t="s">
        <v>47</v>
      </c>
      <c r="B25" s="75"/>
      <c r="C25" s="75"/>
      <c r="D25" s="75"/>
      <c r="E25" s="75"/>
      <c r="F25" s="75"/>
      <c r="G25" s="75"/>
      <c r="H25" s="75"/>
    </row>
    <row r="26" spans="1:9" ht="43.5" customHeight="1" x14ac:dyDescent="0.25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">
      <c r="A27" s="62"/>
      <c r="B27" s="62"/>
      <c r="C27" s="62"/>
      <c r="D27" s="62"/>
      <c r="E27" s="62"/>
      <c r="F27" s="62"/>
      <c r="G27" s="62"/>
      <c r="H27" s="62"/>
    </row>
    <row r="28" spans="1:9" ht="22.5" customHeight="1" x14ac:dyDescent="0.25">
      <c r="A28" s="63" t="s">
        <v>12</v>
      </c>
      <c r="B28" s="63"/>
      <c r="C28" s="63"/>
      <c r="D28" s="63"/>
      <c r="E28" s="63"/>
      <c r="F28" s="63"/>
      <c r="G28" s="63"/>
      <c r="H28" s="63"/>
    </row>
    <row r="29" spans="1:9" ht="15" customHeight="1" x14ac:dyDescent="0.25">
      <c r="A29" s="63"/>
      <c r="B29" s="63"/>
      <c r="C29" s="63"/>
      <c r="D29" s="63"/>
      <c r="E29" s="63"/>
      <c r="F29" s="63"/>
      <c r="G29" s="63"/>
      <c r="H29" s="63"/>
    </row>
    <row r="30" spans="1:9" ht="43.5" customHeight="1" x14ac:dyDescent="0.2"/>
    <row r="31" spans="1:9" ht="10.3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scale="9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35"/>
  <sheetViews>
    <sheetView topLeftCell="A4" workbookViewId="0">
      <selection activeCell="H5" sqref="H5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0" t="s">
        <v>124</v>
      </c>
      <c r="B2" s="90"/>
      <c r="C2" s="90"/>
      <c r="D2" s="90"/>
      <c r="E2" s="90"/>
      <c r="F2" s="90"/>
      <c r="G2" s="90"/>
      <c r="H2" s="90"/>
    </row>
    <row r="3" spans="1:9" ht="58.5" customHeight="1" x14ac:dyDescent="0.25">
      <c r="A3" s="91"/>
      <c r="B3" s="91"/>
      <c r="C3" s="91"/>
      <c r="D3" s="91"/>
      <c r="E3" s="91"/>
      <c r="F3" s="91"/>
      <c r="G3" s="91"/>
      <c r="H3" s="91"/>
    </row>
    <row r="4" spans="1:9" ht="27.75" customHeight="1" x14ac:dyDescent="0.3">
      <c r="A4" s="92" t="s">
        <v>125</v>
      </c>
      <c r="B4" s="93"/>
      <c r="C4" s="93"/>
      <c r="D4" s="93"/>
      <c r="E4" s="93"/>
      <c r="F4" s="93"/>
      <c r="G4" s="93"/>
      <c r="H4" s="32">
        <f>'октябрь 2018'!H23</f>
        <v>2196396.2299999995</v>
      </c>
    </row>
    <row r="5" spans="1:9" ht="18" x14ac:dyDescent="0.2">
      <c r="A5" s="58"/>
      <c r="B5" s="59"/>
      <c r="C5" s="59"/>
      <c r="D5" s="59"/>
      <c r="E5" s="59"/>
      <c r="F5" s="59"/>
      <c r="G5" s="59"/>
      <c r="H5" s="6"/>
    </row>
    <row r="6" spans="1:9" ht="26.25" customHeight="1" x14ac:dyDescent="0.2">
      <c r="A6" s="58"/>
      <c r="B6" s="59"/>
      <c r="C6" s="59"/>
      <c r="D6" s="59"/>
      <c r="E6" s="59"/>
      <c r="F6" s="59"/>
      <c r="G6" s="59"/>
      <c r="H6" s="6"/>
    </row>
    <row r="7" spans="1:9" ht="15" customHeight="1" x14ac:dyDescent="0.3">
      <c r="A7" s="71" t="s">
        <v>126</v>
      </c>
      <c r="B7" s="72"/>
      <c r="C7" s="72"/>
      <c r="D7" s="72"/>
      <c r="E7" s="72"/>
      <c r="F7" s="72"/>
      <c r="G7" s="72"/>
      <c r="H7" s="17">
        <v>1675097.13</v>
      </c>
    </row>
    <row r="8" spans="1:9" ht="39" customHeight="1" x14ac:dyDescent="0.3">
      <c r="A8" s="69" t="s">
        <v>0</v>
      </c>
      <c r="B8" s="70"/>
      <c r="C8" s="70"/>
      <c r="D8" s="70"/>
      <c r="E8" s="70"/>
      <c r="F8" s="70"/>
      <c r="G8" s="70"/>
      <c r="H8" s="17">
        <f>SUM(F9:H22)</f>
        <v>1182112.3500000001</v>
      </c>
    </row>
    <row r="9" spans="1:9" ht="15" customHeight="1" x14ac:dyDescent="0.25">
      <c r="A9" s="94" t="s">
        <v>1</v>
      </c>
      <c r="B9" s="88"/>
      <c r="C9" s="88"/>
      <c r="D9" s="88"/>
      <c r="E9" s="89"/>
      <c r="F9" s="66">
        <f>426190.57+49.08+1207.19+3304.3+2093.72+15531.23+13724.69</f>
        <v>462100.77999999997</v>
      </c>
      <c r="G9" s="67"/>
      <c r="H9" s="68"/>
      <c r="I9" s="7"/>
    </row>
    <row r="10" spans="1:9" ht="15" customHeight="1" x14ac:dyDescent="0.25">
      <c r="A10" s="84" t="s">
        <v>129</v>
      </c>
      <c r="B10" s="85"/>
      <c r="C10" s="85"/>
      <c r="D10" s="85"/>
      <c r="E10" s="86"/>
      <c r="F10" s="81">
        <f>2800</f>
        <v>2800</v>
      </c>
      <c r="G10" s="82"/>
      <c r="H10" s="83"/>
      <c r="I10" s="7"/>
    </row>
    <row r="11" spans="1:9" ht="15" customHeight="1" x14ac:dyDescent="0.25">
      <c r="A11" s="87" t="s">
        <v>2</v>
      </c>
      <c r="B11" s="88"/>
      <c r="C11" s="88"/>
      <c r="D11" s="88"/>
      <c r="E11" s="89"/>
      <c r="F11" s="66">
        <f>29951.89</f>
        <v>29951.89</v>
      </c>
      <c r="G11" s="67"/>
      <c r="H11" s="68"/>
    </row>
    <row r="12" spans="1:9" ht="15" customHeight="1" x14ac:dyDescent="0.25">
      <c r="A12" s="79" t="s">
        <v>127</v>
      </c>
      <c r="B12" s="79"/>
      <c r="C12" s="79"/>
      <c r="D12" s="79"/>
      <c r="E12" s="80"/>
      <c r="F12" s="81">
        <f>60159.59</f>
        <v>60159.59</v>
      </c>
      <c r="G12" s="82"/>
      <c r="H12" s="83"/>
    </row>
    <row r="13" spans="1:9" ht="15" customHeight="1" x14ac:dyDescent="0.25">
      <c r="A13" s="64" t="s">
        <v>3</v>
      </c>
      <c r="B13" s="65"/>
      <c r="C13" s="65"/>
      <c r="D13" s="65"/>
      <c r="E13" s="65"/>
      <c r="F13" s="66">
        <f>88236.23</f>
        <v>88236.23</v>
      </c>
      <c r="G13" s="67"/>
      <c r="H13" s="68"/>
    </row>
    <row r="14" spans="1:9" ht="15" customHeight="1" x14ac:dyDescent="0.25">
      <c r="A14" s="64" t="s">
        <v>4</v>
      </c>
      <c r="B14" s="65"/>
      <c r="C14" s="65"/>
      <c r="D14" s="65"/>
      <c r="E14" s="65"/>
      <c r="F14" s="66">
        <f>86720.92</f>
        <v>86720.92</v>
      </c>
      <c r="G14" s="67"/>
      <c r="H14" s="68"/>
    </row>
    <row r="15" spans="1:9" ht="15" customHeight="1" x14ac:dyDescent="0.25">
      <c r="A15" s="78" t="s">
        <v>128</v>
      </c>
      <c r="B15" s="79"/>
      <c r="C15" s="79"/>
      <c r="D15" s="79"/>
      <c r="E15" s="80"/>
      <c r="F15" s="81">
        <f>27647.55</f>
        <v>27647.55</v>
      </c>
      <c r="G15" s="82"/>
      <c r="H15" s="83"/>
    </row>
    <row r="16" spans="1:9" ht="15" customHeight="1" x14ac:dyDescent="0.25">
      <c r="A16" s="64" t="s">
        <v>5</v>
      </c>
      <c r="B16" s="65"/>
      <c r="C16" s="65"/>
      <c r="D16" s="65"/>
      <c r="E16" s="65"/>
      <c r="F16" s="66">
        <v>168524.08</v>
      </c>
      <c r="G16" s="67"/>
      <c r="H16" s="68"/>
    </row>
    <row r="17" spans="1:9" ht="15" customHeight="1" x14ac:dyDescent="0.25">
      <c r="A17" s="64" t="s">
        <v>6</v>
      </c>
      <c r="B17" s="65"/>
      <c r="C17" s="65"/>
      <c r="D17" s="65"/>
      <c r="E17" s="65"/>
      <c r="F17" s="66">
        <f>10269.66</f>
        <v>10269.66</v>
      </c>
      <c r="G17" s="67"/>
      <c r="H17" s="68"/>
    </row>
    <row r="18" spans="1:9" ht="15" customHeight="1" x14ac:dyDescent="0.25">
      <c r="A18" s="64" t="s">
        <v>7</v>
      </c>
      <c r="B18" s="65"/>
      <c r="C18" s="65"/>
      <c r="D18" s="65"/>
      <c r="E18" s="65"/>
      <c r="F18" s="66"/>
      <c r="G18" s="67"/>
      <c r="H18" s="68"/>
    </row>
    <row r="19" spans="1:9" ht="15" customHeight="1" x14ac:dyDescent="0.25">
      <c r="A19" s="64" t="s">
        <v>9</v>
      </c>
      <c r="B19" s="65"/>
      <c r="C19" s="65"/>
      <c r="D19" s="65"/>
      <c r="E19" s="65"/>
      <c r="F19" s="66">
        <v>5022.63</v>
      </c>
      <c r="G19" s="67"/>
      <c r="H19" s="68"/>
    </row>
    <row r="20" spans="1:9" ht="15" customHeight="1" x14ac:dyDescent="0.25">
      <c r="A20" s="64" t="s">
        <v>10</v>
      </c>
      <c r="B20" s="76"/>
      <c r="C20" s="76"/>
      <c r="D20" s="76"/>
      <c r="E20" s="77"/>
      <c r="F20" s="66">
        <f>74565.91</f>
        <v>74565.91</v>
      </c>
      <c r="G20" s="67"/>
      <c r="H20" s="68"/>
    </row>
    <row r="21" spans="1:9" ht="15" customHeight="1" x14ac:dyDescent="0.25">
      <c r="A21" s="64" t="s">
        <v>11</v>
      </c>
      <c r="B21" s="76"/>
      <c r="C21" s="76"/>
      <c r="D21" s="76"/>
      <c r="E21" s="77"/>
      <c r="F21" s="66"/>
      <c r="G21" s="67"/>
      <c r="H21" s="68"/>
    </row>
    <row r="22" spans="1:9" ht="15" customHeight="1" x14ac:dyDescent="0.25">
      <c r="A22" s="64" t="s">
        <v>8</v>
      </c>
      <c r="B22" s="65"/>
      <c r="C22" s="65"/>
      <c r="D22" s="65"/>
      <c r="E22" s="65"/>
      <c r="F22" s="66">
        <f>166113.11</f>
        <v>166113.10999999999</v>
      </c>
      <c r="G22" s="67"/>
      <c r="H22" s="68"/>
      <c r="I22" s="7"/>
    </row>
    <row r="23" spans="1:9" ht="15" customHeight="1" x14ac:dyDescent="0.2">
      <c r="A23" s="69"/>
      <c r="B23" s="70"/>
      <c r="C23" s="70"/>
      <c r="D23" s="70"/>
      <c r="E23" s="70"/>
      <c r="F23" s="70"/>
      <c r="G23" s="70"/>
      <c r="H23" s="2"/>
      <c r="I23" s="7"/>
    </row>
    <row r="24" spans="1:9" ht="15" customHeight="1" x14ac:dyDescent="0.25">
      <c r="A24" s="58"/>
      <c r="B24" s="59"/>
      <c r="C24" s="59"/>
      <c r="D24" s="59"/>
      <c r="E24" s="59"/>
      <c r="F24" s="3"/>
      <c r="G24" s="3"/>
      <c r="H24" s="2"/>
    </row>
    <row r="25" spans="1:9" ht="15" customHeight="1" x14ac:dyDescent="0.2">
      <c r="A25" s="71"/>
      <c r="B25" s="72"/>
      <c r="C25" s="72"/>
      <c r="D25" s="72"/>
      <c r="E25" s="72"/>
      <c r="F25" s="72"/>
      <c r="G25" s="72"/>
      <c r="H25" s="2"/>
    </row>
    <row r="26" spans="1:9" ht="15" customHeight="1" x14ac:dyDescent="0.3">
      <c r="A26" s="73" t="s">
        <v>130</v>
      </c>
      <c r="B26" s="74"/>
      <c r="C26" s="74"/>
      <c r="D26" s="74"/>
      <c r="E26" s="74"/>
      <c r="F26" s="74"/>
      <c r="G26" s="74"/>
      <c r="H26" s="57">
        <f>4003518.3-H7</f>
        <v>2328421.17</v>
      </c>
    </row>
    <row r="27" spans="1:9" ht="15" customHeight="1" x14ac:dyDescent="0.2">
      <c r="A27" s="1"/>
      <c r="B27" s="1"/>
      <c r="C27" s="1"/>
      <c r="D27" s="1"/>
      <c r="E27" s="1"/>
      <c r="F27" s="1"/>
      <c r="G27" s="5"/>
      <c r="H27" s="5"/>
    </row>
    <row r="28" spans="1:9" ht="36.75" customHeight="1" x14ac:dyDescent="0.25">
      <c r="A28" s="75" t="s">
        <v>131</v>
      </c>
      <c r="B28" s="75"/>
      <c r="C28" s="75"/>
      <c r="D28" s="75"/>
      <c r="E28" s="75"/>
      <c r="F28" s="75"/>
      <c r="G28" s="75"/>
      <c r="H28" s="75"/>
    </row>
    <row r="29" spans="1:9" ht="43.5" customHeight="1" x14ac:dyDescent="0.25">
      <c r="A29" s="75"/>
      <c r="B29" s="75"/>
      <c r="C29" s="75"/>
      <c r="D29" s="75"/>
      <c r="E29" s="75"/>
      <c r="F29" s="75"/>
      <c r="G29" s="75"/>
      <c r="H29" s="75"/>
    </row>
    <row r="30" spans="1:9" ht="21" customHeight="1" x14ac:dyDescent="0.25">
      <c r="A30" s="62"/>
      <c r="B30" s="62"/>
      <c r="C30" s="62"/>
      <c r="D30" s="62"/>
      <c r="E30" s="62"/>
      <c r="F30" s="62"/>
      <c r="G30" s="62"/>
      <c r="H30" s="62"/>
    </row>
    <row r="31" spans="1:9" ht="22.5" customHeight="1" x14ac:dyDescent="0.25">
      <c r="A31" s="63" t="s">
        <v>109</v>
      </c>
      <c r="B31" s="63"/>
      <c r="C31" s="63"/>
      <c r="D31" s="63"/>
      <c r="E31" s="63"/>
      <c r="F31" s="63"/>
      <c r="G31" s="63"/>
      <c r="H31" s="63"/>
    </row>
    <row r="32" spans="1:9" ht="15" customHeight="1" x14ac:dyDescent="0.25">
      <c r="A32" s="63"/>
      <c r="B32" s="63"/>
      <c r="C32" s="63"/>
      <c r="D32" s="63"/>
      <c r="E32" s="63"/>
      <c r="F32" s="63"/>
      <c r="G32" s="63"/>
      <c r="H32" s="63"/>
    </row>
    <row r="33" ht="43.5" customHeight="1" x14ac:dyDescent="0.25"/>
    <row r="34" ht="10.35" customHeight="1" x14ac:dyDescent="0.25"/>
    <row r="35" ht="84" hidden="1" customHeight="1" x14ac:dyDescent="0.2"/>
  </sheetData>
  <mergeCells count="38">
    <mergeCell ref="A30:H30"/>
    <mergeCell ref="A31:H32"/>
    <mergeCell ref="A12:E12"/>
    <mergeCell ref="A15:E15"/>
    <mergeCell ref="A10:E10"/>
    <mergeCell ref="F10:H10"/>
    <mergeCell ref="F12:H12"/>
    <mergeCell ref="F15:H15"/>
    <mergeCell ref="A22:E22"/>
    <mergeCell ref="F22:H22"/>
    <mergeCell ref="A23:G23"/>
    <mergeCell ref="A25:G25"/>
    <mergeCell ref="A26:G26"/>
    <mergeCell ref="A28:H29"/>
    <mergeCell ref="A19:E19"/>
    <mergeCell ref="F19:H19"/>
    <mergeCell ref="A20:E20"/>
    <mergeCell ref="F20:H20"/>
    <mergeCell ref="A21:E21"/>
    <mergeCell ref="F21:H21"/>
    <mergeCell ref="A16:E16"/>
    <mergeCell ref="F16:H16"/>
    <mergeCell ref="A17:E17"/>
    <mergeCell ref="F17:H17"/>
    <mergeCell ref="A18:E18"/>
    <mergeCell ref="F18:H18"/>
    <mergeCell ref="A11:E11"/>
    <mergeCell ref="F11:H11"/>
    <mergeCell ref="A13:E13"/>
    <mergeCell ref="F13:H13"/>
    <mergeCell ref="A14:E14"/>
    <mergeCell ref="F14:H14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scale="94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32"/>
  <sheetViews>
    <sheetView topLeftCell="A2" workbookViewId="0">
      <selection activeCell="H23" sqref="H23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0" t="s">
        <v>36</v>
      </c>
      <c r="B2" s="90"/>
      <c r="C2" s="90"/>
      <c r="D2" s="90"/>
      <c r="E2" s="90"/>
      <c r="F2" s="90"/>
      <c r="G2" s="90"/>
      <c r="H2" s="90"/>
    </row>
    <row r="3" spans="1:9" ht="58.5" customHeight="1" x14ac:dyDescent="0.25">
      <c r="A3" s="91"/>
      <c r="B3" s="91"/>
      <c r="C3" s="91"/>
      <c r="D3" s="91"/>
      <c r="E3" s="91"/>
      <c r="F3" s="91"/>
      <c r="G3" s="91"/>
      <c r="H3" s="91"/>
    </row>
    <row r="4" spans="1:9" ht="27.75" customHeight="1" x14ac:dyDescent="0.3">
      <c r="A4" s="92" t="s">
        <v>37</v>
      </c>
      <c r="B4" s="93"/>
      <c r="C4" s="93"/>
      <c r="D4" s="93"/>
      <c r="E4" s="93"/>
      <c r="F4" s="93"/>
      <c r="G4" s="93"/>
      <c r="H4" s="8">
        <f>'апрель 2017'!H23</f>
        <v>978659.10000000009</v>
      </c>
    </row>
    <row r="5" spans="1:9" ht="18" x14ac:dyDescent="0.2">
      <c r="A5" s="20"/>
      <c r="B5" s="21"/>
      <c r="C5" s="21"/>
      <c r="D5" s="21"/>
      <c r="E5" s="21"/>
      <c r="F5" s="21"/>
      <c r="G5" s="21"/>
      <c r="H5" s="6"/>
    </row>
    <row r="6" spans="1:9" ht="26.25" customHeight="1" x14ac:dyDescent="0.2">
      <c r="A6" s="20"/>
      <c r="B6" s="21"/>
      <c r="C6" s="21"/>
      <c r="D6" s="21"/>
      <c r="E6" s="21"/>
      <c r="F6" s="21"/>
      <c r="G6" s="21"/>
      <c r="H6" s="6"/>
    </row>
    <row r="7" spans="1:9" ht="15" customHeight="1" x14ac:dyDescent="0.3">
      <c r="A7" s="71" t="s">
        <v>38</v>
      </c>
      <c r="B7" s="72"/>
      <c r="C7" s="72"/>
      <c r="D7" s="72"/>
      <c r="E7" s="72"/>
      <c r="F7" s="72"/>
      <c r="G7" s="72"/>
      <c r="H7" s="17">
        <v>921572.6</v>
      </c>
    </row>
    <row r="8" spans="1:9" ht="39" customHeight="1" x14ac:dyDescent="0.3">
      <c r="A8" s="69" t="s">
        <v>0</v>
      </c>
      <c r="B8" s="70"/>
      <c r="C8" s="70"/>
      <c r="D8" s="70"/>
      <c r="E8" s="70"/>
      <c r="F8" s="70"/>
      <c r="G8" s="70"/>
      <c r="H8" s="2">
        <f>SUM(F9:H19)</f>
        <v>1306119.2199999997</v>
      </c>
    </row>
    <row r="9" spans="1:9" ht="15" customHeight="1" x14ac:dyDescent="0.25">
      <c r="A9" s="94" t="s">
        <v>1</v>
      </c>
      <c r="B9" s="88"/>
      <c r="C9" s="88"/>
      <c r="D9" s="88"/>
      <c r="E9" s="89"/>
      <c r="F9" s="95">
        <f>3649.54+418479.94</f>
        <v>422129.48</v>
      </c>
      <c r="G9" s="96"/>
      <c r="H9" s="97"/>
      <c r="I9" s="7"/>
    </row>
    <row r="10" spans="1:9" ht="15" customHeight="1" x14ac:dyDescent="0.25">
      <c r="A10" s="87" t="s">
        <v>2</v>
      </c>
      <c r="B10" s="88"/>
      <c r="C10" s="88"/>
      <c r="D10" s="88"/>
      <c r="E10" s="89"/>
      <c r="F10" s="95">
        <f>102728.14+4337.29</f>
        <v>107065.43</v>
      </c>
      <c r="G10" s="96"/>
      <c r="H10" s="97"/>
    </row>
    <row r="11" spans="1:9" ht="15" customHeight="1" x14ac:dyDescent="0.25">
      <c r="A11" s="64" t="s">
        <v>3</v>
      </c>
      <c r="B11" s="65"/>
      <c r="C11" s="65"/>
      <c r="D11" s="65"/>
      <c r="E11" s="65"/>
      <c r="F11" s="95">
        <f>44966.08+72120.76+3920.78</f>
        <v>121007.62</v>
      </c>
      <c r="G11" s="96"/>
      <c r="H11" s="97"/>
    </row>
    <row r="12" spans="1:9" ht="15" customHeight="1" x14ac:dyDescent="0.25">
      <c r="A12" s="64" t="s">
        <v>4</v>
      </c>
      <c r="B12" s="65"/>
      <c r="C12" s="65"/>
      <c r="D12" s="65"/>
      <c r="E12" s="65"/>
      <c r="F12" s="95">
        <v>82027.56</v>
      </c>
      <c r="G12" s="96"/>
      <c r="H12" s="97"/>
    </row>
    <row r="13" spans="1:9" ht="15" customHeight="1" x14ac:dyDescent="0.25">
      <c r="A13" s="64" t="s">
        <v>5</v>
      </c>
      <c r="B13" s="65"/>
      <c r="C13" s="65"/>
      <c r="D13" s="65"/>
      <c r="E13" s="65"/>
      <c r="F13" s="95">
        <f>14338.81+123987.93</f>
        <v>138326.74</v>
      </c>
      <c r="G13" s="96"/>
      <c r="H13" s="97"/>
    </row>
    <row r="14" spans="1:9" ht="15" customHeight="1" x14ac:dyDescent="0.25">
      <c r="A14" s="64" t="s">
        <v>6</v>
      </c>
      <c r="B14" s="65"/>
      <c r="C14" s="65"/>
      <c r="D14" s="65"/>
      <c r="E14" s="65"/>
      <c r="F14" s="95">
        <v>10362.25</v>
      </c>
      <c r="G14" s="96"/>
      <c r="H14" s="97"/>
    </row>
    <row r="15" spans="1:9" ht="15" customHeight="1" x14ac:dyDescent="0.25">
      <c r="A15" s="64" t="s">
        <v>7</v>
      </c>
      <c r="B15" s="65"/>
      <c r="C15" s="65"/>
      <c r="D15" s="65"/>
      <c r="E15" s="65"/>
      <c r="F15" s="95"/>
      <c r="G15" s="96"/>
      <c r="H15" s="97"/>
    </row>
    <row r="16" spans="1:9" ht="15" customHeight="1" x14ac:dyDescent="0.25">
      <c r="A16" s="64" t="s">
        <v>9</v>
      </c>
      <c r="B16" s="65"/>
      <c r="C16" s="65"/>
      <c r="D16" s="65"/>
      <c r="E16" s="65"/>
      <c r="F16" s="95"/>
      <c r="G16" s="96"/>
      <c r="H16" s="97"/>
    </row>
    <row r="17" spans="1:9" ht="15" customHeight="1" x14ac:dyDescent="0.25">
      <c r="A17" s="64" t="s">
        <v>10</v>
      </c>
      <c r="B17" s="76"/>
      <c r="C17" s="76"/>
      <c r="D17" s="76"/>
      <c r="E17" s="77"/>
      <c r="F17" s="95"/>
      <c r="G17" s="96"/>
      <c r="H17" s="97"/>
    </row>
    <row r="18" spans="1:9" ht="15" customHeight="1" x14ac:dyDescent="0.25">
      <c r="A18" s="64" t="s">
        <v>11</v>
      </c>
      <c r="B18" s="76"/>
      <c r="C18" s="76"/>
      <c r="D18" s="76"/>
      <c r="E18" s="77"/>
      <c r="F18" s="95"/>
      <c r="G18" s="96"/>
      <c r="H18" s="97"/>
    </row>
    <row r="19" spans="1:9" ht="15" customHeight="1" x14ac:dyDescent="0.25">
      <c r="A19" s="64" t="s">
        <v>8</v>
      </c>
      <c r="B19" s="65"/>
      <c r="C19" s="65"/>
      <c r="D19" s="65"/>
      <c r="E19" s="65"/>
      <c r="F19" s="95">
        <v>425200.14</v>
      </c>
      <c r="G19" s="96"/>
      <c r="H19" s="97"/>
      <c r="I19" s="7"/>
    </row>
    <row r="20" spans="1:9" ht="15" customHeight="1" x14ac:dyDescent="0.3">
      <c r="A20" s="69"/>
      <c r="B20" s="70"/>
      <c r="C20" s="70"/>
      <c r="D20" s="70"/>
      <c r="E20" s="70"/>
      <c r="F20" s="70"/>
      <c r="G20" s="70"/>
      <c r="H20" s="2"/>
      <c r="I20" s="7"/>
    </row>
    <row r="21" spans="1:9" ht="15" customHeight="1" x14ac:dyDescent="0.3">
      <c r="A21" s="20"/>
      <c r="B21" s="21"/>
      <c r="C21" s="21"/>
      <c r="D21" s="21"/>
      <c r="E21" s="21"/>
      <c r="F21" s="3"/>
      <c r="G21" s="3"/>
      <c r="H21" s="2"/>
    </row>
    <row r="22" spans="1:9" ht="15" customHeight="1" x14ac:dyDescent="0.3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3">
      <c r="A23" s="73" t="s">
        <v>45</v>
      </c>
      <c r="B23" s="74"/>
      <c r="C23" s="74"/>
      <c r="D23" s="74"/>
      <c r="E23" s="74"/>
      <c r="F23" s="74"/>
      <c r="G23" s="74"/>
      <c r="H23" s="4">
        <f>1909117.46-H7</f>
        <v>987544.86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5" t="s">
        <v>39</v>
      </c>
      <c r="B25" s="75"/>
      <c r="C25" s="75"/>
      <c r="D25" s="75"/>
      <c r="E25" s="75"/>
      <c r="F25" s="75"/>
      <c r="G25" s="75"/>
      <c r="H25" s="75"/>
    </row>
    <row r="26" spans="1:9" ht="43.5" customHeight="1" x14ac:dyDescent="0.25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5">
      <c r="A27" s="62"/>
      <c r="B27" s="62"/>
      <c r="C27" s="62"/>
      <c r="D27" s="62"/>
      <c r="E27" s="62"/>
      <c r="F27" s="62"/>
      <c r="G27" s="62"/>
      <c r="H27" s="62"/>
    </row>
    <row r="28" spans="1:9" ht="22.5" customHeight="1" x14ac:dyDescent="0.25">
      <c r="A28" s="63" t="s">
        <v>12</v>
      </c>
      <c r="B28" s="63"/>
      <c r="C28" s="63"/>
      <c r="D28" s="63"/>
      <c r="E28" s="63"/>
      <c r="F28" s="63"/>
      <c r="G28" s="63"/>
      <c r="H28" s="63"/>
    </row>
    <row r="29" spans="1:9" ht="15" customHeight="1" x14ac:dyDescent="0.25">
      <c r="A29" s="63"/>
      <c r="B29" s="63"/>
      <c r="C29" s="63"/>
      <c r="D29" s="63"/>
      <c r="E29" s="63"/>
      <c r="F29" s="63"/>
      <c r="G29" s="63"/>
      <c r="H29" s="63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scale="94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32"/>
  <sheetViews>
    <sheetView workbookViewId="0">
      <selection activeCell="M21" sqref="M21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0" t="s">
        <v>32</v>
      </c>
      <c r="B2" s="90"/>
      <c r="C2" s="90"/>
      <c r="D2" s="90"/>
      <c r="E2" s="90"/>
      <c r="F2" s="90"/>
      <c r="G2" s="90"/>
      <c r="H2" s="90"/>
    </row>
    <row r="3" spans="1:9" ht="58.5" customHeight="1" x14ac:dyDescent="0.25">
      <c r="A3" s="91"/>
      <c r="B3" s="91"/>
      <c r="C3" s="91"/>
      <c r="D3" s="91"/>
      <c r="E3" s="91"/>
      <c r="F3" s="91"/>
      <c r="G3" s="91"/>
      <c r="H3" s="91"/>
    </row>
    <row r="4" spans="1:9" ht="27.75" customHeight="1" x14ac:dyDescent="0.3">
      <c r="A4" s="92" t="s">
        <v>33</v>
      </c>
      <c r="B4" s="93"/>
      <c r="C4" s="93"/>
      <c r="D4" s="93"/>
      <c r="E4" s="93"/>
      <c r="F4" s="93"/>
      <c r="G4" s="93"/>
      <c r="H4" s="8">
        <f>'март 2017'!H23</f>
        <v>847546.56000000029</v>
      </c>
    </row>
    <row r="5" spans="1:9" ht="18" x14ac:dyDescent="0.2">
      <c r="A5" s="18"/>
      <c r="B5" s="19"/>
      <c r="C5" s="19"/>
      <c r="D5" s="19"/>
      <c r="E5" s="19"/>
      <c r="F5" s="19"/>
      <c r="G5" s="19"/>
      <c r="H5" s="6"/>
    </row>
    <row r="6" spans="1:9" ht="26.25" customHeight="1" x14ac:dyDescent="0.2">
      <c r="A6" s="18"/>
      <c r="B6" s="19"/>
      <c r="C6" s="19"/>
      <c r="D6" s="19"/>
      <c r="E6" s="19"/>
      <c r="F6" s="19"/>
      <c r="G6" s="19"/>
      <c r="H6" s="6"/>
    </row>
    <row r="7" spans="1:9" ht="15" customHeight="1" x14ac:dyDescent="0.3">
      <c r="A7" s="71" t="s">
        <v>34</v>
      </c>
      <c r="B7" s="72"/>
      <c r="C7" s="72"/>
      <c r="D7" s="72"/>
      <c r="E7" s="72"/>
      <c r="F7" s="72"/>
      <c r="G7" s="72"/>
      <c r="H7" s="17">
        <v>1344424.33</v>
      </c>
    </row>
    <row r="8" spans="1:9" ht="39" customHeight="1" x14ac:dyDescent="0.3">
      <c r="A8" s="69" t="s">
        <v>0</v>
      </c>
      <c r="B8" s="70"/>
      <c r="C8" s="70"/>
      <c r="D8" s="70"/>
      <c r="E8" s="70"/>
      <c r="F8" s="70"/>
      <c r="G8" s="70"/>
      <c r="H8" s="2">
        <f>SUM(F9:H19)</f>
        <v>1301308.97</v>
      </c>
    </row>
    <row r="9" spans="1:9" ht="15" customHeight="1" x14ac:dyDescent="0.25">
      <c r="A9" s="94" t="s">
        <v>1</v>
      </c>
      <c r="B9" s="88"/>
      <c r="C9" s="88"/>
      <c r="D9" s="88"/>
      <c r="E9" s="89"/>
      <c r="F9" s="95">
        <f>556.49+3525.2+12806.14+388504.49</f>
        <v>405392.32</v>
      </c>
      <c r="G9" s="96"/>
      <c r="H9" s="97"/>
      <c r="I9" s="7"/>
    </row>
    <row r="10" spans="1:9" ht="15" customHeight="1" x14ac:dyDescent="0.25">
      <c r="A10" s="87" t="s">
        <v>2</v>
      </c>
      <c r="B10" s="88"/>
      <c r="C10" s="88"/>
      <c r="D10" s="88"/>
      <c r="E10" s="89"/>
      <c r="F10" s="95">
        <f>18060.31+90620.09</f>
        <v>108680.4</v>
      </c>
      <c r="G10" s="96"/>
      <c r="H10" s="97"/>
    </row>
    <row r="11" spans="1:9" ht="15" customHeight="1" x14ac:dyDescent="0.25">
      <c r="A11" s="64" t="s">
        <v>3</v>
      </c>
      <c r="B11" s="65"/>
      <c r="C11" s="65"/>
      <c r="D11" s="65"/>
      <c r="E11" s="65"/>
      <c r="F11" s="95">
        <f>39550.5+67147.69</f>
        <v>106698.19</v>
      </c>
      <c r="G11" s="96"/>
      <c r="H11" s="97"/>
    </row>
    <row r="12" spans="1:9" ht="15" customHeight="1" x14ac:dyDescent="0.25">
      <c r="A12" s="64" t="s">
        <v>4</v>
      </c>
      <c r="B12" s="65"/>
      <c r="C12" s="65"/>
      <c r="D12" s="65"/>
      <c r="E12" s="65"/>
      <c r="F12" s="95">
        <f>76148.22</f>
        <v>76148.22</v>
      </c>
      <c r="G12" s="96"/>
      <c r="H12" s="97"/>
    </row>
    <row r="13" spans="1:9" ht="15" customHeight="1" x14ac:dyDescent="0.25">
      <c r="A13" s="64" t="s">
        <v>5</v>
      </c>
      <c r="B13" s="65"/>
      <c r="C13" s="65"/>
      <c r="D13" s="65"/>
      <c r="E13" s="65"/>
      <c r="F13" s="95">
        <v>112235.97</v>
      </c>
      <c r="G13" s="96"/>
      <c r="H13" s="97"/>
    </row>
    <row r="14" spans="1:9" ht="15" customHeight="1" x14ac:dyDescent="0.25">
      <c r="A14" s="64" t="s">
        <v>6</v>
      </c>
      <c r="B14" s="65"/>
      <c r="C14" s="65"/>
      <c r="D14" s="65"/>
      <c r="E14" s="65"/>
      <c r="F14" s="95">
        <v>7669.28</v>
      </c>
      <c r="G14" s="96"/>
      <c r="H14" s="97"/>
    </row>
    <row r="15" spans="1:9" ht="15" customHeight="1" x14ac:dyDescent="0.25">
      <c r="A15" s="64" t="s">
        <v>7</v>
      </c>
      <c r="B15" s="65"/>
      <c r="C15" s="65"/>
      <c r="D15" s="65"/>
      <c r="E15" s="65"/>
      <c r="F15" s="95"/>
      <c r="G15" s="96"/>
      <c r="H15" s="97"/>
    </row>
    <row r="16" spans="1:9" ht="15" customHeight="1" x14ac:dyDescent="0.25">
      <c r="A16" s="64" t="s">
        <v>9</v>
      </c>
      <c r="B16" s="65"/>
      <c r="C16" s="65"/>
      <c r="D16" s="65"/>
      <c r="E16" s="65"/>
      <c r="F16" s="95"/>
      <c r="G16" s="96"/>
      <c r="H16" s="97"/>
    </row>
    <row r="17" spans="1:9" ht="15" customHeight="1" x14ac:dyDescent="0.25">
      <c r="A17" s="64" t="s">
        <v>10</v>
      </c>
      <c r="B17" s="76"/>
      <c r="C17" s="76"/>
      <c r="D17" s="76"/>
      <c r="E17" s="77"/>
      <c r="F17" s="95"/>
      <c r="G17" s="96"/>
      <c r="H17" s="97"/>
    </row>
    <row r="18" spans="1:9" ht="15" customHeight="1" x14ac:dyDescent="0.25">
      <c r="A18" s="64" t="s">
        <v>11</v>
      </c>
      <c r="B18" s="76"/>
      <c r="C18" s="76"/>
      <c r="D18" s="76"/>
      <c r="E18" s="77"/>
      <c r="F18" s="95"/>
      <c r="G18" s="96"/>
      <c r="H18" s="97"/>
    </row>
    <row r="19" spans="1:9" ht="15" customHeight="1" x14ac:dyDescent="0.25">
      <c r="A19" s="64" t="s">
        <v>8</v>
      </c>
      <c r="B19" s="65"/>
      <c r="C19" s="65"/>
      <c r="D19" s="65"/>
      <c r="E19" s="65"/>
      <c r="F19" s="95">
        <f>484484.59</f>
        <v>484484.59</v>
      </c>
      <c r="G19" s="96"/>
      <c r="H19" s="97"/>
      <c r="I19" s="7"/>
    </row>
    <row r="20" spans="1:9" ht="15" customHeight="1" x14ac:dyDescent="0.3">
      <c r="A20" s="69"/>
      <c r="B20" s="70"/>
      <c r="C20" s="70"/>
      <c r="D20" s="70"/>
      <c r="E20" s="70"/>
      <c r="F20" s="70"/>
      <c r="G20" s="70"/>
      <c r="H20" s="2"/>
      <c r="I20" s="7"/>
    </row>
    <row r="21" spans="1:9" ht="15" customHeight="1" x14ac:dyDescent="0.3">
      <c r="A21" s="18"/>
      <c r="B21" s="19"/>
      <c r="C21" s="19"/>
      <c r="D21" s="19"/>
      <c r="E21" s="19"/>
      <c r="F21" s="3"/>
      <c r="G21" s="3"/>
      <c r="H21" s="2"/>
    </row>
    <row r="22" spans="1:9" ht="15" customHeight="1" x14ac:dyDescent="0.3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3">
      <c r="A23" s="73" t="s">
        <v>44</v>
      </c>
      <c r="B23" s="74"/>
      <c r="C23" s="74"/>
      <c r="D23" s="74"/>
      <c r="E23" s="74"/>
      <c r="F23" s="74"/>
      <c r="G23" s="74"/>
      <c r="H23" s="4">
        <f>2323083.43-H7</f>
        <v>978659.10000000009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5" t="s">
        <v>31</v>
      </c>
      <c r="B25" s="75"/>
      <c r="C25" s="75"/>
      <c r="D25" s="75"/>
      <c r="E25" s="75"/>
      <c r="F25" s="75"/>
      <c r="G25" s="75"/>
      <c r="H25" s="75"/>
    </row>
    <row r="26" spans="1:9" ht="43.5" customHeight="1" x14ac:dyDescent="0.25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5">
      <c r="A27" s="62"/>
      <c r="B27" s="62"/>
      <c r="C27" s="62"/>
      <c r="D27" s="62"/>
      <c r="E27" s="62"/>
      <c r="F27" s="62"/>
      <c r="G27" s="62"/>
      <c r="H27" s="62"/>
    </row>
    <row r="28" spans="1:9" ht="22.5" customHeight="1" x14ac:dyDescent="0.25">
      <c r="A28" s="63" t="s">
        <v>12</v>
      </c>
      <c r="B28" s="63"/>
      <c r="C28" s="63"/>
      <c r="D28" s="63"/>
      <c r="E28" s="63"/>
      <c r="F28" s="63"/>
      <c r="G28" s="63"/>
      <c r="H28" s="63"/>
    </row>
    <row r="29" spans="1:9" ht="15" customHeight="1" x14ac:dyDescent="0.25">
      <c r="A29" s="63"/>
      <c r="B29" s="63"/>
      <c r="C29" s="63"/>
      <c r="D29" s="63"/>
      <c r="E29" s="63"/>
      <c r="F29" s="63"/>
      <c r="G29" s="63"/>
      <c r="H29" s="63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scale="94" fitToHeight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32"/>
  <sheetViews>
    <sheetView workbookViewId="0">
      <selection activeCell="K21" sqref="K21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0" t="s">
        <v>28</v>
      </c>
      <c r="B2" s="90"/>
      <c r="C2" s="90"/>
      <c r="D2" s="90"/>
      <c r="E2" s="90"/>
      <c r="F2" s="90"/>
      <c r="G2" s="90"/>
      <c r="H2" s="90"/>
    </row>
    <row r="3" spans="1:9" ht="58.5" customHeight="1" x14ac:dyDescent="0.25">
      <c r="A3" s="91"/>
      <c r="B3" s="91"/>
      <c r="C3" s="91"/>
      <c r="D3" s="91"/>
      <c r="E3" s="91"/>
      <c r="F3" s="91"/>
      <c r="G3" s="91"/>
      <c r="H3" s="91"/>
    </row>
    <row r="4" spans="1:9" ht="27.75" customHeight="1" x14ac:dyDescent="0.3">
      <c r="A4" s="92" t="s">
        <v>29</v>
      </c>
      <c r="B4" s="93"/>
      <c r="C4" s="93"/>
      <c r="D4" s="93"/>
      <c r="E4" s="93"/>
      <c r="F4" s="93"/>
      <c r="G4" s="93"/>
      <c r="H4" s="8">
        <f>'февраль 2017'!H23</f>
        <v>683337.64999999991</v>
      </c>
    </row>
    <row r="5" spans="1:9" ht="18" x14ac:dyDescent="0.2">
      <c r="A5" s="15"/>
      <c r="B5" s="16"/>
      <c r="C5" s="16"/>
      <c r="D5" s="16"/>
      <c r="E5" s="16"/>
      <c r="F5" s="16"/>
      <c r="G5" s="16"/>
      <c r="H5" s="6"/>
    </row>
    <row r="6" spans="1:9" ht="26.25" customHeight="1" x14ac:dyDescent="0.2">
      <c r="A6" s="15"/>
      <c r="B6" s="16"/>
      <c r="C6" s="16"/>
      <c r="D6" s="16"/>
      <c r="E6" s="16"/>
      <c r="F6" s="16"/>
      <c r="G6" s="16"/>
      <c r="H6" s="6"/>
    </row>
    <row r="7" spans="1:9" ht="15" customHeight="1" x14ac:dyDescent="0.3">
      <c r="A7" s="71" t="s">
        <v>30</v>
      </c>
      <c r="B7" s="72"/>
      <c r="C7" s="72"/>
      <c r="D7" s="72"/>
      <c r="E7" s="72"/>
      <c r="F7" s="72"/>
      <c r="G7" s="72"/>
      <c r="H7" s="17">
        <v>1536584.89</v>
      </c>
    </row>
    <row r="8" spans="1:9" ht="39" customHeight="1" x14ac:dyDescent="0.3">
      <c r="A8" s="69" t="s">
        <v>0</v>
      </c>
      <c r="B8" s="70"/>
      <c r="C8" s="70"/>
      <c r="D8" s="70"/>
      <c r="E8" s="70"/>
      <c r="F8" s="70"/>
      <c r="G8" s="70"/>
      <c r="H8" s="2">
        <f>SUM(F9:H19)</f>
        <v>1250337.6299999999</v>
      </c>
    </row>
    <row r="9" spans="1:9" ht="15" customHeight="1" x14ac:dyDescent="0.25">
      <c r="A9" s="94" t="s">
        <v>1</v>
      </c>
      <c r="B9" s="88"/>
      <c r="C9" s="88"/>
      <c r="D9" s="88"/>
      <c r="E9" s="89"/>
      <c r="F9" s="95">
        <f>395660.9+3635.12+13228.2+1800</f>
        <v>414324.22000000003</v>
      </c>
      <c r="G9" s="96"/>
      <c r="H9" s="97"/>
      <c r="I9" s="7"/>
    </row>
    <row r="10" spans="1:9" ht="15" customHeight="1" x14ac:dyDescent="0.25">
      <c r="A10" s="87" t="s">
        <v>2</v>
      </c>
      <c r="B10" s="88"/>
      <c r="C10" s="88"/>
      <c r="D10" s="88"/>
      <c r="E10" s="89"/>
      <c r="F10" s="95">
        <f>24538.84+530763.94+82754.7</f>
        <v>638057.47999999986</v>
      </c>
      <c r="G10" s="96"/>
      <c r="H10" s="97"/>
    </row>
    <row r="11" spans="1:9" ht="15" customHeight="1" x14ac:dyDescent="0.25">
      <c r="A11" s="64" t="s">
        <v>3</v>
      </c>
      <c r="B11" s="65"/>
      <c r="C11" s="65"/>
      <c r="D11" s="65"/>
      <c r="E11" s="65"/>
      <c r="F11" s="95">
        <f>73339.45+36166.74</f>
        <v>109506.19</v>
      </c>
      <c r="G11" s="96"/>
      <c r="H11" s="97"/>
    </row>
    <row r="12" spans="1:9" ht="15" customHeight="1" x14ac:dyDescent="0.25">
      <c r="A12" s="64" t="s">
        <v>4</v>
      </c>
      <c r="B12" s="65"/>
      <c r="C12" s="65"/>
      <c r="D12" s="65"/>
      <c r="E12" s="65"/>
      <c r="F12" s="95">
        <v>78642.52</v>
      </c>
      <c r="G12" s="96"/>
      <c r="H12" s="97"/>
    </row>
    <row r="13" spans="1:9" ht="15" customHeight="1" x14ac:dyDescent="0.25">
      <c r="A13" s="64" t="s">
        <v>5</v>
      </c>
      <c r="B13" s="65"/>
      <c r="C13" s="65"/>
      <c r="D13" s="65"/>
      <c r="E13" s="65"/>
      <c r="F13" s="95"/>
      <c r="G13" s="96"/>
      <c r="H13" s="97"/>
    </row>
    <row r="14" spans="1:9" ht="15" customHeight="1" x14ac:dyDescent="0.25">
      <c r="A14" s="64" t="s">
        <v>6</v>
      </c>
      <c r="B14" s="65"/>
      <c r="C14" s="65"/>
      <c r="D14" s="65"/>
      <c r="E14" s="65"/>
      <c r="F14" s="95">
        <v>9806.8799999999992</v>
      </c>
      <c r="G14" s="96"/>
      <c r="H14" s="97"/>
    </row>
    <row r="15" spans="1:9" ht="15" customHeight="1" x14ac:dyDescent="0.25">
      <c r="A15" s="64" t="s">
        <v>7</v>
      </c>
      <c r="B15" s="65"/>
      <c r="C15" s="65"/>
      <c r="D15" s="65"/>
      <c r="E15" s="65"/>
      <c r="F15" s="95">
        <v>0.34</v>
      </c>
      <c r="G15" s="96"/>
      <c r="H15" s="97"/>
    </row>
    <row r="16" spans="1:9" ht="15" customHeight="1" x14ac:dyDescent="0.25">
      <c r="A16" s="64" t="s">
        <v>9</v>
      </c>
      <c r="B16" s="65"/>
      <c r="C16" s="65"/>
      <c r="D16" s="65"/>
      <c r="E16" s="65"/>
      <c r="F16" s="95"/>
      <c r="G16" s="96"/>
      <c r="H16" s="97"/>
    </row>
    <row r="17" spans="1:9" ht="15" customHeight="1" x14ac:dyDescent="0.25">
      <c r="A17" s="64" t="s">
        <v>10</v>
      </c>
      <c r="B17" s="76"/>
      <c r="C17" s="76"/>
      <c r="D17" s="76"/>
      <c r="E17" s="77"/>
      <c r="F17" s="95"/>
      <c r="G17" s="96"/>
      <c r="H17" s="97"/>
    </row>
    <row r="18" spans="1:9" ht="15" customHeight="1" x14ac:dyDescent="0.25">
      <c r="A18" s="64" t="s">
        <v>11</v>
      </c>
      <c r="B18" s="76"/>
      <c r="C18" s="76"/>
      <c r="D18" s="76"/>
      <c r="E18" s="77"/>
      <c r="F18" s="95"/>
      <c r="G18" s="96"/>
      <c r="H18" s="97"/>
    </row>
    <row r="19" spans="1:9" ht="15" customHeight="1" x14ac:dyDescent="0.25">
      <c r="A19" s="64" t="s">
        <v>8</v>
      </c>
      <c r="B19" s="65"/>
      <c r="C19" s="65"/>
      <c r="D19" s="65"/>
      <c r="E19" s="65"/>
      <c r="F19" s="95"/>
      <c r="G19" s="96"/>
      <c r="H19" s="97"/>
      <c r="I19" s="7"/>
    </row>
    <row r="20" spans="1:9" ht="15" customHeight="1" x14ac:dyDescent="0.3">
      <c r="A20" s="69"/>
      <c r="B20" s="70"/>
      <c r="C20" s="70"/>
      <c r="D20" s="70"/>
      <c r="E20" s="70"/>
      <c r="F20" s="70"/>
      <c r="G20" s="70"/>
      <c r="H20" s="2"/>
      <c r="I20" s="7"/>
    </row>
    <row r="21" spans="1:9" ht="15" customHeight="1" x14ac:dyDescent="0.3">
      <c r="A21" s="15"/>
      <c r="B21" s="16"/>
      <c r="C21" s="16"/>
      <c r="D21" s="16"/>
      <c r="E21" s="16"/>
      <c r="F21" s="3"/>
      <c r="G21" s="3"/>
      <c r="H21" s="2"/>
    </row>
    <row r="22" spans="1:9" ht="15" customHeight="1" x14ac:dyDescent="0.3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3">
      <c r="A23" s="73" t="s">
        <v>43</v>
      </c>
      <c r="B23" s="74"/>
      <c r="C23" s="74"/>
      <c r="D23" s="74"/>
      <c r="E23" s="74"/>
      <c r="F23" s="74"/>
      <c r="G23" s="74"/>
      <c r="H23" s="4">
        <f>2384131.45-H7</f>
        <v>847546.56000000029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5" t="s">
        <v>35</v>
      </c>
      <c r="B25" s="75"/>
      <c r="C25" s="75"/>
      <c r="D25" s="75"/>
      <c r="E25" s="75"/>
      <c r="F25" s="75"/>
      <c r="G25" s="75"/>
      <c r="H25" s="75"/>
    </row>
    <row r="26" spans="1:9" ht="43.5" customHeight="1" x14ac:dyDescent="0.25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5">
      <c r="A27" s="62"/>
      <c r="B27" s="62"/>
      <c r="C27" s="62"/>
      <c r="D27" s="62"/>
      <c r="E27" s="62"/>
      <c r="F27" s="62"/>
      <c r="G27" s="62"/>
      <c r="H27" s="62"/>
    </row>
    <row r="28" spans="1:9" ht="22.5" customHeight="1" x14ac:dyDescent="0.25">
      <c r="A28" s="63" t="s">
        <v>12</v>
      </c>
      <c r="B28" s="63"/>
      <c r="C28" s="63"/>
      <c r="D28" s="63"/>
      <c r="E28" s="63"/>
      <c r="F28" s="63"/>
      <c r="G28" s="63"/>
      <c r="H28" s="63"/>
    </row>
    <row r="29" spans="1:9" ht="15" customHeight="1" x14ac:dyDescent="0.25">
      <c r="A29" s="63"/>
      <c r="B29" s="63"/>
      <c r="C29" s="63"/>
      <c r="D29" s="63"/>
      <c r="E29" s="63"/>
      <c r="F29" s="63"/>
      <c r="G29" s="63"/>
      <c r="H29" s="63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scale="94" fitToHeight="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0" t="s">
        <v>23</v>
      </c>
      <c r="B2" s="90"/>
      <c r="C2" s="90"/>
      <c r="D2" s="90"/>
      <c r="E2" s="90"/>
      <c r="F2" s="90"/>
      <c r="G2" s="90"/>
      <c r="H2" s="90"/>
    </row>
    <row r="3" spans="1:9" ht="58.5" customHeight="1" x14ac:dyDescent="0.25">
      <c r="A3" s="91"/>
      <c r="B3" s="91"/>
      <c r="C3" s="91"/>
      <c r="D3" s="91"/>
      <c r="E3" s="91"/>
      <c r="F3" s="91"/>
      <c r="G3" s="91"/>
      <c r="H3" s="91"/>
    </row>
    <row r="4" spans="1:9" ht="27.75" customHeight="1" x14ac:dyDescent="0.3">
      <c r="A4" s="92" t="s">
        <v>24</v>
      </c>
      <c r="B4" s="93"/>
      <c r="C4" s="93"/>
      <c r="D4" s="93"/>
      <c r="E4" s="93"/>
      <c r="F4" s="93"/>
      <c r="G4" s="93"/>
      <c r="H4" s="8">
        <f>'январь 2017'!H23</f>
        <v>497327.25</v>
      </c>
    </row>
    <row r="5" spans="1:9" ht="18" x14ac:dyDescent="0.2">
      <c r="A5" s="13"/>
      <c r="B5" s="14"/>
      <c r="C5" s="14"/>
      <c r="D5" s="14"/>
      <c r="E5" s="14"/>
      <c r="F5" s="14"/>
      <c r="G5" s="14"/>
      <c r="H5" s="6"/>
    </row>
    <row r="6" spans="1:9" ht="26.25" customHeight="1" x14ac:dyDescent="0.2">
      <c r="A6" s="13"/>
      <c r="B6" s="14"/>
      <c r="C6" s="14"/>
      <c r="D6" s="14"/>
      <c r="E6" s="14"/>
      <c r="F6" s="14"/>
      <c r="G6" s="14"/>
      <c r="H6" s="6"/>
    </row>
    <row r="7" spans="1:9" ht="15" customHeight="1" x14ac:dyDescent="0.3">
      <c r="A7" s="71" t="s">
        <v>25</v>
      </c>
      <c r="B7" s="72"/>
      <c r="C7" s="72"/>
      <c r="D7" s="72"/>
      <c r="E7" s="72"/>
      <c r="F7" s="72"/>
      <c r="G7" s="72"/>
      <c r="H7" s="2">
        <v>1414546.54</v>
      </c>
    </row>
    <row r="8" spans="1:9" ht="39" customHeight="1" x14ac:dyDescent="0.3">
      <c r="A8" s="69" t="s">
        <v>0</v>
      </c>
      <c r="B8" s="70"/>
      <c r="C8" s="70"/>
      <c r="D8" s="70"/>
      <c r="E8" s="70"/>
      <c r="F8" s="70"/>
      <c r="G8" s="70"/>
      <c r="H8" s="2">
        <f>SUM(F9:H19)</f>
        <v>1270135.9300000002</v>
      </c>
    </row>
    <row r="9" spans="1:9" ht="15" customHeight="1" x14ac:dyDescent="0.25">
      <c r="A9" s="94" t="s">
        <v>1</v>
      </c>
      <c r="B9" s="88"/>
      <c r="C9" s="88"/>
      <c r="D9" s="88"/>
      <c r="E9" s="89"/>
      <c r="F9" s="95">
        <f>379454.99+3291.99+11979.25</f>
        <v>394726.23</v>
      </c>
      <c r="G9" s="96"/>
      <c r="H9" s="97"/>
      <c r="I9" s="7"/>
    </row>
    <row r="10" spans="1:9" ht="15" customHeight="1" x14ac:dyDescent="0.25">
      <c r="A10" s="87" t="s">
        <v>2</v>
      </c>
      <c r="B10" s="88"/>
      <c r="C10" s="88"/>
      <c r="D10" s="88"/>
      <c r="E10" s="89"/>
      <c r="F10" s="95">
        <v>142751.21</v>
      </c>
      <c r="G10" s="96"/>
      <c r="H10" s="97"/>
    </row>
    <row r="11" spans="1:9" ht="15" customHeight="1" x14ac:dyDescent="0.25">
      <c r="A11" s="64" t="s">
        <v>3</v>
      </c>
      <c r="B11" s="65"/>
      <c r="C11" s="65"/>
      <c r="D11" s="65"/>
      <c r="E11" s="65"/>
      <c r="F11" s="95">
        <v>71552.399999999994</v>
      </c>
      <c r="G11" s="96"/>
      <c r="H11" s="97"/>
    </row>
    <row r="12" spans="1:9" ht="15" customHeight="1" x14ac:dyDescent="0.25">
      <c r="A12" s="64" t="s">
        <v>4</v>
      </c>
      <c r="B12" s="65"/>
      <c r="C12" s="65"/>
      <c r="D12" s="65"/>
      <c r="E12" s="65"/>
      <c r="F12" s="95">
        <v>78859.94</v>
      </c>
      <c r="G12" s="96"/>
      <c r="H12" s="97"/>
    </row>
    <row r="13" spans="1:9" ht="15" customHeight="1" x14ac:dyDescent="0.25">
      <c r="A13" s="64" t="s">
        <v>5</v>
      </c>
      <c r="B13" s="65"/>
      <c r="C13" s="65"/>
      <c r="D13" s="65"/>
      <c r="E13" s="65"/>
      <c r="F13" s="95"/>
      <c r="G13" s="96"/>
      <c r="H13" s="97"/>
    </row>
    <row r="14" spans="1:9" ht="15" customHeight="1" x14ac:dyDescent="0.25">
      <c r="A14" s="64" t="s">
        <v>6</v>
      </c>
      <c r="B14" s="65"/>
      <c r="C14" s="65"/>
      <c r="D14" s="65"/>
      <c r="E14" s="65"/>
      <c r="F14" s="95">
        <v>8929.66</v>
      </c>
      <c r="G14" s="96"/>
      <c r="H14" s="97"/>
    </row>
    <row r="15" spans="1:9" ht="15" customHeight="1" x14ac:dyDescent="0.25">
      <c r="A15" s="64" t="s">
        <v>7</v>
      </c>
      <c r="B15" s="65"/>
      <c r="C15" s="65"/>
      <c r="D15" s="65"/>
      <c r="E15" s="65"/>
      <c r="F15" s="95">
        <v>0.12</v>
      </c>
      <c r="G15" s="96"/>
      <c r="H15" s="97"/>
    </row>
    <row r="16" spans="1:9" ht="15" customHeight="1" x14ac:dyDescent="0.25">
      <c r="A16" s="64" t="s">
        <v>9</v>
      </c>
      <c r="B16" s="65"/>
      <c r="C16" s="65"/>
      <c r="D16" s="65"/>
      <c r="E16" s="65"/>
      <c r="F16" s="95"/>
      <c r="G16" s="96"/>
      <c r="H16" s="97"/>
    </row>
    <row r="17" spans="1:9" ht="15" customHeight="1" x14ac:dyDescent="0.25">
      <c r="A17" s="64" t="s">
        <v>10</v>
      </c>
      <c r="B17" s="76"/>
      <c r="C17" s="76"/>
      <c r="D17" s="76"/>
      <c r="E17" s="77"/>
      <c r="F17" s="95"/>
      <c r="G17" s="96"/>
      <c r="H17" s="97"/>
    </row>
    <row r="18" spans="1:9" ht="15" customHeight="1" x14ac:dyDescent="0.25">
      <c r="A18" s="64" t="s">
        <v>11</v>
      </c>
      <c r="B18" s="76"/>
      <c r="C18" s="76"/>
      <c r="D18" s="76"/>
      <c r="E18" s="77"/>
      <c r="F18" s="95"/>
      <c r="G18" s="96"/>
      <c r="H18" s="97"/>
    </row>
    <row r="19" spans="1:9" ht="15" customHeight="1" x14ac:dyDescent="0.25">
      <c r="A19" s="64" t="s">
        <v>8</v>
      </c>
      <c r="B19" s="65"/>
      <c r="C19" s="65"/>
      <c r="D19" s="65"/>
      <c r="E19" s="65"/>
      <c r="F19" s="95">
        <v>573316.37</v>
      </c>
      <c r="G19" s="96"/>
      <c r="H19" s="97"/>
      <c r="I19" s="7"/>
    </row>
    <row r="20" spans="1:9" ht="15" customHeight="1" x14ac:dyDescent="0.3">
      <c r="A20" s="69"/>
      <c r="B20" s="70"/>
      <c r="C20" s="70"/>
      <c r="D20" s="70"/>
      <c r="E20" s="70"/>
      <c r="F20" s="70"/>
      <c r="G20" s="70"/>
      <c r="H20" s="2"/>
      <c r="I20" s="7"/>
    </row>
    <row r="21" spans="1:9" ht="15" customHeight="1" x14ac:dyDescent="0.3">
      <c r="A21" s="13"/>
      <c r="B21" s="14"/>
      <c r="C21" s="14"/>
      <c r="D21" s="14"/>
      <c r="E21" s="14"/>
      <c r="F21" s="3"/>
      <c r="G21" s="3"/>
      <c r="H21" s="2"/>
    </row>
    <row r="22" spans="1:9" ht="15" customHeight="1" x14ac:dyDescent="0.3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3">
      <c r="A23" s="73" t="s">
        <v>26</v>
      </c>
      <c r="B23" s="74"/>
      <c r="C23" s="74"/>
      <c r="D23" s="74"/>
      <c r="E23" s="74"/>
      <c r="F23" s="74"/>
      <c r="G23" s="74"/>
      <c r="H23" s="4">
        <f>2097884.19-H7</f>
        <v>683337.64999999991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5" t="s">
        <v>27</v>
      </c>
      <c r="B25" s="75"/>
      <c r="C25" s="75"/>
      <c r="D25" s="75"/>
      <c r="E25" s="75"/>
      <c r="F25" s="75"/>
      <c r="G25" s="75"/>
      <c r="H25" s="75"/>
    </row>
    <row r="26" spans="1:9" ht="43.5" customHeight="1" x14ac:dyDescent="0.25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5">
      <c r="A27" s="62"/>
      <c r="B27" s="62"/>
      <c r="C27" s="62"/>
      <c r="D27" s="62"/>
      <c r="E27" s="62"/>
      <c r="F27" s="62"/>
      <c r="G27" s="62"/>
      <c r="H27" s="62"/>
    </row>
    <row r="28" spans="1:9" ht="22.5" customHeight="1" x14ac:dyDescent="0.25">
      <c r="A28" s="63" t="s">
        <v>12</v>
      </c>
      <c r="B28" s="63"/>
      <c r="C28" s="63"/>
      <c r="D28" s="63"/>
      <c r="E28" s="63"/>
      <c r="F28" s="63"/>
      <c r="G28" s="63"/>
      <c r="H28" s="63"/>
    </row>
    <row r="29" spans="1:9" ht="15" customHeight="1" x14ac:dyDescent="0.25">
      <c r="A29" s="63"/>
      <c r="B29" s="63"/>
      <c r="C29" s="63"/>
      <c r="D29" s="63"/>
      <c r="E29" s="63"/>
      <c r="F29" s="63"/>
      <c r="G29" s="63"/>
      <c r="H29" s="63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scale="94" fitToHeight="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0" t="s">
        <v>18</v>
      </c>
      <c r="B2" s="90"/>
      <c r="C2" s="90"/>
      <c r="D2" s="90"/>
      <c r="E2" s="90"/>
      <c r="F2" s="90"/>
      <c r="G2" s="90"/>
      <c r="H2" s="90"/>
    </row>
    <row r="3" spans="1:9" ht="58.5" customHeight="1" x14ac:dyDescent="0.25">
      <c r="A3" s="91"/>
      <c r="B3" s="91"/>
      <c r="C3" s="91"/>
      <c r="D3" s="91"/>
      <c r="E3" s="91"/>
      <c r="F3" s="91"/>
      <c r="G3" s="91"/>
      <c r="H3" s="91"/>
    </row>
    <row r="4" spans="1:9" ht="27.75" customHeight="1" x14ac:dyDescent="0.3">
      <c r="A4" s="92" t="s">
        <v>19</v>
      </c>
      <c r="B4" s="93"/>
      <c r="C4" s="93"/>
      <c r="D4" s="93"/>
      <c r="E4" s="93"/>
      <c r="F4" s="93"/>
      <c r="G4" s="93"/>
      <c r="H4" s="8">
        <f>'декабрь 2016'!H23</f>
        <v>401078.40999999992</v>
      </c>
    </row>
    <row r="5" spans="1:9" ht="18" x14ac:dyDescent="0.2">
      <c r="A5" s="11"/>
      <c r="B5" s="12"/>
      <c r="C5" s="12"/>
      <c r="D5" s="12"/>
      <c r="E5" s="12"/>
      <c r="F5" s="12"/>
      <c r="G5" s="12"/>
      <c r="H5" s="6"/>
    </row>
    <row r="6" spans="1:9" ht="26.25" customHeight="1" x14ac:dyDescent="0.2">
      <c r="A6" s="11"/>
      <c r="B6" s="12"/>
      <c r="C6" s="12"/>
      <c r="D6" s="12"/>
      <c r="E6" s="12"/>
      <c r="F6" s="12"/>
      <c r="G6" s="12"/>
      <c r="H6" s="6"/>
    </row>
    <row r="7" spans="1:9" ht="15" customHeight="1" x14ac:dyDescent="0.3">
      <c r="A7" s="71" t="s">
        <v>20</v>
      </c>
      <c r="B7" s="72"/>
      <c r="C7" s="72"/>
      <c r="D7" s="72"/>
      <c r="E7" s="72"/>
      <c r="F7" s="72"/>
      <c r="G7" s="72"/>
      <c r="H7" s="2">
        <v>1456146.33</v>
      </c>
    </row>
    <row r="8" spans="1:9" ht="39" customHeight="1" x14ac:dyDescent="0.3">
      <c r="A8" s="69" t="s">
        <v>0</v>
      </c>
      <c r="B8" s="70"/>
      <c r="C8" s="70"/>
      <c r="D8" s="70"/>
      <c r="E8" s="70"/>
      <c r="F8" s="70"/>
      <c r="G8" s="70"/>
      <c r="H8" s="2">
        <f>SUM(F9:H19)</f>
        <v>1293206.69</v>
      </c>
    </row>
    <row r="9" spans="1:9" ht="15" customHeight="1" x14ac:dyDescent="0.25">
      <c r="A9" s="94" t="s">
        <v>1</v>
      </c>
      <c r="B9" s="88"/>
      <c r="C9" s="88"/>
      <c r="D9" s="88"/>
      <c r="E9" s="89"/>
      <c r="F9" s="95">
        <v>371846.91</v>
      </c>
      <c r="G9" s="96"/>
      <c r="H9" s="97"/>
      <c r="I9" s="7"/>
    </row>
    <row r="10" spans="1:9" ht="15" customHeight="1" x14ac:dyDescent="0.25">
      <c r="A10" s="87" t="s">
        <v>2</v>
      </c>
      <c r="B10" s="88"/>
      <c r="C10" s="88"/>
      <c r="D10" s="88"/>
      <c r="E10" s="89"/>
      <c r="F10" s="95">
        <v>156905.82999999999</v>
      </c>
      <c r="G10" s="96"/>
      <c r="H10" s="97"/>
    </row>
    <row r="11" spans="1:9" ht="15" customHeight="1" x14ac:dyDescent="0.25">
      <c r="A11" s="64" t="s">
        <v>3</v>
      </c>
      <c r="B11" s="65"/>
      <c r="C11" s="65"/>
      <c r="D11" s="65"/>
      <c r="E11" s="65"/>
      <c r="F11" s="95">
        <v>77597.22</v>
      </c>
      <c r="G11" s="96"/>
      <c r="H11" s="97"/>
    </row>
    <row r="12" spans="1:9" ht="15" customHeight="1" x14ac:dyDescent="0.25">
      <c r="A12" s="64" t="s">
        <v>4</v>
      </c>
      <c r="B12" s="65"/>
      <c r="C12" s="65"/>
      <c r="D12" s="65"/>
      <c r="E12" s="65"/>
      <c r="F12" s="95">
        <f>78786.66</f>
        <v>78786.66</v>
      </c>
      <c r="G12" s="96"/>
      <c r="H12" s="97"/>
    </row>
    <row r="13" spans="1:9" ht="15" customHeight="1" x14ac:dyDescent="0.25">
      <c r="A13" s="64" t="s">
        <v>5</v>
      </c>
      <c r="B13" s="65"/>
      <c r="C13" s="65"/>
      <c r="D13" s="65"/>
      <c r="E13" s="65"/>
      <c r="F13" s="95"/>
      <c r="G13" s="96"/>
      <c r="H13" s="97"/>
    </row>
    <row r="14" spans="1:9" ht="15" customHeight="1" x14ac:dyDescent="0.25">
      <c r="A14" s="64" t="s">
        <v>6</v>
      </c>
      <c r="B14" s="65"/>
      <c r="C14" s="65"/>
      <c r="D14" s="65"/>
      <c r="E14" s="65"/>
      <c r="F14" s="95">
        <v>6781.77</v>
      </c>
      <c r="G14" s="96"/>
      <c r="H14" s="97"/>
    </row>
    <row r="15" spans="1:9" ht="15" customHeight="1" x14ac:dyDescent="0.25">
      <c r="A15" s="64" t="s">
        <v>7</v>
      </c>
      <c r="B15" s="65"/>
      <c r="C15" s="65"/>
      <c r="D15" s="65"/>
      <c r="E15" s="65"/>
      <c r="F15" s="95">
        <v>110.52</v>
      </c>
      <c r="G15" s="96"/>
      <c r="H15" s="97"/>
    </row>
    <row r="16" spans="1:9" ht="15" customHeight="1" x14ac:dyDescent="0.25">
      <c r="A16" s="64" t="s">
        <v>9</v>
      </c>
      <c r="B16" s="65"/>
      <c r="C16" s="65"/>
      <c r="D16" s="65"/>
      <c r="E16" s="65"/>
      <c r="F16" s="95"/>
      <c r="G16" s="96"/>
      <c r="H16" s="97"/>
    </row>
    <row r="17" spans="1:9" ht="15" customHeight="1" x14ac:dyDescent="0.25">
      <c r="A17" s="64" t="s">
        <v>10</v>
      </c>
      <c r="B17" s="76"/>
      <c r="C17" s="76"/>
      <c r="D17" s="76"/>
      <c r="E17" s="77"/>
      <c r="F17" s="95"/>
      <c r="G17" s="96"/>
      <c r="H17" s="97"/>
    </row>
    <row r="18" spans="1:9" ht="15" customHeight="1" x14ac:dyDescent="0.25">
      <c r="A18" s="64" t="s">
        <v>11</v>
      </c>
      <c r="B18" s="76"/>
      <c r="C18" s="76"/>
      <c r="D18" s="76"/>
      <c r="E18" s="77"/>
      <c r="F18" s="95"/>
      <c r="G18" s="96"/>
      <c r="H18" s="97"/>
    </row>
    <row r="19" spans="1:9" ht="15" customHeight="1" x14ac:dyDescent="0.25">
      <c r="A19" s="64" t="s">
        <v>8</v>
      </c>
      <c r="B19" s="65"/>
      <c r="C19" s="65"/>
      <c r="D19" s="65"/>
      <c r="E19" s="65"/>
      <c r="F19" s="95">
        <v>601177.78</v>
      </c>
      <c r="G19" s="96"/>
      <c r="H19" s="97"/>
      <c r="I19" s="7"/>
    </row>
    <row r="20" spans="1:9" ht="15" customHeight="1" x14ac:dyDescent="0.3">
      <c r="A20" s="69"/>
      <c r="B20" s="70"/>
      <c r="C20" s="70"/>
      <c r="D20" s="70"/>
      <c r="E20" s="70"/>
      <c r="F20" s="70"/>
      <c r="G20" s="70"/>
      <c r="H20" s="2"/>
      <c r="I20" s="7"/>
    </row>
    <row r="21" spans="1:9" ht="15" customHeight="1" x14ac:dyDescent="0.3">
      <c r="A21" s="11"/>
      <c r="B21" s="12"/>
      <c r="C21" s="12"/>
      <c r="D21" s="12"/>
      <c r="E21" s="12"/>
      <c r="F21" s="3"/>
      <c r="G21" s="3"/>
      <c r="H21" s="2"/>
    </row>
    <row r="22" spans="1:9" ht="15" customHeight="1" x14ac:dyDescent="0.3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3">
      <c r="A23" s="73" t="s">
        <v>21</v>
      </c>
      <c r="B23" s="74"/>
      <c r="C23" s="74"/>
      <c r="D23" s="74"/>
      <c r="E23" s="74"/>
      <c r="F23" s="74"/>
      <c r="G23" s="74"/>
      <c r="H23" s="4">
        <f>1953473.58-H7</f>
        <v>497327.25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5" t="s">
        <v>22</v>
      </c>
      <c r="B25" s="75"/>
      <c r="C25" s="75"/>
      <c r="D25" s="75"/>
      <c r="E25" s="75"/>
      <c r="F25" s="75"/>
      <c r="G25" s="75"/>
      <c r="H25" s="75"/>
    </row>
    <row r="26" spans="1:9" ht="43.5" customHeight="1" x14ac:dyDescent="0.25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5">
      <c r="A27" s="62"/>
      <c r="B27" s="62"/>
      <c r="C27" s="62"/>
      <c r="D27" s="62"/>
      <c r="E27" s="62"/>
      <c r="F27" s="62"/>
      <c r="G27" s="62"/>
      <c r="H27" s="62"/>
    </row>
    <row r="28" spans="1:9" ht="22.5" customHeight="1" x14ac:dyDescent="0.25">
      <c r="A28" s="63" t="s">
        <v>12</v>
      </c>
      <c r="B28" s="63"/>
      <c r="C28" s="63"/>
      <c r="D28" s="63"/>
      <c r="E28" s="63"/>
      <c r="F28" s="63"/>
      <c r="G28" s="63"/>
      <c r="H28" s="63"/>
    </row>
    <row r="29" spans="1:9" ht="15" customHeight="1" x14ac:dyDescent="0.25">
      <c r="A29" s="63"/>
      <c r="B29" s="63"/>
      <c r="C29" s="63"/>
      <c r="D29" s="63"/>
      <c r="E29" s="63"/>
      <c r="F29" s="63"/>
      <c r="G29" s="63"/>
      <c r="H29" s="63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scale="94" fitToHeight="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K18" sqref="K18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0" t="s">
        <v>13</v>
      </c>
      <c r="B2" s="90"/>
      <c r="C2" s="90"/>
      <c r="D2" s="90"/>
      <c r="E2" s="90"/>
      <c r="F2" s="90"/>
      <c r="G2" s="90"/>
      <c r="H2" s="90"/>
    </row>
    <row r="3" spans="1:9" ht="58.5" customHeight="1" x14ac:dyDescent="0.25">
      <c r="A3" s="91"/>
      <c r="B3" s="91"/>
      <c r="C3" s="91"/>
      <c r="D3" s="91"/>
      <c r="E3" s="91"/>
      <c r="F3" s="91"/>
      <c r="G3" s="91"/>
      <c r="H3" s="91"/>
    </row>
    <row r="4" spans="1:9" ht="27.75" customHeight="1" x14ac:dyDescent="0.3">
      <c r="A4" s="92" t="s">
        <v>14</v>
      </c>
      <c r="B4" s="93"/>
      <c r="C4" s="93"/>
      <c r="D4" s="93"/>
      <c r="E4" s="93"/>
      <c r="F4" s="93"/>
      <c r="G4" s="93"/>
      <c r="H4" s="8"/>
    </row>
    <row r="5" spans="1:9" ht="18" x14ac:dyDescent="0.2">
      <c r="A5" s="9"/>
      <c r="B5" s="10"/>
      <c r="C5" s="10"/>
      <c r="D5" s="10"/>
      <c r="E5" s="10"/>
      <c r="F5" s="10"/>
      <c r="G5" s="10"/>
      <c r="H5" s="6"/>
    </row>
    <row r="6" spans="1:9" ht="26.25" customHeight="1" x14ac:dyDescent="0.2">
      <c r="A6" s="9"/>
      <c r="B6" s="10"/>
      <c r="C6" s="10"/>
      <c r="D6" s="10"/>
      <c r="E6" s="10"/>
      <c r="F6" s="10"/>
      <c r="G6" s="10"/>
      <c r="H6" s="6"/>
    </row>
    <row r="7" spans="1:9" ht="15" customHeight="1" x14ac:dyDescent="0.3">
      <c r="A7" s="71" t="s">
        <v>15</v>
      </c>
      <c r="B7" s="72"/>
      <c r="C7" s="72"/>
      <c r="D7" s="72"/>
      <c r="E7" s="72"/>
      <c r="F7" s="72"/>
      <c r="G7" s="72"/>
      <c r="H7" s="2">
        <f>1389455.53</f>
        <v>1389455.53</v>
      </c>
    </row>
    <row r="8" spans="1:9" ht="39" customHeight="1" x14ac:dyDescent="0.3">
      <c r="A8" s="69" t="s">
        <v>0</v>
      </c>
      <c r="B8" s="70"/>
      <c r="C8" s="70"/>
      <c r="D8" s="70"/>
      <c r="E8" s="70"/>
      <c r="F8" s="70"/>
      <c r="G8" s="70"/>
      <c r="H8" s="2">
        <f>SUM(F9:H19)</f>
        <v>1248089.82</v>
      </c>
    </row>
    <row r="9" spans="1:9" ht="15" customHeight="1" x14ac:dyDescent="0.25">
      <c r="A9" s="94" t="s">
        <v>1</v>
      </c>
      <c r="B9" s="88"/>
      <c r="C9" s="88"/>
      <c r="D9" s="88"/>
      <c r="E9" s="89"/>
      <c r="F9" s="95">
        <v>376547.71</v>
      </c>
      <c r="G9" s="96"/>
      <c r="H9" s="97"/>
      <c r="I9" s="7"/>
    </row>
    <row r="10" spans="1:9" ht="15" customHeight="1" x14ac:dyDescent="0.25">
      <c r="A10" s="87" t="s">
        <v>2</v>
      </c>
      <c r="B10" s="88"/>
      <c r="C10" s="88"/>
      <c r="D10" s="88"/>
      <c r="E10" s="89"/>
      <c r="F10" s="95">
        <v>151433.95000000001</v>
      </c>
      <c r="G10" s="96"/>
      <c r="H10" s="97"/>
    </row>
    <row r="11" spans="1:9" ht="15" customHeight="1" x14ac:dyDescent="0.25">
      <c r="A11" s="64" t="s">
        <v>3</v>
      </c>
      <c r="B11" s="65"/>
      <c r="C11" s="65"/>
      <c r="D11" s="65"/>
      <c r="E11" s="65"/>
      <c r="F11" s="95">
        <v>83209.929999999993</v>
      </c>
      <c r="G11" s="96"/>
      <c r="H11" s="97"/>
    </row>
    <row r="12" spans="1:9" ht="15" customHeight="1" x14ac:dyDescent="0.25">
      <c r="A12" s="64" t="s">
        <v>4</v>
      </c>
      <c r="B12" s="65"/>
      <c r="C12" s="65"/>
      <c r="D12" s="65"/>
      <c r="E12" s="65"/>
      <c r="F12" s="95">
        <v>56304.89</v>
      </c>
      <c r="G12" s="96"/>
      <c r="H12" s="97"/>
    </row>
    <row r="13" spans="1:9" ht="15" customHeight="1" x14ac:dyDescent="0.25">
      <c r="A13" s="64" t="s">
        <v>5</v>
      </c>
      <c r="B13" s="65"/>
      <c r="C13" s="65"/>
      <c r="D13" s="65"/>
      <c r="E13" s="65"/>
      <c r="F13" s="95"/>
      <c r="G13" s="96"/>
      <c r="H13" s="97"/>
    </row>
    <row r="14" spans="1:9" ht="15" customHeight="1" x14ac:dyDescent="0.25">
      <c r="A14" s="64" t="s">
        <v>6</v>
      </c>
      <c r="B14" s="65"/>
      <c r="C14" s="65"/>
      <c r="D14" s="65"/>
      <c r="E14" s="65"/>
      <c r="F14" s="95">
        <v>6450.49</v>
      </c>
      <c r="G14" s="96"/>
      <c r="H14" s="97"/>
    </row>
    <row r="15" spans="1:9" ht="15" customHeight="1" x14ac:dyDescent="0.25">
      <c r="A15" s="64" t="s">
        <v>7</v>
      </c>
      <c r="B15" s="65"/>
      <c r="C15" s="65"/>
      <c r="D15" s="65"/>
      <c r="E15" s="65"/>
      <c r="F15" s="95">
        <v>83.11</v>
      </c>
      <c r="G15" s="96"/>
      <c r="H15" s="97"/>
    </row>
    <row r="16" spans="1:9" ht="15" customHeight="1" x14ac:dyDescent="0.25">
      <c r="A16" s="64" t="s">
        <v>9</v>
      </c>
      <c r="B16" s="65"/>
      <c r="C16" s="65"/>
      <c r="D16" s="65"/>
      <c r="E16" s="65"/>
      <c r="F16" s="95"/>
      <c r="G16" s="96"/>
      <c r="H16" s="97"/>
    </row>
    <row r="17" spans="1:9" ht="15" customHeight="1" x14ac:dyDescent="0.25">
      <c r="A17" s="64" t="s">
        <v>10</v>
      </c>
      <c r="B17" s="76"/>
      <c r="C17" s="76"/>
      <c r="D17" s="76"/>
      <c r="E17" s="77"/>
      <c r="F17" s="95"/>
      <c r="G17" s="96"/>
      <c r="H17" s="97"/>
    </row>
    <row r="18" spans="1:9" ht="15" customHeight="1" x14ac:dyDescent="0.25">
      <c r="A18" s="64" t="s">
        <v>11</v>
      </c>
      <c r="B18" s="76"/>
      <c r="C18" s="76"/>
      <c r="D18" s="76"/>
      <c r="E18" s="77"/>
      <c r="F18" s="95"/>
      <c r="G18" s="96"/>
      <c r="H18" s="97"/>
    </row>
    <row r="19" spans="1:9" ht="15" customHeight="1" x14ac:dyDescent="0.25">
      <c r="A19" s="64" t="s">
        <v>8</v>
      </c>
      <c r="B19" s="65"/>
      <c r="C19" s="65"/>
      <c r="D19" s="65"/>
      <c r="E19" s="65"/>
      <c r="F19" s="95">
        <v>574059.74</v>
      </c>
      <c r="G19" s="96"/>
      <c r="H19" s="97"/>
      <c r="I19" s="7"/>
    </row>
    <row r="20" spans="1:9" ht="15" customHeight="1" x14ac:dyDescent="0.3">
      <c r="A20" s="69"/>
      <c r="B20" s="70"/>
      <c r="C20" s="70"/>
      <c r="D20" s="70"/>
      <c r="E20" s="70"/>
      <c r="F20" s="70"/>
      <c r="G20" s="70"/>
      <c r="H20" s="2"/>
      <c r="I20" s="7"/>
    </row>
    <row r="21" spans="1:9" ht="15" customHeight="1" x14ac:dyDescent="0.3">
      <c r="A21" s="9"/>
      <c r="B21" s="10"/>
      <c r="C21" s="10"/>
      <c r="D21" s="10"/>
      <c r="E21" s="10"/>
      <c r="F21" s="3"/>
      <c r="G21" s="3"/>
      <c r="H21" s="2"/>
    </row>
    <row r="22" spans="1:9" ht="15" customHeight="1" x14ac:dyDescent="0.3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3">
      <c r="A23" s="73" t="s">
        <v>16</v>
      </c>
      <c r="B23" s="74"/>
      <c r="C23" s="74"/>
      <c r="D23" s="74"/>
      <c r="E23" s="74"/>
      <c r="F23" s="74"/>
      <c r="G23" s="74"/>
      <c r="H23" s="4">
        <f>1790533.94-H7</f>
        <v>401078.40999999992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5" t="s">
        <v>17</v>
      </c>
      <c r="B25" s="75"/>
      <c r="C25" s="75"/>
      <c r="D25" s="75"/>
      <c r="E25" s="75"/>
      <c r="F25" s="75"/>
      <c r="G25" s="75"/>
      <c r="H25" s="75"/>
    </row>
    <row r="26" spans="1:9" ht="43.5" customHeight="1" x14ac:dyDescent="0.25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5">
      <c r="A27" s="62"/>
      <c r="B27" s="62"/>
      <c r="C27" s="62"/>
      <c r="D27" s="62"/>
      <c r="E27" s="62"/>
      <c r="F27" s="62"/>
      <c r="G27" s="62"/>
      <c r="H27" s="62"/>
    </row>
    <row r="28" spans="1:9" ht="22.5" customHeight="1" x14ac:dyDescent="0.25">
      <c r="A28" s="63" t="s">
        <v>12</v>
      </c>
      <c r="B28" s="63"/>
      <c r="C28" s="63"/>
      <c r="D28" s="63"/>
      <c r="E28" s="63"/>
      <c r="F28" s="63"/>
      <c r="G28" s="63"/>
      <c r="H28" s="63"/>
    </row>
    <row r="29" spans="1:9" ht="15" customHeight="1" x14ac:dyDescent="0.25">
      <c r="A29" s="63"/>
      <c r="B29" s="63"/>
      <c r="C29" s="63"/>
      <c r="D29" s="63"/>
      <c r="E29" s="63"/>
      <c r="F29" s="63"/>
      <c r="G29" s="63"/>
      <c r="H29" s="63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32"/>
  <sheetViews>
    <sheetView workbookViewId="0">
      <selection activeCell="H5" sqref="H5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0" t="s">
        <v>119</v>
      </c>
      <c r="B2" s="90"/>
      <c r="C2" s="90"/>
      <c r="D2" s="90"/>
      <c r="E2" s="90"/>
      <c r="F2" s="90"/>
      <c r="G2" s="90"/>
      <c r="H2" s="90"/>
    </row>
    <row r="3" spans="1:9" ht="58.5" customHeight="1" x14ac:dyDescent="0.25">
      <c r="A3" s="91"/>
      <c r="B3" s="91"/>
      <c r="C3" s="91"/>
      <c r="D3" s="91"/>
      <c r="E3" s="91"/>
      <c r="F3" s="91"/>
      <c r="G3" s="91"/>
      <c r="H3" s="91"/>
    </row>
    <row r="4" spans="1:9" ht="27.75" customHeight="1" x14ac:dyDescent="0.3">
      <c r="A4" s="92" t="s">
        <v>120</v>
      </c>
      <c r="B4" s="93"/>
      <c r="C4" s="93"/>
      <c r="D4" s="93"/>
      <c r="E4" s="93"/>
      <c r="F4" s="93"/>
      <c r="G4" s="93"/>
      <c r="H4" s="32">
        <f>'сентябрь 2018'!H23</f>
        <v>2240116.89</v>
      </c>
    </row>
    <row r="5" spans="1:9" ht="18" x14ac:dyDescent="0.2">
      <c r="A5" s="55"/>
      <c r="B5" s="56"/>
      <c r="C5" s="56"/>
      <c r="D5" s="56"/>
      <c r="E5" s="56"/>
      <c r="F5" s="56"/>
      <c r="G5" s="56"/>
      <c r="H5" s="6"/>
    </row>
    <row r="6" spans="1:9" ht="26.25" customHeight="1" x14ac:dyDescent="0.2">
      <c r="A6" s="55"/>
      <c r="B6" s="56"/>
      <c r="C6" s="56"/>
      <c r="D6" s="56"/>
      <c r="E6" s="56"/>
      <c r="F6" s="56"/>
      <c r="G6" s="56"/>
      <c r="H6" s="6"/>
    </row>
    <row r="7" spans="1:9" ht="15" customHeight="1" x14ac:dyDescent="0.3">
      <c r="A7" s="71" t="s">
        <v>121</v>
      </c>
      <c r="B7" s="72"/>
      <c r="C7" s="72"/>
      <c r="D7" s="72"/>
      <c r="E7" s="72"/>
      <c r="F7" s="72"/>
      <c r="G7" s="72"/>
      <c r="H7" s="17">
        <v>1314131.05</v>
      </c>
    </row>
    <row r="8" spans="1:9" ht="39" customHeight="1" x14ac:dyDescent="0.3">
      <c r="A8" s="69" t="s">
        <v>0</v>
      </c>
      <c r="B8" s="70"/>
      <c r="C8" s="70"/>
      <c r="D8" s="70"/>
      <c r="E8" s="70"/>
      <c r="F8" s="70"/>
      <c r="G8" s="70"/>
      <c r="H8" s="17">
        <f>SUM(F9:H19)</f>
        <v>1152318.652024</v>
      </c>
    </row>
    <row r="9" spans="1:9" ht="15" customHeight="1" x14ac:dyDescent="0.25">
      <c r="A9" s="94" t="s">
        <v>1</v>
      </c>
      <c r="B9" s="88"/>
      <c r="C9" s="88"/>
      <c r="D9" s="88"/>
      <c r="E9" s="89"/>
      <c r="F9" s="66">
        <f>465256.66+754.372024+6487.7+3567.23+2291.21+17034.53+13796.84+20.24</f>
        <v>509208.78202400001</v>
      </c>
      <c r="G9" s="67"/>
      <c r="H9" s="68"/>
      <c r="I9" s="7"/>
    </row>
    <row r="10" spans="1:9" ht="15" customHeight="1" x14ac:dyDescent="0.25">
      <c r="A10" s="87" t="s">
        <v>2</v>
      </c>
      <c r="B10" s="88"/>
      <c r="C10" s="88"/>
      <c r="D10" s="88"/>
      <c r="E10" s="89"/>
      <c r="F10" s="66">
        <f>127069.05</f>
        <v>127069.05</v>
      </c>
      <c r="G10" s="67"/>
      <c r="H10" s="68"/>
    </row>
    <row r="11" spans="1:9" ht="15" customHeight="1" x14ac:dyDescent="0.25">
      <c r="A11" s="64" t="s">
        <v>3</v>
      </c>
      <c r="B11" s="65"/>
      <c r="C11" s="65"/>
      <c r="D11" s="65"/>
      <c r="E11" s="65"/>
      <c r="F11" s="66">
        <f>93125.4+2899.87</f>
        <v>96025.26999999999</v>
      </c>
      <c r="G11" s="67"/>
      <c r="H11" s="68"/>
    </row>
    <row r="12" spans="1:9" ht="15" customHeight="1" x14ac:dyDescent="0.25">
      <c r="A12" s="64" t="s">
        <v>4</v>
      </c>
      <c r="B12" s="65"/>
      <c r="C12" s="65"/>
      <c r="D12" s="65"/>
      <c r="E12" s="65"/>
      <c r="F12" s="66">
        <f>96052.87</f>
        <v>96052.87</v>
      </c>
      <c r="G12" s="67"/>
      <c r="H12" s="68"/>
    </row>
    <row r="13" spans="1:9" ht="15" customHeight="1" x14ac:dyDescent="0.25">
      <c r="A13" s="64" t="s">
        <v>5</v>
      </c>
      <c r="B13" s="65"/>
      <c r="C13" s="65"/>
      <c r="D13" s="65"/>
      <c r="E13" s="65"/>
      <c r="F13" s="66">
        <f>176463.05</f>
        <v>176463.05</v>
      </c>
      <c r="G13" s="67"/>
      <c r="H13" s="68"/>
    </row>
    <row r="14" spans="1:9" ht="15" customHeight="1" x14ac:dyDescent="0.25">
      <c r="A14" s="64" t="s">
        <v>6</v>
      </c>
      <c r="B14" s="65"/>
      <c r="C14" s="65"/>
      <c r="D14" s="65"/>
      <c r="E14" s="65"/>
      <c r="F14" s="66">
        <f>11649.69</f>
        <v>11649.69</v>
      </c>
      <c r="G14" s="67"/>
      <c r="H14" s="68"/>
    </row>
    <row r="15" spans="1:9" ht="15" customHeight="1" x14ac:dyDescent="0.25">
      <c r="A15" s="64" t="s">
        <v>7</v>
      </c>
      <c r="B15" s="65"/>
      <c r="C15" s="65"/>
      <c r="D15" s="65"/>
      <c r="E15" s="65"/>
      <c r="F15" s="66"/>
      <c r="G15" s="67"/>
      <c r="H15" s="68"/>
    </row>
    <row r="16" spans="1:9" ht="15" customHeight="1" x14ac:dyDescent="0.25">
      <c r="A16" s="64" t="s">
        <v>9</v>
      </c>
      <c r="B16" s="65"/>
      <c r="C16" s="65"/>
      <c r="D16" s="65"/>
      <c r="E16" s="65"/>
      <c r="F16" s="66">
        <f>5126.49</f>
        <v>5126.49</v>
      </c>
      <c r="G16" s="67"/>
      <c r="H16" s="68"/>
    </row>
    <row r="17" spans="1:9" ht="15" customHeight="1" x14ac:dyDescent="0.25">
      <c r="A17" s="64" t="s">
        <v>10</v>
      </c>
      <c r="B17" s="76"/>
      <c r="C17" s="76"/>
      <c r="D17" s="76"/>
      <c r="E17" s="77"/>
      <c r="F17" s="66">
        <f>83621.79</f>
        <v>83621.789999999994</v>
      </c>
      <c r="G17" s="67"/>
      <c r="H17" s="68"/>
    </row>
    <row r="18" spans="1:9" ht="15" customHeight="1" x14ac:dyDescent="0.25">
      <c r="A18" s="64" t="s">
        <v>11</v>
      </c>
      <c r="B18" s="76"/>
      <c r="C18" s="76"/>
      <c r="D18" s="76"/>
      <c r="E18" s="77"/>
      <c r="F18" s="66"/>
      <c r="G18" s="67"/>
      <c r="H18" s="68"/>
    </row>
    <row r="19" spans="1:9" ht="15" customHeight="1" x14ac:dyDescent="0.25">
      <c r="A19" s="64" t="s">
        <v>8</v>
      </c>
      <c r="B19" s="65"/>
      <c r="C19" s="65"/>
      <c r="D19" s="65"/>
      <c r="E19" s="65"/>
      <c r="F19" s="66">
        <f>6397.35+40704.31</f>
        <v>47101.659999999996</v>
      </c>
      <c r="G19" s="67"/>
      <c r="H19" s="68"/>
      <c r="I19" s="7"/>
    </row>
    <row r="20" spans="1:9" ht="15" customHeight="1" x14ac:dyDescent="0.2">
      <c r="A20" s="69"/>
      <c r="B20" s="70"/>
      <c r="C20" s="70"/>
      <c r="D20" s="70"/>
      <c r="E20" s="70"/>
      <c r="F20" s="70"/>
      <c r="G20" s="70"/>
      <c r="H20" s="2"/>
      <c r="I20" s="7"/>
    </row>
    <row r="21" spans="1:9" ht="15" customHeight="1" x14ac:dyDescent="0.25">
      <c r="A21" s="55"/>
      <c r="B21" s="56"/>
      <c r="C21" s="56"/>
      <c r="D21" s="56"/>
      <c r="E21" s="56"/>
      <c r="F21" s="3"/>
      <c r="G21" s="3"/>
      <c r="H21" s="2"/>
    </row>
    <row r="22" spans="1:9" ht="15" customHeight="1" x14ac:dyDescent="0.2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3">
      <c r="A23" s="73" t="s">
        <v>122</v>
      </c>
      <c r="B23" s="74"/>
      <c r="C23" s="74"/>
      <c r="D23" s="74"/>
      <c r="E23" s="74"/>
      <c r="F23" s="74"/>
      <c r="G23" s="74"/>
      <c r="H23" s="57">
        <f>3510527.28-H7</f>
        <v>2196396.2299999995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5" t="s">
        <v>123</v>
      </c>
      <c r="B25" s="75"/>
      <c r="C25" s="75"/>
      <c r="D25" s="75"/>
      <c r="E25" s="75"/>
      <c r="F25" s="75"/>
      <c r="G25" s="75"/>
      <c r="H25" s="75"/>
    </row>
    <row r="26" spans="1:9" ht="43.5" customHeight="1" x14ac:dyDescent="0.25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5">
      <c r="A27" s="62"/>
      <c r="B27" s="62"/>
      <c r="C27" s="62"/>
      <c r="D27" s="62"/>
      <c r="E27" s="62"/>
      <c r="F27" s="62"/>
      <c r="G27" s="62"/>
      <c r="H27" s="62"/>
    </row>
    <row r="28" spans="1:9" ht="22.5" customHeight="1" x14ac:dyDescent="0.25">
      <c r="A28" s="63" t="s">
        <v>109</v>
      </c>
      <c r="B28" s="63"/>
      <c r="C28" s="63"/>
      <c r="D28" s="63"/>
      <c r="E28" s="63"/>
      <c r="F28" s="63"/>
      <c r="G28" s="63"/>
      <c r="H28" s="63"/>
    </row>
    <row r="29" spans="1:9" ht="15" customHeight="1" x14ac:dyDescent="0.25">
      <c r="A29" s="63"/>
      <c r="B29" s="63"/>
      <c r="C29" s="63"/>
      <c r="D29" s="63"/>
      <c r="E29" s="63"/>
      <c r="F29" s="63"/>
      <c r="G29" s="63"/>
      <c r="H29" s="63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scale="94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32"/>
  <sheetViews>
    <sheetView workbookViewId="0">
      <selection activeCell="L20" sqref="L20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0" t="s">
        <v>115</v>
      </c>
      <c r="B2" s="90"/>
      <c r="C2" s="90"/>
      <c r="D2" s="90"/>
      <c r="E2" s="90"/>
      <c r="F2" s="90"/>
      <c r="G2" s="90"/>
      <c r="H2" s="90"/>
    </row>
    <row r="3" spans="1:9" ht="58.5" customHeight="1" x14ac:dyDescent="0.25">
      <c r="A3" s="91"/>
      <c r="B3" s="91"/>
      <c r="C3" s="91"/>
      <c r="D3" s="91"/>
      <c r="E3" s="91"/>
      <c r="F3" s="91"/>
      <c r="G3" s="91"/>
      <c r="H3" s="91"/>
    </row>
    <row r="4" spans="1:9" ht="27.75" customHeight="1" x14ac:dyDescent="0.3">
      <c r="A4" s="92" t="s">
        <v>116</v>
      </c>
      <c r="B4" s="93"/>
      <c r="C4" s="93"/>
      <c r="D4" s="93"/>
      <c r="E4" s="93"/>
      <c r="F4" s="93"/>
      <c r="G4" s="93"/>
      <c r="H4" s="32">
        <f>'август 2018'!H23</f>
        <v>2098226.06</v>
      </c>
    </row>
    <row r="5" spans="1:9" ht="18" x14ac:dyDescent="0.2">
      <c r="A5" s="53"/>
      <c r="B5" s="54"/>
      <c r="C5" s="54"/>
      <c r="D5" s="54"/>
      <c r="E5" s="54"/>
      <c r="F5" s="54"/>
      <c r="G5" s="54"/>
      <c r="H5" s="6"/>
    </row>
    <row r="6" spans="1:9" ht="26.25" customHeight="1" x14ac:dyDescent="0.2">
      <c r="A6" s="53"/>
      <c r="B6" s="54"/>
      <c r="C6" s="54"/>
      <c r="D6" s="54"/>
      <c r="E6" s="54"/>
      <c r="F6" s="54"/>
      <c r="G6" s="54"/>
      <c r="H6" s="6"/>
    </row>
    <row r="7" spans="1:9" ht="15" customHeight="1" x14ac:dyDescent="0.3">
      <c r="A7" s="71" t="s">
        <v>117</v>
      </c>
      <c r="B7" s="72"/>
      <c r="C7" s="72"/>
      <c r="D7" s="72"/>
      <c r="E7" s="72"/>
      <c r="F7" s="72"/>
      <c r="G7" s="72"/>
      <c r="H7" s="17">
        <v>1108598</v>
      </c>
    </row>
    <row r="8" spans="1:9" ht="39" customHeight="1" x14ac:dyDescent="0.3">
      <c r="A8" s="69" t="s">
        <v>0</v>
      </c>
      <c r="B8" s="70"/>
      <c r="C8" s="70"/>
      <c r="D8" s="70"/>
      <c r="E8" s="70"/>
      <c r="F8" s="70"/>
      <c r="G8" s="70"/>
      <c r="H8" s="2">
        <f>SUM(F9:H19)</f>
        <v>1026641.25</v>
      </c>
    </row>
    <row r="9" spans="1:9" ht="15" customHeight="1" x14ac:dyDescent="0.25">
      <c r="A9" s="94" t="s">
        <v>1</v>
      </c>
      <c r="B9" s="88"/>
      <c r="C9" s="88"/>
      <c r="D9" s="88"/>
      <c r="E9" s="89"/>
      <c r="F9" s="66">
        <f>415592.28+16212.18+14.2+5726.18+3160.11+2021.34+15082.41</f>
        <v>457808.7</v>
      </c>
      <c r="G9" s="67"/>
      <c r="H9" s="68"/>
      <c r="I9" s="7"/>
    </row>
    <row r="10" spans="1:9" ht="15" customHeight="1" x14ac:dyDescent="0.25">
      <c r="A10" s="87" t="s">
        <v>2</v>
      </c>
      <c r="B10" s="88"/>
      <c r="C10" s="88"/>
      <c r="D10" s="88"/>
      <c r="E10" s="89"/>
      <c r="F10" s="66">
        <f>101296.37</f>
        <v>101296.37</v>
      </c>
      <c r="G10" s="67"/>
      <c r="H10" s="68"/>
    </row>
    <row r="11" spans="1:9" ht="15" customHeight="1" x14ac:dyDescent="0.25">
      <c r="A11" s="64" t="s">
        <v>3</v>
      </c>
      <c r="B11" s="65"/>
      <c r="C11" s="65"/>
      <c r="D11" s="65"/>
      <c r="E11" s="65"/>
      <c r="F11" s="66">
        <f>77701.39+2149.56</f>
        <v>79850.95</v>
      </c>
      <c r="G11" s="67"/>
      <c r="H11" s="68"/>
    </row>
    <row r="12" spans="1:9" ht="15" customHeight="1" x14ac:dyDescent="0.25">
      <c r="A12" s="64" t="s">
        <v>4</v>
      </c>
      <c r="B12" s="65"/>
      <c r="C12" s="65"/>
      <c r="D12" s="65"/>
      <c r="E12" s="65"/>
      <c r="F12" s="66">
        <f>79078.95</f>
        <v>79078.95</v>
      </c>
      <c r="G12" s="67"/>
      <c r="H12" s="68"/>
    </row>
    <row r="13" spans="1:9" ht="15" customHeight="1" x14ac:dyDescent="0.25">
      <c r="A13" s="64" t="s">
        <v>5</v>
      </c>
      <c r="B13" s="65"/>
      <c r="C13" s="65"/>
      <c r="D13" s="65"/>
      <c r="E13" s="65"/>
      <c r="F13" s="66">
        <f>183203.68</f>
        <v>183203.68</v>
      </c>
      <c r="G13" s="67"/>
      <c r="H13" s="68"/>
    </row>
    <row r="14" spans="1:9" ht="15" customHeight="1" x14ac:dyDescent="0.25">
      <c r="A14" s="64" t="s">
        <v>6</v>
      </c>
      <c r="B14" s="65"/>
      <c r="C14" s="65"/>
      <c r="D14" s="65"/>
      <c r="E14" s="65"/>
      <c r="F14" s="66">
        <f>16444.18</f>
        <v>16444.18</v>
      </c>
      <c r="G14" s="67"/>
      <c r="H14" s="68"/>
    </row>
    <row r="15" spans="1:9" ht="15" customHeight="1" x14ac:dyDescent="0.25">
      <c r="A15" s="64" t="s">
        <v>7</v>
      </c>
      <c r="B15" s="65"/>
      <c r="C15" s="65"/>
      <c r="D15" s="65"/>
      <c r="E15" s="65"/>
      <c r="F15" s="66"/>
      <c r="G15" s="67"/>
      <c r="H15" s="68"/>
    </row>
    <row r="16" spans="1:9" ht="15" customHeight="1" x14ac:dyDescent="0.25">
      <c r="A16" s="64" t="s">
        <v>9</v>
      </c>
      <c r="B16" s="65"/>
      <c r="C16" s="65"/>
      <c r="D16" s="65"/>
      <c r="E16" s="65"/>
      <c r="F16" s="66">
        <f>4340.6</f>
        <v>4340.6000000000004</v>
      </c>
      <c r="G16" s="67"/>
      <c r="H16" s="68"/>
    </row>
    <row r="17" spans="1:9" ht="15" customHeight="1" x14ac:dyDescent="0.25">
      <c r="A17" s="64" t="s">
        <v>10</v>
      </c>
      <c r="B17" s="76"/>
      <c r="C17" s="76"/>
      <c r="D17" s="76"/>
      <c r="E17" s="77"/>
      <c r="F17" s="66">
        <f>72259.27</f>
        <v>72259.27</v>
      </c>
      <c r="G17" s="67"/>
      <c r="H17" s="68"/>
    </row>
    <row r="18" spans="1:9" ht="15" customHeight="1" x14ac:dyDescent="0.25">
      <c r="A18" s="64" t="s">
        <v>11</v>
      </c>
      <c r="B18" s="76"/>
      <c r="C18" s="76"/>
      <c r="D18" s="76"/>
      <c r="E18" s="77"/>
      <c r="F18" s="66"/>
      <c r="G18" s="67"/>
      <c r="H18" s="68"/>
    </row>
    <row r="19" spans="1:9" ht="15" customHeight="1" x14ac:dyDescent="0.25">
      <c r="A19" s="64" t="s">
        <v>8</v>
      </c>
      <c r="B19" s="65"/>
      <c r="C19" s="65"/>
      <c r="D19" s="65"/>
      <c r="E19" s="65"/>
      <c r="F19" s="66">
        <f>28010.19+4348.36</f>
        <v>32358.55</v>
      </c>
      <c r="G19" s="67"/>
      <c r="H19" s="68"/>
      <c r="I19" s="7"/>
    </row>
    <row r="20" spans="1:9" ht="15" customHeight="1" x14ac:dyDescent="0.2">
      <c r="A20" s="69"/>
      <c r="B20" s="70"/>
      <c r="C20" s="70"/>
      <c r="D20" s="70"/>
      <c r="E20" s="70"/>
      <c r="F20" s="70"/>
      <c r="G20" s="70"/>
      <c r="H20" s="2"/>
      <c r="I20" s="7"/>
    </row>
    <row r="21" spans="1:9" ht="15" customHeight="1" x14ac:dyDescent="0.25">
      <c r="A21" s="53"/>
      <c r="B21" s="54"/>
      <c r="C21" s="54"/>
      <c r="D21" s="54"/>
      <c r="E21" s="54"/>
      <c r="F21" s="3"/>
      <c r="G21" s="3"/>
      <c r="H21" s="2"/>
    </row>
    <row r="22" spans="1:9" ht="15" customHeight="1" x14ac:dyDescent="0.2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3">
      <c r="A23" s="73" t="s">
        <v>118</v>
      </c>
      <c r="B23" s="74"/>
      <c r="C23" s="74"/>
      <c r="D23" s="74"/>
      <c r="E23" s="74"/>
      <c r="F23" s="74"/>
      <c r="G23" s="74"/>
      <c r="H23" s="4">
        <f>3348714.89-H7</f>
        <v>2240116.89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5" t="s">
        <v>27</v>
      </c>
      <c r="B25" s="75"/>
      <c r="C25" s="75"/>
      <c r="D25" s="75"/>
      <c r="E25" s="75"/>
      <c r="F25" s="75"/>
      <c r="G25" s="75"/>
      <c r="H25" s="75"/>
    </row>
    <row r="26" spans="1:9" ht="43.5" customHeight="1" x14ac:dyDescent="0.25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5">
      <c r="A27" s="62"/>
      <c r="B27" s="62"/>
      <c r="C27" s="62"/>
      <c r="D27" s="62"/>
      <c r="E27" s="62"/>
      <c r="F27" s="62"/>
      <c r="G27" s="62"/>
      <c r="H27" s="62"/>
    </row>
    <row r="28" spans="1:9" ht="22.5" customHeight="1" x14ac:dyDescent="0.25">
      <c r="A28" s="63" t="s">
        <v>109</v>
      </c>
      <c r="B28" s="63"/>
      <c r="C28" s="63"/>
      <c r="D28" s="63"/>
      <c r="E28" s="63"/>
      <c r="F28" s="63"/>
      <c r="G28" s="63"/>
      <c r="H28" s="63"/>
    </row>
    <row r="29" spans="1:9" ht="15" customHeight="1" x14ac:dyDescent="0.25">
      <c r="A29" s="63"/>
      <c r="B29" s="63"/>
      <c r="C29" s="63"/>
      <c r="D29" s="63"/>
      <c r="E29" s="63"/>
      <c r="F29" s="63"/>
      <c r="G29" s="63"/>
      <c r="H29" s="63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scale="94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32"/>
  <sheetViews>
    <sheetView workbookViewId="0">
      <selection activeCell="A2" sqref="A2:H3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0" t="s">
        <v>111</v>
      </c>
      <c r="B2" s="90"/>
      <c r="C2" s="90"/>
      <c r="D2" s="90"/>
      <c r="E2" s="90"/>
      <c r="F2" s="90"/>
      <c r="G2" s="90"/>
      <c r="H2" s="90"/>
    </row>
    <row r="3" spans="1:9" ht="58.5" customHeight="1" x14ac:dyDescent="0.25">
      <c r="A3" s="91"/>
      <c r="B3" s="91"/>
      <c r="C3" s="91"/>
      <c r="D3" s="91"/>
      <c r="E3" s="91"/>
      <c r="F3" s="91"/>
      <c r="G3" s="91"/>
      <c r="H3" s="91"/>
    </row>
    <row r="4" spans="1:9" ht="27.75" customHeight="1" x14ac:dyDescent="0.3">
      <c r="A4" s="92" t="s">
        <v>112</v>
      </c>
      <c r="B4" s="93"/>
      <c r="C4" s="93"/>
      <c r="D4" s="93"/>
      <c r="E4" s="93"/>
      <c r="F4" s="93"/>
      <c r="G4" s="93"/>
      <c r="H4" s="32">
        <f>'июль 2018'!H23</f>
        <v>2053437.19</v>
      </c>
    </row>
    <row r="5" spans="1:9" ht="18" x14ac:dyDescent="0.2">
      <c r="A5" s="51"/>
      <c r="B5" s="52"/>
      <c r="C5" s="52"/>
      <c r="D5" s="52"/>
      <c r="E5" s="52"/>
      <c r="F5" s="52"/>
      <c r="G5" s="52"/>
      <c r="H5" s="6"/>
    </row>
    <row r="6" spans="1:9" ht="26.25" customHeight="1" x14ac:dyDescent="0.2">
      <c r="A6" s="51"/>
      <c r="B6" s="52"/>
      <c r="C6" s="52"/>
      <c r="D6" s="52"/>
      <c r="E6" s="52"/>
      <c r="F6" s="52"/>
      <c r="G6" s="52"/>
      <c r="H6" s="6"/>
    </row>
    <row r="7" spans="1:9" ht="15" customHeight="1" x14ac:dyDescent="0.3">
      <c r="A7" s="71" t="s">
        <v>113</v>
      </c>
      <c r="B7" s="72"/>
      <c r="C7" s="72"/>
      <c r="D7" s="72"/>
      <c r="E7" s="72"/>
      <c r="F7" s="72"/>
      <c r="G7" s="72"/>
      <c r="H7" s="17">
        <v>1177077.71</v>
      </c>
    </row>
    <row r="8" spans="1:9" ht="39" customHeight="1" x14ac:dyDescent="0.3">
      <c r="A8" s="69" t="s">
        <v>0</v>
      </c>
      <c r="B8" s="70"/>
      <c r="C8" s="70"/>
      <c r="D8" s="70"/>
      <c r="E8" s="70"/>
      <c r="F8" s="70"/>
      <c r="G8" s="70"/>
      <c r="H8" s="2">
        <f>SUM(F9:H19)</f>
        <v>1053326.3399999999</v>
      </c>
    </row>
    <row r="9" spans="1:9" ht="15" customHeight="1" x14ac:dyDescent="0.25">
      <c r="A9" s="94" t="s">
        <v>1</v>
      </c>
      <c r="B9" s="88"/>
      <c r="C9" s="88"/>
      <c r="D9" s="88"/>
      <c r="E9" s="89"/>
      <c r="F9" s="66">
        <f>438460.74+6038.54+3380.93+2126.09+15954.31</f>
        <v>465960.61</v>
      </c>
      <c r="G9" s="67"/>
      <c r="H9" s="68"/>
      <c r="I9" s="7"/>
    </row>
    <row r="10" spans="1:9" ht="15" customHeight="1" x14ac:dyDescent="0.25">
      <c r="A10" s="87" t="s">
        <v>2</v>
      </c>
      <c r="B10" s="88"/>
      <c r="C10" s="88"/>
      <c r="D10" s="88"/>
      <c r="E10" s="89"/>
      <c r="F10" s="66">
        <f>124190.11</f>
        <v>124190.11</v>
      </c>
      <c r="G10" s="67"/>
      <c r="H10" s="68"/>
    </row>
    <row r="11" spans="1:9" ht="15" customHeight="1" x14ac:dyDescent="0.25">
      <c r="A11" s="64" t="s">
        <v>3</v>
      </c>
      <c r="B11" s="65"/>
      <c r="C11" s="65"/>
      <c r="D11" s="65"/>
      <c r="E11" s="65"/>
      <c r="F11" s="66">
        <f>84926.34+3012.84</f>
        <v>87939.18</v>
      </c>
      <c r="G11" s="67"/>
      <c r="H11" s="68"/>
    </row>
    <row r="12" spans="1:9" ht="15" customHeight="1" x14ac:dyDescent="0.25">
      <c r="A12" s="64" t="s">
        <v>4</v>
      </c>
      <c r="B12" s="65"/>
      <c r="C12" s="65"/>
      <c r="D12" s="65"/>
      <c r="E12" s="65"/>
      <c r="F12" s="66">
        <f>86767.36</f>
        <v>86767.360000000001</v>
      </c>
      <c r="G12" s="67"/>
      <c r="H12" s="68"/>
    </row>
    <row r="13" spans="1:9" ht="15" customHeight="1" x14ac:dyDescent="0.25">
      <c r="A13" s="64" t="s">
        <v>5</v>
      </c>
      <c r="B13" s="65"/>
      <c r="C13" s="65"/>
      <c r="D13" s="65"/>
      <c r="E13" s="65"/>
      <c r="F13" s="66">
        <f>165802.7</f>
        <v>165802.70000000001</v>
      </c>
      <c r="G13" s="67"/>
      <c r="H13" s="68"/>
    </row>
    <row r="14" spans="1:9" ht="15" customHeight="1" x14ac:dyDescent="0.25">
      <c r="A14" s="64" t="s">
        <v>6</v>
      </c>
      <c r="B14" s="65"/>
      <c r="C14" s="65"/>
      <c r="D14" s="65"/>
      <c r="E14" s="65"/>
      <c r="F14" s="66">
        <f>2317.84</f>
        <v>2317.84</v>
      </c>
      <c r="G14" s="67"/>
      <c r="H14" s="68"/>
    </row>
    <row r="15" spans="1:9" ht="15" customHeight="1" x14ac:dyDescent="0.25">
      <c r="A15" s="64" t="s">
        <v>7</v>
      </c>
      <c r="B15" s="65"/>
      <c r="C15" s="65"/>
      <c r="D15" s="65"/>
      <c r="E15" s="65"/>
      <c r="F15" s="66"/>
      <c r="G15" s="67"/>
      <c r="H15" s="68"/>
    </row>
    <row r="16" spans="1:9" ht="15" customHeight="1" x14ac:dyDescent="0.25">
      <c r="A16" s="64" t="s">
        <v>9</v>
      </c>
      <c r="B16" s="65"/>
      <c r="C16" s="65"/>
      <c r="D16" s="65"/>
      <c r="E16" s="65"/>
      <c r="F16" s="66">
        <f>4823.74</f>
        <v>4823.74</v>
      </c>
      <c r="G16" s="67"/>
      <c r="H16" s="68"/>
    </row>
    <row r="17" spans="1:9" ht="15" customHeight="1" x14ac:dyDescent="0.25">
      <c r="A17" s="64" t="s">
        <v>10</v>
      </c>
      <c r="B17" s="76"/>
      <c r="C17" s="76"/>
      <c r="D17" s="76"/>
      <c r="E17" s="77"/>
      <c r="F17" s="66">
        <f>79905.15</f>
        <v>79905.149999999994</v>
      </c>
      <c r="G17" s="67"/>
      <c r="H17" s="68"/>
    </row>
    <row r="18" spans="1:9" ht="15" customHeight="1" x14ac:dyDescent="0.25">
      <c r="A18" s="64" t="s">
        <v>11</v>
      </c>
      <c r="B18" s="76"/>
      <c r="C18" s="76"/>
      <c r="D18" s="76"/>
      <c r="E18" s="77"/>
      <c r="F18" s="66"/>
      <c r="G18" s="67"/>
      <c r="H18" s="68"/>
    </row>
    <row r="19" spans="1:9" ht="15" customHeight="1" x14ac:dyDescent="0.25">
      <c r="A19" s="64" t="s">
        <v>8</v>
      </c>
      <c r="B19" s="65"/>
      <c r="C19" s="65"/>
      <c r="D19" s="65"/>
      <c r="E19" s="65"/>
      <c r="F19" s="66">
        <f>30141.63+5478.02</f>
        <v>35619.65</v>
      </c>
      <c r="G19" s="67"/>
      <c r="H19" s="68"/>
      <c r="I19" s="7"/>
    </row>
    <row r="20" spans="1:9" ht="15" customHeight="1" x14ac:dyDescent="0.2">
      <c r="A20" s="69"/>
      <c r="B20" s="70"/>
      <c r="C20" s="70"/>
      <c r="D20" s="70"/>
      <c r="E20" s="70"/>
      <c r="F20" s="70"/>
      <c r="G20" s="70"/>
      <c r="H20" s="2"/>
      <c r="I20" s="7"/>
    </row>
    <row r="21" spans="1:9" ht="15" customHeight="1" x14ac:dyDescent="0.25">
      <c r="A21" s="51"/>
      <c r="B21" s="52"/>
      <c r="C21" s="52"/>
      <c r="D21" s="52"/>
      <c r="E21" s="52"/>
      <c r="F21" s="3"/>
      <c r="G21" s="3"/>
      <c r="H21" s="2"/>
    </row>
    <row r="22" spans="1:9" ht="15" customHeight="1" x14ac:dyDescent="0.2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3">
      <c r="A23" s="73" t="s">
        <v>114</v>
      </c>
      <c r="B23" s="74"/>
      <c r="C23" s="74"/>
      <c r="D23" s="74"/>
      <c r="E23" s="74"/>
      <c r="F23" s="74"/>
      <c r="G23" s="74"/>
      <c r="H23" s="4">
        <f>3275303.77-H7</f>
        <v>2098226.06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5" t="s">
        <v>110</v>
      </c>
      <c r="B25" s="75"/>
      <c r="C25" s="75"/>
      <c r="D25" s="75"/>
      <c r="E25" s="75"/>
      <c r="F25" s="75"/>
      <c r="G25" s="75"/>
      <c r="H25" s="75"/>
    </row>
    <row r="26" spans="1:9" ht="43.5" customHeight="1" x14ac:dyDescent="0.25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5">
      <c r="A27" s="62"/>
      <c r="B27" s="62"/>
      <c r="C27" s="62"/>
      <c r="D27" s="62"/>
      <c r="E27" s="62"/>
      <c r="F27" s="62"/>
      <c r="G27" s="62"/>
      <c r="H27" s="62"/>
    </row>
    <row r="28" spans="1:9" ht="22.5" customHeight="1" x14ac:dyDescent="0.25">
      <c r="A28" s="63" t="s">
        <v>109</v>
      </c>
      <c r="B28" s="63"/>
      <c r="C28" s="63"/>
      <c r="D28" s="63"/>
      <c r="E28" s="63"/>
      <c r="F28" s="63"/>
      <c r="G28" s="63"/>
      <c r="H28" s="63"/>
    </row>
    <row r="29" spans="1:9" ht="15" customHeight="1" x14ac:dyDescent="0.25">
      <c r="A29" s="63"/>
      <c r="B29" s="63"/>
      <c r="C29" s="63"/>
      <c r="D29" s="63"/>
      <c r="E29" s="63"/>
      <c r="F29" s="63"/>
      <c r="G29" s="63"/>
      <c r="H29" s="63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scale="94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32"/>
  <sheetViews>
    <sheetView workbookViewId="0">
      <selection activeCell="A27" sqref="A27:H27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0" t="s">
        <v>105</v>
      </c>
      <c r="B2" s="90"/>
      <c r="C2" s="90"/>
      <c r="D2" s="90"/>
      <c r="E2" s="90"/>
      <c r="F2" s="90"/>
      <c r="G2" s="90"/>
      <c r="H2" s="90"/>
    </row>
    <row r="3" spans="1:9" ht="58.5" customHeight="1" x14ac:dyDescent="0.25">
      <c r="A3" s="91"/>
      <c r="B3" s="91"/>
      <c r="C3" s="91"/>
      <c r="D3" s="91"/>
      <c r="E3" s="91"/>
      <c r="F3" s="91"/>
      <c r="G3" s="91"/>
      <c r="H3" s="91"/>
    </row>
    <row r="4" spans="1:9" ht="27.75" customHeight="1" x14ac:dyDescent="0.3">
      <c r="A4" s="92" t="s">
        <v>106</v>
      </c>
      <c r="B4" s="93"/>
      <c r="C4" s="93"/>
      <c r="D4" s="93"/>
      <c r="E4" s="93"/>
      <c r="F4" s="93"/>
      <c r="G4" s="93"/>
      <c r="H4" s="32">
        <f>'июнь 2018'!H23</f>
        <v>1938314.5899999999</v>
      </c>
    </row>
    <row r="5" spans="1:9" ht="18" x14ac:dyDescent="0.2">
      <c r="A5" s="49"/>
      <c r="B5" s="50"/>
      <c r="C5" s="50"/>
      <c r="D5" s="50"/>
      <c r="E5" s="50"/>
      <c r="F5" s="50"/>
      <c r="G5" s="50"/>
      <c r="H5" s="6"/>
    </row>
    <row r="6" spans="1:9" ht="26.25" customHeight="1" x14ac:dyDescent="0.2">
      <c r="A6" s="49"/>
      <c r="B6" s="50"/>
      <c r="C6" s="50"/>
      <c r="D6" s="50"/>
      <c r="E6" s="50"/>
      <c r="F6" s="50"/>
      <c r="G6" s="50"/>
      <c r="H6" s="6"/>
    </row>
    <row r="7" spans="1:9" ht="15" customHeight="1" x14ac:dyDescent="0.3">
      <c r="A7" s="71" t="s">
        <v>108</v>
      </c>
      <c r="B7" s="72"/>
      <c r="C7" s="72"/>
      <c r="D7" s="72"/>
      <c r="E7" s="72"/>
      <c r="F7" s="72"/>
      <c r="G7" s="72"/>
      <c r="H7" s="17">
        <v>1101333.19</v>
      </c>
    </row>
    <row r="8" spans="1:9" ht="39" customHeight="1" x14ac:dyDescent="0.3">
      <c r="A8" s="69" t="s">
        <v>0</v>
      </c>
      <c r="B8" s="70"/>
      <c r="C8" s="70"/>
      <c r="D8" s="70"/>
      <c r="E8" s="70"/>
      <c r="F8" s="70"/>
      <c r="G8" s="70"/>
      <c r="H8" s="2">
        <f>SUM(F9:H19)</f>
        <v>968766.78999999992</v>
      </c>
    </row>
    <row r="9" spans="1:9" ht="15" customHeight="1" x14ac:dyDescent="0.25">
      <c r="A9" s="94" t="s">
        <v>1</v>
      </c>
      <c r="B9" s="88"/>
      <c r="C9" s="88"/>
      <c r="D9" s="88"/>
      <c r="E9" s="89"/>
      <c r="F9" s="66">
        <f>45.56+5365.23+3016.62+1876.2+404615.34+14174.98+3298.61</f>
        <v>432392.54</v>
      </c>
      <c r="G9" s="67"/>
      <c r="H9" s="68"/>
      <c r="I9" s="7"/>
    </row>
    <row r="10" spans="1:9" ht="15" customHeight="1" x14ac:dyDescent="0.25">
      <c r="A10" s="87" t="s">
        <v>2</v>
      </c>
      <c r="B10" s="88"/>
      <c r="C10" s="88"/>
      <c r="D10" s="88"/>
      <c r="E10" s="89"/>
      <c r="F10" s="66">
        <f>100240.05</f>
        <v>100240.05</v>
      </c>
      <c r="G10" s="67"/>
      <c r="H10" s="68"/>
    </row>
    <row r="11" spans="1:9" ht="15" customHeight="1" x14ac:dyDescent="0.25">
      <c r="A11" s="64" t="s">
        <v>3</v>
      </c>
      <c r="B11" s="65"/>
      <c r="C11" s="65"/>
      <c r="D11" s="65"/>
      <c r="E11" s="65"/>
      <c r="F11" s="66">
        <f>4685.09+74178.41</f>
        <v>78863.5</v>
      </c>
      <c r="G11" s="67"/>
      <c r="H11" s="68"/>
    </row>
    <row r="12" spans="1:9" ht="15" customHeight="1" x14ac:dyDescent="0.25">
      <c r="A12" s="64" t="s">
        <v>4</v>
      </c>
      <c r="B12" s="65"/>
      <c r="C12" s="65"/>
      <c r="D12" s="65"/>
      <c r="E12" s="65"/>
      <c r="F12" s="66">
        <f>80273.56</f>
        <v>80273.56</v>
      </c>
      <c r="G12" s="67"/>
      <c r="H12" s="68"/>
    </row>
    <row r="13" spans="1:9" ht="15" customHeight="1" x14ac:dyDescent="0.25">
      <c r="A13" s="64" t="s">
        <v>5</v>
      </c>
      <c r="B13" s="65"/>
      <c r="C13" s="65"/>
      <c r="D13" s="65"/>
      <c r="E13" s="65"/>
      <c r="F13" s="66">
        <f>145813.37</f>
        <v>145813.37</v>
      </c>
      <c r="G13" s="67"/>
      <c r="H13" s="68"/>
    </row>
    <row r="14" spans="1:9" ht="15" customHeight="1" x14ac:dyDescent="0.25">
      <c r="A14" s="64" t="s">
        <v>6</v>
      </c>
      <c r="B14" s="65"/>
      <c r="C14" s="65"/>
      <c r="D14" s="65"/>
      <c r="E14" s="65"/>
      <c r="F14" s="66">
        <v>9522.59</v>
      </c>
      <c r="G14" s="67"/>
      <c r="H14" s="68"/>
    </row>
    <row r="15" spans="1:9" ht="15" customHeight="1" x14ac:dyDescent="0.25">
      <c r="A15" s="64" t="s">
        <v>7</v>
      </c>
      <c r="B15" s="65"/>
      <c r="C15" s="65"/>
      <c r="D15" s="65"/>
      <c r="E15" s="65"/>
      <c r="F15" s="66"/>
      <c r="G15" s="67"/>
      <c r="H15" s="68"/>
    </row>
    <row r="16" spans="1:9" ht="15" customHeight="1" x14ac:dyDescent="0.25">
      <c r="A16" s="64" t="s">
        <v>9</v>
      </c>
      <c r="B16" s="65"/>
      <c r="C16" s="65"/>
      <c r="D16" s="65"/>
      <c r="E16" s="65"/>
      <c r="F16" s="66">
        <f>4035.99</f>
        <v>4035.99</v>
      </c>
      <c r="G16" s="67"/>
      <c r="H16" s="68"/>
    </row>
    <row r="17" spans="1:9" ht="15" customHeight="1" x14ac:dyDescent="0.25">
      <c r="A17" s="64" t="s">
        <v>10</v>
      </c>
      <c r="B17" s="76"/>
      <c r="C17" s="76"/>
      <c r="D17" s="76"/>
      <c r="E17" s="77"/>
      <c r="F17" s="66">
        <f>72140.05</f>
        <v>72140.05</v>
      </c>
      <c r="G17" s="67"/>
      <c r="H17" s="68"/>
    </row>
    <row r="18" spans="1:9" ht="15" customHeight="1" x14ac:dyDescent="0.25">
      <c r="A18" s="64" t="s">
        <v>11</v>
      </c>
      <c r="B18" s="76"/>
      <c r="C18" s="76"/>
      <c r="D18" s="76"/>
      <c r="E18" s="77"/>
      <c r="F18" s="66"/>
      <c r="G18" s="67"/>
      <c r="H18" s="68"/>
    </row>
    <row r="19" spans="1:9" ht="15" customHeight="1" x14ac:dyDescent="0.25">
      <c r="A19" s="64" t="s">
        <v>8</v>
      </c>
      <c r="B19" s="65"/>
      <c r="C19" s="65"/>
      <c r="D19" s="65"/>
      <c r="E19" s="65"/>
      <c r="F19" s="66">
        <f>8684.04+36801.1</f>
        <v>45485.14</v>
      </c>
      <c r="G19" s="67"/>
      <c r="H19" s="68"/>
      <c r="I19" s="7"/>
    </row>
    <row r="20" spans="1:9" ht="15" customHeight="1" x14ac:dyDescent="0.2">
      <c r="A20" s="69"/>
      <c r="B20" s="70"/>
      <c r="C20" s="70"/>
      <c r="D20" s="70"/>
      <c r="E20" s="70"/>
      <c r="F20" s="70"/>
      <c r="G20" s="70"/>
      <c r="H20" s="2"/>
      <c r="I20" s="7"/>
    </row>
    <row r="21" spans="1:9" ht="15" customHeight="1" x14ac:dyDescent="0.25">
      <c r="A21" s="49"/>
      <c r="B21" s="50"/>
      <c r="C21" s="50"/>
      <c r="D21" s="50"/>
      <c r="E21" s="50"/>
      <c r="F21" s="3"/>
      <c r="G21" s="3"/>
      <c r="H21" s="2"/>
    </row>
    <row r="22" spans="1:9" ht="15" customHeight="1" x14ac:dyDescent="0.2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3">
      <c r="A23" s="73" t="s">
        <v>107</v>
      </c>
      <c r="B23" s="74"/>
      <c r="C23" s="74"/>
      <c r="D23" s="74"/>
      <c r="E23" s="74"/>
      <c r="F23" s="74"/>
      <c r="G23" s="74"/>
      <c r="H23" s="4">
        <f>3154770.38-H7</f>
        <v>2053437.19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5" t="s">
        <v>110</v>
      </c>
      <c r="B25" s="75"/>
      <c r="C25" s="75"/>
      <c r="D25" s="75"/>
      <c r="E25" s="75"/>
      <c r="F25" s="75"/>
      <c r="G25" s="75"/>
      <c r="H25" s="75"/>
    </row>
    <row r="26" spans="1:9" ht="43.5" customHeight="1" x14ac:dyDescent="0.25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">
      <c r="A27" s="62"/>
      <c r="B27" s="62"/>
      <c r="C27" s="62"/>
      <c r="D27" s="62"/>
      <c r="E27" s="62"/>
      <c r="F27" s="62"/>
      <c r="G27" s="62"/>
      <c r="H27" s="62"/>
    </row>
    <row r="28" spans="1:9" ht="22.5" customHeight="1" x14ac:dyDescent="0.25">
      <c r="A28" s="63" t="s">
        <v>109</v>
      </c>
      <c r="B28" s="63"/>
      <c r="C28" s="63"/>
      <c r="D28" s="63"/>
      <c r="E28" s="63"/>
      <c r="F28" s="63"/>
      <c r="G28" s="63"/>
      <c r="H28" s="63"/>
    </row>
    <row r="29" spans="1:9" ht="15" customHeight="1" x14ac:dyDescent="0.25">
      <c r="A29" s="63"/>
      <c r="B29" s="63"/>
      <c r="C29" s="63"/>
      <c r="D29" s="63"/>
      <c r="E29" s="63"/>
      <c r="F29" s="63"/>
      <c r="G29" s="63"/>
      <c r="H29" s="63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scale="94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0" t="s">
        <v>100</v>
      </c>
      <c r="B2" s="90"/>
      <c r="C2" s="90"/>
      <c r="D2" s="90"/>
      <c r="E2" s="90"/>
      <c r="F2" s="90"/>
      <c r="G2" s="90"/>
      <c r="H2" s="90"/>
    </row>
    <row r="3" spans="1:9" ht="58.5" customHeight="1" x14ac:dyDescent="0.25">
      <c r="A3" s="91"/>
      <c r="B3" s="91"/>
      <c r="C3" s="91"/>
      <c r="D3" s="91"/>
      <c r="E3" s="91"/>
      <c r="F3" s="91"/>
      <c r="G3" s="91"/>
      <c r="H3" s="91"/>
    </row>
    <row r="4" spans="1:9" ht="27.75" customHeight="1" x14ac:dyDescent="0.3">
      <c r="A4" s="92" t="s">
        <v>101</v>
      </c>
      <c r="B4" s="93"/>
      <c r="C4" s="93"/>
      <c r="D4" s="93"/>
      <c r="E4" s="93"/>
      <c r="F4" s="93"/>
      <c r="G4" s="93"/>
      <c r="H4" s="32">
        <f>'май 2018'!H23</f>
        <v>1873519.2299999997</v>
      </c>
    </row>
    <row r="5" spans="1:9" ht="18" x14ac:dyDescent="0.2">
      <c r="A5" s="47"/>
      <c r="B5" s="48"/>
      <c r="C5" s="48"/>
      <c r="D5" s="48"/>
      <c r="E5" s="48"/>
      <c r="F5" s="48"/>
      <c r="G5" s="48"/>
      <c r="H5" s="6"/>
    </row>
    <row r="6" spans="1:9" ht="26.25" customHeight="1" x14ac:dyDescent="0.2">
      <c r="A6" s="47"/>
      <c r="B6" s="48"/>
      <c r="C6" s="48"/>
      <c r="D6" s="48"/>
      <c r="E6" s="48"/>
      <c r="F6" s="48"/>
      <c r="G6" s="48"/>
      <c r="H6" s="6"/>
    </row>
    <row r="7" spans="1:9" ht="15" customHeight="1" x14ac:dyDescent="0.3">
      <c r="A7" s="71" t="s">
        <v>102</v>
      </c>
      <c r="B7" s="72"/>
      <c r="C7" s="72"/>
      <c r="D7" s="72"/>
      <c r="E7" s="72"/>
      <c r="F7" s="72"/>
      <c r="G7" s="72"/>
      <c r="H7" s="17">
        <v>1083948.77</v>
      </c>
    </row>
    <row r="8" spans="1:9" ht="39" customHeight="1" x14ac:dyDescent="0.3">
      <c r="A8" s="69" t="s">
        <v>0</v>
      </c>
      <c r="B8" s="70"/>
      <c r="C8" s="70"/>
      <c r="D8" s="70"/>
      <c r="E8" s="70"/>
      <c r="F8" s="70"/>
      <c r="G8" s="70"/>
      <c r="H8" s="2">
        <f>SUM(F9:H19)</f>
        <v>1039728.2499999999</v>
      </c>
    </row>
    <row r="9" spans="1:9" ht="15" customHeight="1" x14ac:dyDescent="0.25">
      <c r="A9" s="94" t="s">
        <v>1</v>
      </c>
      <c r="B9" s="88"/>
      <c r="C9" s="88"/>
      <c r="D9" s="88"/>
      <c r="E9" s="89"/>
      <c r="F9" s="66">
        <f>413296.09+139.27+4946.85+3058.18+1925.66+14309.91</f>
        <v>437675.95999999996</v>
      </c>
      <c r="G9" s="67"/>
      <c r="H9" s="68"/>
      <c r="I9" s="7"/>
    </row>
    <row r="10" spans="1:9" ht="15" customHeight="1" x14ac:dyDescent="0.25">
      <c r="A10" s="87" t="s">
        <v>2</v>
      </c>
      <c r="B10" s="88"/>
      <c r="C10" s="88"/>
      <c r="D10" s="88"/>
      <c r="E10" s="89"/>
      <c r="F10" s="66">
        <f>100710.74</f>
        <v>100710.74</v>
      </c>
      <c r="G10" s="67"/>
      <c r="H10" s="68"/>
    </row>
    <row r="11" spans="1:9" ht="15" customHeight="1" x14ac:dyDescent="0.25">
      <c r="A11" s="64" t="s">
        <v>3</v>
      </c>
      <c r="B11" s="65"/>
      <c r="C11" s="65"/>
      <c r="D11" s="65"/>
      <c r="E11" s="65"/>
      <c r="F11" s="66">
        <f>72353.18+9856.25</f>
        <v>82209.429999999993</v>
      </c>
      <c r="G11" s="67"/>
      <c r="H11" s="68"/>
    </row>
    <row r="12" spans="1:9" ht="15" customHeight="1" x14ac:dyDescent="0.25">
      <c r="A12" s="64" t="s">
        <v>4</v>
      </c>
      <c r="B12" s="65"/>
      <c r="C12" s="65"/>
      <c r="D12" s="65"/>
      <c r="E12" s="65"/>
      <c r="F12" s="66">
        <f>80754.8</f>
        <v>80754.8</v>
      </c>
      <c r="G12" s="67"/>
      <c r="H12" s="68"/>
    </row>
    <row r="13" spans="1:9" ht="15" customHeight="1" x14ac:dyDescent="0.25">
      <c r="A13" s="64" t="s">
        <v>5</v>
      </c>
      <c r="B13" s="65"/>
      <c r="C13" s="65"/>
      <c r="D13" s="65"/>
      <c r="E13" s="65"/>
      <c r="F13" s="66">
        <v>138006.16</v>
      </c>
      <c r="G13" s="67"/>
      <c r="H13" s="68"/>
    </row>
    <row r="14" spans="1:9" ht="15" customHeight="1" x14ac:dyDescent="0.25">
      <c r="A14" s="64" t="s">
        <v>6</v>
      </c>
      <c r="B14" s="65"/>
      <c r="C14" s="65"/>
      <c r="D14" s="65"/>
      <c r="E14" s="65"/>
      <c r="F14" s="66">
        <f>9609.7</f>
        <v>9609.7000000000007</v>
      </c>
      <c r="G14" s="67"/>
      <c r="H14" s="68"/>
    </row>
    <row r="15" spans="1:9" ht="15" customHeight="1" x14ac:dyDescent="0.25">
      <c r="A15" s="64" t="s">
        <v>7</v>
      </c>
      <c r="B15" s="65"/>
      <c r="C15" s="65"/>
      <c r="D15" s="65"/>
      <c r="E15" s="65"/>
      <c r="F15" s="66"/>
      <c r="G15" s="67"/>
      <c r="H15" s="68"/>
    </row>
    <row r="16" spans="1:9" ht="15" customHeight="1" x14ac:dyDescent="0.25">
      <c r="A16" s="64" t="s">
        <v>9</v>
      </c>
      <c r="B16" s="65"/>
      <c r="C16" s="65"/>
      <c r="D16" s="65"/>
      <c r="E16" s="65"/>
      <c r="F16" s="66">
        <f>3902.72</f>
        <v>3902.72</v>
      </c>
      <c r="G16" s="67"/>
      <c r="H16" s="68"/>
    </row>
    <row r="17" spans="1:9" ht="15" customHeight="1" x14ac:dyDescent="0.25">
      <c r="A17" s="64" t="s">
        <v>10</v>
      </c>
      <c r="B17" s="76"/>
      <c r="C17" s="76"/>
      <c r="D17" s="76"/>
      <c r="E17" s="77"/>
      <c r="F17" s="66">
        <f>82284.39</f>
        <v>82284.39</v>
      </c>
      <c r="G17" s="67"/>
      <c r="H17" s="68"/>
    </row>
    <row r="18" spans="1:9" ht="15" customHeight="1" x14ac:dyDescent="0.25">
      <c r="A18" s="64" t="s">
        <v>11</v>
      </c>
      <c r="B18" s="76"/>
      <c r="C18" s="76"/>
      <c r="D18" s="76"/>
      <c r="E18" s="77"/>
      <c r="F18" s="66"/>
      <c r="G18" s="67"/>
      <c r="H18" s="68"/>
    </row>
    <row r="19" spans="1:9" ht="15" customHeight="1" x14ac:dyDescent="0.25">
      <c r="A19" s="64" t="s">
        <v>8</v>
      </c>
      <c r="B19" s="65"/>
      <c r="C19" s="65"/>
      <c r="D19" s="65"/>
      <c r="E19" s="65"/>
      <c r="F19" s="66">
        <f>88944.78+15629.57</f>
        <v>104574.35</v>
      </c>
      <c r="G19" s="67"/>
      <c r="H19" s="68"/>
      <c r="I19" s="7"/>
    </row>
    <row r="20" spans="1:9" ht="15" customHeight="1" x14ac:dyDescent="0.3">
      <c r="A20" s="69"/>
      <c r="B20" s="70"/>
      <c r="C20" s="70"/>
      <c r="D20" s="70"/>
      <c r="E20" s="70"/>
      <c r="F20" s="70"/>
      <c r="G20" s="70"/>
      <c r="H20" s="2"/>
      <c r="I20" s="7"/>
    </row>
    <row r="21" spans="1:9" ht="15" customHeight="1" x14ac:dyDescent="0.3">
      <c r="A21" s="47"/>
      <c r="B21" s="48"/>
      <c r="C21" s="48"/>
      <c r="D21" s="48"/>
      <c r="E21" s="48"/>
      <c r="F21" s="3"/>
      <c r="G21" s="3"/>
      <c r="H21" s="2"/>
    </row>
    <row r="22" spans="1:9" ht="15" customHeight="1" x14ac:dyDescent="0.3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3">
      <c r="A23" s="73" t="s">
        <v>103</v>
      </c>
      <c r="B23" s="74"/>
      <c r="C23" s="74"/>
      <c r="D23" s="74"/>
      <c r="E23" s="74"/>
      <c r="F23" s="74"/>
      <c r="G23" s="74"/>
      <c r="H23" s="4">
        <f>3022263.36-H7</f>
        <v>1938314.5899999999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5" t="s">
        <v>104</v>
      </c>
      <c r="B25" s="75"/>
      <c r="C25" s="75"/>
      <c r="D25" s="75"/>
      <c r="E25" s="75"/>
      <c r="F25" s="75"/>
      <c r="G25" s="75"/>
      <c r="H25" s="75"/>
    </row>
    <row r="26" spans="1:9" ht="43.5" customHeight="1" x14ac:dyDescent="0.25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5">
      <c r="A27" s="62"/>
      <c r="B27" s="62"/>
      <c r="C27" s="62"/>
      <c r="D27" s="62"/>
      <c r="E27" s="62"/>
      <c r="F27" s="62"/>
      <c r="G27" s="62"/>
      <c r="H27" s="62"/>
    </row>
    <row r="28" spans="1:9" ht="22.5" customHeight="1" x14ac:dyDescent="0.25">
      <c r="A28" s="63" t="s">
        <v>12</v>
      </c>
      <c r="B28" s="63"/>
      <c r="C28" s="63"/>
      <c r="D28" s="63"/>
      <c r="E28" s="63"/>
      <c r="F28" s="63"/>
      <c r="G28" s="63"/>
      <c r="H28" s="63"/>
    </row>
    <row r="29" spans="1:9" ht="15" customHeight="1" x14ac:dyDescent="0.25">
      <c r="A29" s="63"/>
      <c r="B29" s="63"/>
      <c r="C29" s="63"/>
      <c r="D29" s="63"/>
      <c r="E29" s="63"/>
      <c r="F29" s="63"/>
      <c r="G29" s="63"/>
      <c r="H29" s="63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scale="94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32"/>
  <sheetViews>
    <sheetView workbookViewId="0">
      <selection activeCell="M13" sqref="L13:M13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0" t="s">
        <v>95</v>
      </c>
      <c r="B2" s="90"/>
      <c r="C2" s="90"/>
      <c r="D2" s="90"/>
      <c r="E2" s="90"/>
      <c r="F2" s="90"/>
      <c r="G2" s="90"/>
      <c r="H2" s="90"/>
    </row>
    <row r="3" spans="1:9" ht="58.5" customHeight="1" x14ac:dyDescent="0.25">
      <c r="A3" s="91"/>
      <c r="B3" s="91"/>
      <c r="C3" s="91"/>
      <c r="D3" s="91"/>
      <c r="E3" s="91"/>
      <c r="F3" s="91"/>
      <c r="G3" s="91"/>
      <c r="H3" s="91"/>
    </row>
    <row r="4" spans="1:9" ht="27.75" customHeight="1" x14ac:dyDescent="0.3">
      <c r="A4" s="92" t="s">
        <v>96</v>
      </c>
      <c r="B4" s="93"/>
      <c r="C4" s="93"/>
      <c r="D4" s="93"/>
      <c r="E4" s="93"/>
      <c r="F4" s="93"/>
      <c r="G4" s="93"/>
      <c r="H4" s="32">
        <f>'апрель 18'!H23</f>
        <v>1833980.33</v>
      </c>
    </row>
    <row r="5" spans="1:9" ht="18" x14ac:dyDescent="0.2">
      <c r="A5" s="45"/>
      <c r="B5" s="46"/>
      <c r="C5" s="46"/>
      <c r="D5" s="46"/>
      <c r="E5" s="46"/>
      <c r="F5" s="46"/>
      <c r="G5" s="46"/>
      <c r="H5" s="6"/>
    </row>
    <row r="6" spans="1:9" ht="26.25" customHeight="1" x14ac:dyDescent="0.2">
      <c r="A6" s="45"/>
      <c r="B6" s="46"/>
      <c r="C6" s="46"/>
      <c r="D6" s="46"/>
      <c r="E6" s="46"/>
      <c r="F6" s="46"/>
      <c r="G6" s="46"/>
      <c r="H6" s="6"/>
    </row>
    <row r="7" spans="1:9" ht="15" customHeight="1" x14ac:dyDescent="0.3">
      <c r="A7" s="71" t="s">
        <v>97</v>
      </c>
      <c r="B7" s="72"/>
      <c r="C7" s="72"/>
      <c r="D7" s="72"/>
      <c r="E7" s="72"/>
      <c r="F7" s="72"/>
      <c r="G7" s="72"/>
      <c r="H7" s="17">
        <v>1104523.6100000001</v>
      </c>
    </row>
    <row r="8" spans="1:9" ht="39" customHeight="1" x14ac:dyDescent="0.3">
      <c r="A8" s="69" t="s">
        <v>0</v>
      </c>
      <c r="B8" s="70"/>
      <c r="C8" s="70"/>
      <c r="D8" s="70"/>
      <c r="E8" s="70"/>
      <c r="F8" s="70"/>
      <c r="G8" s="70"/>
      <c r="H8" s="2">
        <f>SUM(F9:H19)</f>
        <v>1361924.12</v>
      </c>
    </row>
    <row r="9" spans="1:9" ht="15" customHeight="1" x14ac:dyDescent="0.25">
      <c r="A9" s="94" t="s">
        <v>1</v>
      </c>
      <c r="B9" s="88"/>
      <c r="C9" s="88"/>
      <c r="D9" s="88"/>
      <c r="E9" s="89"/>
      <c r="F9" s="66">
        <f>433388.68+44.42+3142.13+100+2047.98+15266.3</f>
        <v>453989.50999999995</v>
      </c>
      <c r="G9" s="67"/>
      <c r="H9" s="68"/>
      <c r="I9" s="7"/>
    </row>
    <row r="10" spans="1:9" ht="15" customHeight="1" x14ac:dyDescent="0.25">
      <c r="A10" s="87" t="s">
        <v>2</v>
      </c>
      <c r="B10" s="88"/>
      <c r="C10" s="88"/>
      <c r="D10" s="88"/>
      <c r="E10" s="89"/>
      <c r="F10" s="66">
        <f>1448.4</f>
        <v>1448.4</v>
      </c>
      <c r="G10" s="67"/>
      <c r="H10" s="68"/>
    </row>
    <row r="11" spans="1:9" ht="15" customHeight="1" x14ac:dyDescent="0.25">
      <c r="A11" s="64" t="s">
        <v>3</v>
      </c>
      <c r="B11" s="65"/>
      <c r="C11" s="65"/>
      <c r="D11" s="65"/>
      <c r="E11" s="65"/>
      <c r="F11" s="66">
        <f>67561.95+49130.01</f>
        <v>116691.95999999999</v>
      </c>
      <c r="G11" s="67"/>
      <c r="H11" s="68"/>
    </row>
    <row r="12" spans="1:9" ht="15" customHeight="1" x14ac:dyDescent="0.25">
      <c r="A12" s="64" t="s">
        <v>4</v>
      </c>
      <c r="B12" s="65"/>
      <c r="C12" s="65"/>
      <c r="D12" s="65"/>
      <c r="E12" s="65"/>
      <c r="F12" s="66">
        <f>82751.93</f>
        <v>82751.929999999993</v>
      </c>
      <c r="G12" s="67"/>
      <c r="H12" s="68"/>
    </row>
    <row r="13" spans="1:9" ht="15" customHeight="1" x14ac:dyDescent="0.25">
      <c r="A13" s="64" t="s">
        <v>5</v>
      </c>
      <c r="B13" s="65"/>
      <c r="C13" s="65"/>
      <c r="D13" s="65"/>
      <c r="E13" s="65"/>
      <c r="F13" s="66">
        <f>133894.21</f>
        <v>133894.21</v>
      </c>
      <c r="G13" s="67"/>
      <c r="H13" s="68"/>
    </row>
    <row r="14" spans="1:9" ht="15" customHeight="1" x14ac:dyDescent="0.25">
      <c r="A14" s="64" t="s">
        <v>6</v>
      </c>
      <c r="B14" s="65"/>
      <c r="C14" s="65"/>
      <c r="D14" s="65"/>
      <c r="E14" s="65"/>
      <c r="F14" s="66">
        <f>10381.34</f>
        <v>10381.34</v>
      </c>
      <c r="G14" s="67"/>
      <c r="H14" s="68"/>
    </row>
    <row r="15" spans="1:9" ht="15" customHeight="1" x14ac:dyDescent="0.25">
      <c r="A15" s="64" t="s">
        <v>7</v>
      </c>
      <c r="B15" s="65"/>
      <c r="C15" s="65"/>
      <c r="D15" s="65"/>
      <c r="E15" s="65"/>
      <c r="F15" s="66"/>
      <c r="G15" s="67"/>
      <c r="H15" s="68"/>
    </row>
    <row r="16" spans="1:9" ht="15" customHeight="1" x14ac:dyDescent="0.25">
      <c r="A16" s="64" t="s">
        <v>9</v>
      </c>
      <c r="B16" s="65"/>
      <c r="C16" s="65"/>
      <c r="D16" s="65"/>
      <c r="E16" s="65"/>
      <c r="F16" s="66">
        <f>3882.17</f>
        <v>3882.17</v>
      </c>
      <c r="G16" s="67"/>
      <c r="H16" s="68"/>
    </row>
    <row r="17" spans="1:9" ht="15" customHeight="1" x14ac:dyDescent="0.25">
      <c r="A17" s="64" t="s">
        <v>10</v>
      </c>
      <c r="B17" s="76"/>
      <c r="C17" s="76"/>
      <c r="D17" s="76"/>
      <c r="E17" s="77"/>
      <c r="F17" s="66">
        <f>75112.4</f>
        <v>75112.399999999994</v>
      </c>
      <c r="G17" s="67"/>
      <c r="H17" s="68"/>
    </row>
    <row r="18" spans="1:9" ht="15" customHeight="1" x14ac:dyDescent="0.25">
      <c r="A18" s="64" t="s">
        <v>11</v>
      </c>
      <c r="B18" s="76"/>
      <c r="C18" s="76"/>
      <c r="D18" s="76"/>
      <c r="E18" s="77"/>
      <c r="F18" s="66">
        <f>0</f>
        <v>0</v>
      </c>
      <c r="G18" s="67"/>
      <c r="H18" s="68"/>
    </row>
    <row r="19" spans="1:9" ht="15" customHeight="1" x14ac:dyDescent="0.25">
      <c r="A19" s="64" t="s">
        <v>8</v>
      </c>
      <c r="B19" s="65"/>
      <c r="C19" s="65"/>
      <c r="D19" s="65"/>
      <c r="E19" s="65"/>
      <c r="F19" s="66">
        <f>97072.16+386700.04</f>
        <v>483772.19999999995</v>
      </c>
      <c r="G19" s="67"/>
      <c r="H19" s="68"/>
      <c r="I19" s="7"/>
    </row>
    <row r="20" spans="1:9" ht="15" customHeight="1" x14ac:dyDescent="0.3">
      <c r="A20" s="69"/>
      <c r="B20" s="70"/>
      <c r="C20" s="70"/>
      <c r="D20" s="70"/>
      <c r="E20" s="70"/>
      <c r="F20" s="70"/>
      <c r="G20" s="70"/>
      <c r="H20" s="2"/>
      <c r="I20" s="7"/>
    </row>
    <row r="21" spans="1:9" ht="15" customHeight="1" x14ac:dyDescent="0.3">
      <c r="A21" s="45"/>
      <c r="B21" s="46"/>
      <c r="C21" s="46"/>
      <c r="D21" s="46"/>
      <c r="E21" s="46"/>
      <c r="F21" s="3"/>
      <c r="G21" s="3"/>
      <c r="H21" s="2"/>
    </row>
    <row r="22" spans="1:9" ht="15" customHeight="1" x14ac:dyDescent="0.3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3">
      <c r="A23" s="73" t="s">
        <v>98</v>
      </c>
      <c r="B23" s="74"/>
      <c r="C23" s="74"/>
      <c r="D23" s="74"/>
      <c r="E23" s="74"/>
      <c r="F23" s="74"/>
      <c r="G23" s="74"/>
      <c r="H23" s="4">
        <f>2978042.84-H7</f>
        <v>1873519.2299999997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5" t="s">
        <v>99</v>
      </c>
      <c r="B25" s="75"/>
      <c r="C25" s="75"/>
      <c r="D25" s="75"/>
      <c r="E25" s="75"/>
      <c r="F25" s="75"/>
      <c r="G25" s="75"/>
      <c r="H25" s="75"/>
    </row>
    <row r="26" spans="1:9" ht="43.5" customHeight="1" x14ac:dyDescent="0.25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5">
      <c r="A27" s="62"/>
      <c r="B27" s="62"/>
      <c r="C27" s="62"/>
      <c r="D27" s="62"/>
      <c r="E27" s="62"/>
      <c r="F27" s="62"/>
      <c r="G27" s="62"/>
      <c r="H27" s="62"/>
    </row>
    <row r="28" spans="1:9" ht="22.5" customHeight="1" x14ac:dyDescent="0.25">
      <c r="A28" s="63" t="s">
        <v>12</v>
      </c>
      <c r="B28" s="63"/>
      <c r="C28" s="63"/>
      <c r="D28" s="63"/>
      <c r="E28" s="63"/>
      <c r="F28" s="63"/>
      <c r="G28" s="63"/>
      <c r="H28" s="63"/>
    </row>
    <row r="29" spans="1:9" ht="15" customHeight="1" x14ac:dyDescent="0.25">
      <c r="A29" s="63"/>
      <c r="B29" s="63"/>
      <c r="C29" s="63"/>
      <c r="D29" s="63"/>
      <c r="E29" s="63"/>
      <c r="F29" s="63"/>
      <c r="G29" s="63"/>
      <c r="H29" s="63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scale="94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32"/>
  <sheetViews>
    <sheetView topLeftCell="A4" workbookViewId="0">
      <selection activeCell="L13" sqref="L13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0" t="s">
        <v>89</v>
      </c>
      <c r="B2" s="90"/>
      <c r="C2" s="90"/>
      <c r="D2" s="90"/>
      <c r="E2" s="90"/>
      <c r="F2" s="90"/>
      <c r="G2" s="90"/>
      <c r="H2" s="90"/>
    </row>
    <row r="3" spans="1:9" ht="58.5" customHeight="1" x14ac:dyDescent="0.25">
      <c r="A3" s="91"/>
      <c r="B3" s="91"/>
      <c r="C3" s="91"/>
      <c r="D3" s="91"/>
      <c r="E3" s="91"/>
      <c r="F3" s="91"/>
      <c r="G3" s="91"/>
      <c r="H3" s="91"/>
    </row>
    <row r="4" spans="1:9" ht="27.75" customHeight="1" x14ac:dyDescent="0.3">
      <c r="A4" s="92" t="s">
        <v>91</v>
      </c>
      <c r="B4" s="93"/>
      <c r="C4" s="93"/>
      <c r="D4" s="93"/>
      <c r="E4" s="93"/>
      <c r="F4" s="93"/>
      <c r="G4" s="93"/>
      <c r="H4" s="32">
        <f>фев.18!H23</f>
        <v>1942564.4299999997</v>
      </c>
    </row>
    <row r="5" spans="1:9" ht="18" x14ac:dyDescent="0.2">
      <c r="A5" s="43"/>
      <c r="B5" s="44"/>
      <c r="C5" s="44"/>
      <c r="D5" s="44"/>
      <c r="E5" s="44"/>
      <c r="F5" s="44"/>
      <c r="G5" s="44"/>
      <c r="H5" s="6"/>
    </row>
    <row r="6" spans="1:9" ht="26.25" customHeight="1" x14ac:dyDescent="0.2">
      <c r="A6" s="43"/>
      <c r="B6" s="44"/>
      <c r="C6" s="44"/>
      <c r="D6" s="44"/>
      <c r="E6" s="44"/>
      <c r="F6" s="44"/>
      <c r="G6" s="44"/>
      <c r="H6" s="6"/>
    </row>
    <row r="7" spans="1:9" ht="15" customHeight="1" x14ac:dyDescent="0.3">
      <c r="A7" s="71" t="s">
        <v>92</v>
      </c>
      <c r="B7" s="72"/>
      <c r="C7" s="72"/>
      <c r="D7" s="72"/>
      <c r="E7" s="72"/>
      <c r="F7" s="72"/>
      <c r="G7" s="72"/>
      <c r="H7" s="17">
        <v>1410513.02</v>
      </c>
    </row>
    <row r="8" spans="1:9" ht="39" customHeight="1" x14ac:dyDescent="0.3">
      <c r="A8" s="69" t="s">
        <v>0</v>
      </c>
      <c r="B8" s="70"/>
      <c r="C8" s="70"/>
      <c r="D8" s="70"/>
      <c r="E8" s="70"/>
      <c r="F8" s="70"/>
      <c r="G8" s="70"/>
      <c r="H8" s="2">
        <f>SUM(F9:H19)</f>
        <v>1468106.8699999999</v>
      </c>
    </row>
    <row r="9" spans="1:9" ht="15" customHeight="1" x14ac:dyDescent="0.25">
      <c r="A9" s="94" t="s">
        <v>1</v>
      </c>
      <c r="B9" s="88"/>
      <c r="C9" s="88"/>
      <c r="D9" s="88"/>
      <c r="E9" s="89"/>
      <c r="F9" s="66">
        <f>443948.24+13.62+401.73+3264.98+2095.72+15387.91+1824.59</f>
        <v>466936.78999999992</v>
      </c>
      <c r="G9" s="67"/>
      <c r="H9" s="68"/>
      <c r="I9" s="7"/>
    </row>
    <row r="10" spans="1:9" ht="15" customHeight="1" x14ac:dyDescent="0.25">
      <c r="A10" s="87" t="s">
        <v>2</v>
      </c>
      <c r="B10" s="88"/>
      <c r="C10" s="88"/>
      <c r="D10" s="88"/>
      <c r="E10" s="89"/>
      <c r="F10" s="66">
        <f>894.59</f>
        <v>894.59</v>
      </c>
      <c r="G10" s="67"/>
      <c r="H10" s="68"/>
    </row>
    <row r="11" spans="1:9" ht="15" customHeight="1" x14ac:dyDescent="0.25">
      <c r="A11" s="64" t="s">
        <v>3</v>
      </c>
      <c r="B11" s="65"/>
      <c r="C11" s="65"/>
      <c r="D11" s="65"/>
      <c r="E11" s="65"/>
      <c r="F11" s="66">
        <f>74845.55+46499.04</f>
        <v>121344.59</v>
      </c>
      <c r="G11" s="67"/>
      <c r="H11" s="68"/>
    </row>
    <row r="12" spans="1:9" ht="15" customHeight="1" x14ac:dyDescent="0.25">
      <c r="A12" s="64" t="s">
        <v>4</v>
      </c>
      <c r="B12" s="65"/>
      <c r="C12" s="65"/>
      <c r="D12" s="65"/>
      <c r="E12" s="65"/>
      <c r="F12" s="66">
        <f>85381.97</f>
        <v>85381.97</v>
      </c>
      <c r="G12" s="67"/>
      <c r="H12" s="68"/>
    </row>
    <row r="13" spans="1:9" ht="15" customHeight="1" x14ac:dyDescent="0.25">
      <c r="A13" s="64" t="s">
        <v>5</v>
      </c>
      <c r="B13" s="65"/>
      <c r="C13" s="65"/>
      <c r="D13" s="65"/>
      <c r="E13" s="65"/>
      <c r="F13" s="66">
        <f>134897.15</f>
        <v>134897.15</v>
      </c>
      <c r="G13" s="67"/>
      <c r="H13" s="68"/>
    </row>
    <row r="14" spans="1:9" ht="15" customHeight="1" x14ac:dyDescent="0.25">
      <c r="A14" s="64" t="s">
        <v>6</v>
      </c>
      <c r="B14" s="65"/>
      <c r="C14" s="65"/>
      <c r="D14" s="65"/>
      <c r="E14" s="65"/>
      <c r="F14" s="66">
        <v>9963.39</v>
      </c>
      <c r="G14" s="67"/>
      <c r="H14" s="68"/>
    </row>
    <row r="15" spans="1:9" ht="15" customHeight="1" x14ac:dyDescent="0.25">
      <c r="A15" s="64" t="s">
        <v>7</v>
      </c>
      <c r="B15" s="65"/>
      <c r="C15" s="65"/>
      <c r="D15" s="65"/>
      <c r="E15" s="65"/>
      <c r="F15" s="66"/>
      <c r="G15" s="67"/>
      <c r="H15" s="68"/>
    </row>
    <row r="16" spans="1:9" ht="15" customHeight="1" x14ac:dyDescent="0.25">
      <c r="A16" s="64" t="s">
        <v>9</v>
      </c>
      <c r="B16" s="65"/>
      <c r="C16" s="65"/>
      <c r="D16" s="65"/>
      <c r="E16" s="65"/>
      <c r="F16" s="66">
        <f>3249.45</f>
        <v>3249.45</v>
      </c>
      <c r="G16" s="67"/>
      <c r="H16" s="68"/>
    </row>
    <row r="17" spans="1:9" ht="15" customHeight="1" x14ac:dyDescent="0.25">
      <c r="A17" s="64" t="s">
        <v>10</v>
      </c>
      <c r="B17" s="76"/>
      <c r="C17" s="76"/>
      <c r="D17" s="76"/>
      <c r="E17" s="77"/>
      <c r="F17" s="66">
        <f>84993.43</f>
        <v>84993.43</v>
      </c>
      <c r="G17" s="67"/>
      <c r="H17" s="68"/>
    </row>
    <row r="18" spans="1:9" ht="15" customHeight="1" x14ac:dyDescent="0.25">
      <c r="A18" s="64" t="s">
        <v>11</v>
      </c>
      <c r="B18" s="76"/>
      <c r="C18" s="76"/>
      <c r="D18" s="76"/>
      <c r="E18" s="77"/>
      <c r="F18" s="66"/>
      <c r="G18" s="67"/>
      <c r="H18" s="68"/>
    </row>
    <row r="19" spans="1:9" ht="15" customHeight="1" x14ac:dyDescent="0.25">
      <c r="A19" s="64" t="s">
        <v>8</v>
      </c>
      <c r="B19" s="65"/>
      <c r="C19" s="65"/>
      <c r="D19" s="65"/>
      <c r="E19" s="65"/>
      <c r="F19" s="66">
        <f>464381.58+96063.93</f>
        <v>560445.51</v>
      </c>
      <c r="G19" s="67"/>
      <c r="H19" s="68"/>
      <c r="I19" s="7"/>
    </row>
    <row r="20" spans="1:9" ht="15" customHeight="1" x14ac:dyDescent="0.2">
      <c r="A20" s="69"/>
      <c r="B20" s="70"/>
      <c r="C20" s="70"/>
      <c r="D20" s="70"/>
      <c r="E20" s="70"/>
      <c r="F20" s="70"/>
      <c r="G20" s="70"/>
      <c r="H20" s="2"/>
      <c r="I20" s="7"/>
    </row>
    <row r="21" spans="1:9" ht="15" customHeight="1" x14ac:dyDescent="0.25">
      <c r="A21" s="43"/>
      <c r="B21" s="44"/>
      <c r="C21" s="44"/>
      <c r="D21" s="44"/>
      <c r="E21" s="44"/>
      <c r="F21" s="3"/>
      <c r="G21" s="3"/>
      <c r="H21" s="2"/>
    </row>
    <row r="22" spans="1:9" ht="15" customHeight="1" x14ac:dyDescent="0.2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3">
      <c r="A23" s="73" t="s">
        <v>93</v>
      </c>
      <c r="B23" s="74"/>
      <c r="C23" s="74"/>
      <c r="D23" s="74"/>
      <c r="E23" s="74"/>
      <c r="F23" s="74"/>
      <c r="G23" s="74"/>
      <c r="H23" s="4">
        <f>3244493.35-H7</f>
        <v>1833980.33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5" t="s">
        <v>94</v>
      </c>
      <c r="B25" s="75"/>
      <c r="C25" s="75"/>
      <c r="D25" s="75"/>
      <c r="E25" s="75"/>
      <c r="F25" s="75"/>
      <c r="G25" s="75"/>
      <c r="H25" s="75"/>
    </row>
    <row r="26" spans="1:9" ht="43.5" customHeight="1" x14ac:dyDescent="0.25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5">
      <c r="A27" s="62"/>
      <c r="B27" s="62"/>
      <c r="C27" s="62"/>
      <c r="D27" s="62"/>
      <c r="E27" s="62"/>
      <c r="F27" s="62"/>
      <c r="G27" s="62"/>
      <c r="H27" s="62"/>
    </row>
    <row r="28" spans="1:9" ht="22.5" customHeight="1" x14ac:dyDescent="0.25">
      <c r="A28" s="63" t="s">
        <v>12</v>
      </c>
      <c r="B28" s="63"/>
      <c r="C28" s="63"/>
      <c r="D28" s="63"/>
      <c r="E28" s="63"/>
      <c r="F28" s="63"/>
      <c r="G28" s="63"/>
      <c r="H28" s="63"/>
    </row>
    <row r="29" spans="1:9" ht="15" customHeight="1" x14ac:dyDescent="0.25">
      <c r="A29" s="63"/>
      <c r="B29" s="63"/>
      <c r="C29" s="63"/>
      <c r="D29" s="63"/>
      <c r="E29" s="63"/>
      <c r="F29" s="63"/>
      <c r="G29" s="63"/>
      <c r="H29" s="63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scale="9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25</vt:i4>
      </vt:variant>
    </vt:vector>
  </HeadingPairs>
  <TitlesOfParts>
    <vt:vector size="25" baseType="lpstr">
      <vt:lpstr>декабрь 2018</vt:lpstr>
      <vt:lpstr>ноябрь 2018</vt:lpstr>
      <vt:lpstr>октябрь 2018</vt:lpstr>
      <vt:lpstr>сентябрь 2018</vt:lpstr>
      <vt:lpstr>август 2018</vt:lpstr>
      <vt:lpstr>июль 2018</vt:lpstr>
      <vt:lpstr>июнь 2018</vt:lpstr>
      <vt:lpstr>май 2018</vt:lpstr>
      <vt:lpstr>апрель 18</vt:lpstr>
      <vt:lpstr>март 18</vt:lpstr>
      <vt:lpstr>фев.18</vt:lpstr>
      <vt:lpstr>янв.18</vt:lpstr>
      <vt:lpstr>дек.17</vt:lpstr>
      <vt:lpstr>нояб.2017</vt:lpstr>
      <vt:lpstr>окт. 2017</vt:lpstr>
      <vt:lpstr>сент. 2017</vt:lpstr>
      <vt:lpstr>август 2017</vt:lpstr>
      <vt:lpstr>июль 2017</vt:lpstr>
      <vt:lpstr>июнь 2017</vt:lpstr>
      <vt:lpstr>май 2017</vt:lpstr>
      <vt:lpstr>апрель 2017</vt:lpstr>
      <vt:lpstr>март 2017</vt:lpstr>
      <vt:lpstr>февраль 2017</vt:lpstr>
      <vt:lpstr>январь 2017</vt:lpstr>
      <vt:lpstr>декабрь 2016</vt:lpstr>
    </vt:vector>
  </TitlesOfParts>
  <Company>DNS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Оксана</dc:creator>
  <cp:lastModifiedBy>User</cp:lastModifiedBy>
  <cp:lastPrinted>2017-02-14T00:13:57Z</cp:lastPrinted>
  <dcterms:created xsi:type="dcterms:W3CDTF">2011-02-07T06:28:49Z</dcterms:created>
  <dcterms:modified xsi:type="dcterms:W3CDTF">2019-02-04T08:59:16Z</dcterms:modified>
</cp:coreProperties>
</file>