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0" yWindow="465" windowWidth="19440" windowHeight="12705"/>
  </bookViews>
  <sheets>
    <sheet name="декабрь 2018" sheetId="86" r:id="rId1"/>
    <sheet name="ноябрь 2018" sheetId="85" r:id="rId2"/>
    <sheet name="октябрь 2018" sheetId="84" r:id="rId3"/>
    <sheet name="сентябрь 2018" sheetId="83" r:id="rId4"/>
    <sheet name="август 2018" sheetId="82" r:id="rId5"/>
    <sheet name="июль 2018 " sheetId="81" r:id="rId6"/>
    <sheet name="июнь 2018" sheetId="80" r:id="rId7"/>
    <sheet name="май 2018" sheetId="79" r:id="rId8"/>
    <sheet name="апрель 2018" sheetId="78" r:id="rId9"/>
    <sheet name="март 2018" sheetId="77" r:id="rId10"/>
    <sheet name="февраль 2018" sheetId="76" r:id="rId11"/>
    <sheet name="январь 2018" sheetId="75" r:id="rId12"/>
    <sheet name="декабрь 2017" sheetId="74" r:id="rId13"/>
    <sheet name="нояб.2017" sheetId="73" r:id="rId14"/>
    <sheet name="окт.2017" sheetId="72" r:id="rId15"/>
    <sheet name="сентябрь 2017" sheetId="71" r:id="rId16"/>
    <sheet name="август 2017" sheetId="70" r:id="rId17"/>
    <sheet name="июль 2017" sheetId="69" r:id="rId18"/>
    <sheet name="июнь 2017" sheetId="68" r:id="rId19"/>
    <sheet name="май 2017" sheetId="67" r:id="rId20"/>
    <sheet name="апрель 2017" sheetId="66" r:id="rId21"/>
    <sheet name="март 2017" sheetId="65" r:id="rId22"/>
    <sheet name="февраль 2017" sheetId="64" r:id="rId23"/>
    <sheet name="январь 2017" sheetId="63" r:id="rId24"/>
    <sheet name="декабрь 2016" sheetId="62" r:id="rId25"/>
  </sheets>
  <externalReferences>
    <externalReference r:id="rId26"/>
  </externalReferenc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3" i="86" l="1"/>
  <c r="H23" i="85"/>
  <c r="H23" i="84"/>
  <c r="H4" i="86"/>
  <c r="H4" i="85"/>
  <c r="H8" i="86"/>
  <c r="H8" i="85"/>
  <c r="H23" i="83"/>
  <c r="H8" i="84"/>
  <c r="H7" i="84"/>
  <c r="H4" i="84"/>
  <c r="F19" i="84"/>
  <c r="F17" i="84"/>
  <c r="F16" i="84"/>
  <c r="F14" i="84"/>
  <c r="F13" i="84"/>
  <c r="F12" i="84"/>
  <c r="F11" i="84"/>
  <c r="F10" i="84"/>
  <c r="F9" i="84"/>
  <c r="F9" i="83"/>
  <c r="F10" i="83"/>
  <c r="F11" i="83"/>
  <c r="F12" i="83"/>
  <c r="F13" i="83"/>
  <c r="F14" i="83"/>
  <c r="F16" i="83"/>
  <c r="F17" i="83"/>
  <c r="F19" i="83"/>
  <c r="H4" i="83"/>
  <c r="H8" i="83"/>
  <c r="F17" i="82"/>
  <c r="F16" i="82"/>
  <c r="F14" i="82"/>
  <c r="F13" i="82"/>
  <c r="F12" i="82"/>
  <c r="F11" i="82"/>
  <c r="F10" i="82"/>
  <c r="F9" i="82"/>
  <c r="H23" i="82"/>
  <c r="H4" i="82"/>
  <c r="H8" i="82"/>
  <c r="H23" i="81"/>
  <c r="F13" i="81"/>
  <c r="F9" i="81"/>
  <c r="F11" i="81"/>
  <c r="F19" i="81"/>
  <c r="F17" i="81"/>
  <c r="F14" i="81"/>
  <c r="F10" i="81"/>
  <c r="H4" i="81"/>
  <c r="H8" i="81"/>
  <c r="H23" i="80"/>
  <c r="F19" i="80"/>
  <c r="F17" i="80"/>
  <c r="F14" i="80"/>
  <c r="F13" i="80"/>
  <c r="F12" i="80"/>
  <c r="F11" i="80"/>
  <c r="F10" i="80"/>
  <c r="F9" i="80"/>
  <c r="F9" i="74"/>
  <c r="F10" i="74"/>
  <c r="F13" i="74"/>
  <c r="F17" i="74"/>
  <c r="F19" i="74"/>
  <c r="H4" i="80"/>
  <c r="H8" i="80"/>
  <c r="F19" i="79"/>
  <c r="F17" i="79"/>
  <c r="F16" i="79"/>
  <c r="F14" i="79"/>
  <c r="F13" i="79"/>
  <c r="F12" i="79"/>
  <c r="F11" i="79"/>
  <c r="F10" i="79"/>
  <c r="F9" i="79"/>
  <c r="H8" i="79"/>
  <c r="H7" i="79"/>
  <c r="H23" i="79"/>
  <c r="H7" i="78"/>
  <c r="H23" i="78"/>
  <c r="H4" i="79"/>
  <c r="F9" i="78"/>
  <c r="F19" i="78"/>
  <c r="F10" i="78"/>
  <c r="F11" i="78"/>
  <c r="F12" i="78"/>
  <c r="F13" i="78"/>
  <c r="F16" i="78"/>
  <c r="F17" i="78"/>
  <c r="H8" i="78"/>
  <c r="H7" i="77"/>
  <c r="H23" i="77"/>
  <c r="H4" i="78"/>
  <c r="F9" i="77"/>
  <c r="F17" i="77"/>
  <c r="F16" i="77"/>
  <c r="F14" i="77"/>
  <c r="F13" i="77"/>
  <c r="F12" i="77"/>
  <c r="F11" i="77"/>
  <c r="F10" i="77"/>
  <c r="H7" i="76"/>
  <c r="H23" i="76"/>
  <c r="H4" i="77"/>
  <c r="H8" i="77"/>
  <c r="F9" i="76"/>
  <c r="F19" i="76"/>
  <c r="F17" i="76"/>
  <c r="F16" i="76"/>
  <c r="F14" i="76"/>
  <c r="F13" i="76"/>
  <c r="F12" i="76"/>
  <c r="F11" i="76"/>
  <c r="F10" i="76"/>
  <c r="H8" i="76"/>
  <c r="H23" i="75"/>
  <c r="H4" i="76"/>
  <c r="F9" i="75"/>
  <c r="F19" i="75"/>
  <c r="F17" i="75"/>
  <c r="F16" i="75"/>
  <c r="F12" i="75"/>
  <c r="F10" i="75"/>
  <c r="H23" i="74"/>
  <c r="H4" i="75"/>
  <c r="H8" i="75"/>
  <c r="H23" i="73"/>
  <c r="H4" i="74"/>
  <c r="H8" i="74"/>
  <c r="H23" i="72"/>
  <c r="H4" i="73"/>
  <c r="F19" i="73"/>
  <c r="F9" i="73"/>
  <c r="F17" i="73"/>
  <c r="F16" i="73"/>
  <c r="F13" i="73"/>
  <c r="F12" i="73"/>
  <c r="F11" i="73"/>
  <c r="F10" i="73"/>
  <c r="H8" i="73"/>
  <c r="H23" i="71"/>
  <c r="H4" i="72"/>
  <c r="F19" i="72"/>
  <c r="F17" i="72"/>
  <c r="F16" i="72"/>
  <c r="F14" i="72"/>
  <c r="F12" i="72"/>
  <c r="F11" i="72"/>
  <c r="F10" i="72"/>
  <c r="F9" i="72"/>
  <c r="H8" i="72"/>
  <c r="F19" i="71"/>
  <c r="F17" i="71"/>
  <c r="F16" i="71"/>
  <c r="F14" i="71"/>
  <c r="F13" i="71"/>
  <c r="F12" i="71"/>
  <c r="F11" i="71"/>
  <c r="F10" i="71"/>
  <c r="F9" i="71"/>
  <c r="H8" i="71"/>
  <c r="H4" i="71"/>
  <c r="F17" i="70"/>
  <c r="F14" i="70"/>
  <c r="F13" i="70"/>
  <c r="F12" i="70"/>
  <c r="F11" i="70"/>
  <c r="F10" i="70"/>
  <c r="F9" i="70"/>
  <c r="H23" i="70"/>
  <c r="H8" i="70"/>
  <c r="H23" i="69"/>
  <c r="H4" i="70"/>
  <c r="F13" i="69"/>
  <c r="F17" i="69"/>
  <c r="F16" i="69"/>
  <c r="F12" i="69"/>
  <c r="F11" i="69"/>
  <c r="F10" i="69"/>
  <c r="F9" i="69"/>
  <c r="H8" i="69"/>
  <c r="H23" i="68"/>
  <c r="H4" i="69"/>
  <c r="F13" i="68"/>
  <c r="F12" i="68"/>
  <c r="F11" i="68"/>
  <c r="F10" i="68"/>
  <c r="F9" i="68"/>
  <c r="H8" i="68"/>
  <c r="F13" i="67"/>
  <c r="F11" i="67"/>
  <c r="F10" i="67"/>
  <c r="F9" i="67"/>
  <c r="H23" i="67"/>
  <c r="H4" i="68"/>
  <c r="H23" i="66"/>
  <c r="H4" i="67"/>
  <c r="H8" i="67"/>
  <c r="H23" i="65"/>
  <c r="H4" i="66"/>
  <c r="F12" i="66"/>
  <c r="F9" i="66"/>
  <c r="H8" i="66"/>
  <c r="F9" i="65"/>
  <c r="H8" i="65"/>
  <c r="H23" i="64"/>
  <c r="H4" i="65"/>
  <c r="F9" i="64"/>
  <c r="H8" i="64"/>
  <c r="H7" i="63"/>
  <c r="H23" i="63"/>
  <c r="H4" i="64"/>
  <c r="H7" i="62"/>
  <c r="H23" i="62"/>
  <c r="H4" i="63"/>
  <c r="H8" i="63"/>
  <c r="H8" i="62"/>
</calcChain>
</file>

<file path=xl/sharedStrings.xml><?xml version="1.0" encoding="utf-8"?>
<sst xmlns="http://schemas.openxmlformats.org/spreadsheetml/2006/main" count="450" uniqueCount="122">
  <si>
    <t>Поступило в счет оплаты содержания и ремонта жилья,коммунальных услуг</t>
  </si>
  <si>
    <t>Содержание и ремонт жилья</t>
  </si>
  <si>
    <t>Горячая вода</t>
  </si>
  <si>
    <t>Холодная вода</t>
  </si>
  <si>
    <t>Водоотведение</t>
  </si>
  <si>
    <t>Электроэнергия</t>
  </si>
  <si>
    <t>Домофон</t>
  </si>
  <si>
    <t>Пеня</t>
  </si>
  <si>
    <t>Отопление Гкл</t>
  </si>
  <si>
    <t>Антенна</t>
  </si>
  <si>
    <t>Капитальный ремонт</t>
  </si>
  <si>
    <t>Судебные расходы</t>
  </si>
  <si>
    <t>С уважением, ООО "Управляющая организация "Мой дом"</t>
  </si>
  <si>
    <t>Отчет ТСЖ "ОЛИМП"  по ул. Санитарная,19                                                             за период 01.12.2016-31.12.2016гг.</t>
  </si>
  <si>
    <t>Задолженность собственников на 01.12.2016</t>
  </si>
  <si>
    <t>Начислено за декабрь 2016г</t>
  </si>
  <si>
    <t>Просроченная задолженность на 31.12.2016</t>
  </si>
  <si>
    <t>Выполненные работы: 1. Установлено ограждение на въезде во двор, смонтирована на них автоматика.</t>
  </si>
  <si>
    <t>Задолженность собственников на 01.01.2017</t>
  </si>
  <si>
    <t>Начислено за январь  2017г</t>
  </si>
  <si>
    <t>Отчет ТСЖ "ОЛИМП"  по ул. Санитарная,19                                                             за период 01.01.2017-31.01.2017гг.</t>
  </si>
  <si>
    <t>Просроченная задолженность на 31.01.2017</t>
  </si>
  <si>
    <t>Отчет ТСЖ "ОЛИМП"  по ул. Санитарная,19                                                             за период 01.02.2017-28.02.2017гг.</t>
  </si>
  <si>
    <t>Задолженность собственников на 01.02.2017</t>
  </si>
  <si>
    <t>Начислено за февраль  2017г</t>
  </si>
  <si>
    <t>Просроченная задолженность на 28.02.2017</t>
  </si>
  <si>
    <t xml:space="preserve">Выполненные работы: </t>
  </si>
  <si>
    <t>Отчет ТСЖ "ОЛИМП"  по ул. Санитарная,19                                                             за период 01.03.2017-31.03.2017гг.</t>
  </si>
  <si>
    <t>Задолженность собственников на 01.03.2017</t>
  </si>
  <si>
    <t>Начислено за март  2017г</t>
  </si>
  <si>
    <t>Просроченная задолженность на 31.03.2017</t>
  </si>
  <si>
    <t>Отчет ТСЖ "ОЛИМП"  по ул. Санитарная,19                                                             за период 01.04.2017-30.04.2017гг.</t>
  </si>
  <si>
    <t>Задолженность собственников на 01.04.2017</t>
  </si>
  <si>
    <t>Начислено за апрель  2017г</t>
  </si>
  <si>
    <t>Просроченная задолженность на 30.04.2017</t>
  </si>
  <si>
    <t>Отчет ТСЖ "ОЛИМП"  по ул. Санитарная,19                                                             за период 01.05.2017-31.05.2017гг.</t>
  </si>
  <si>
    <t>Задолженность собственников на 01.05.2017</t>
  </si>
  <si>
    <t>Начислено за май  2017г</t>
  </si>
  <si>
    <t>Просроченная задолженность на 31.05.2017</t>
  </si>
  <si>
    <t>Выполненные работы: 1. Произведен ремонт кровли в местах протекания.</t>
  </si>
  <si>
    <t>Задолженность собственников на 01.06.2017</t>
  </si>
  <si>
    <t>Отчет ТСЖ "ОЛИМП"  по ул. Санитарная,19                                                             за период 01.06.2017-30.06.2017гг.</t>
  </si>
  <si>
    <t>Просроченная задолженность на 30.06.2017</t>
  </si>
  <si>
    <t>Начислено за июнь  2017г</t>
  </si>
  <si>
    <t xml:space="preserve">Выполненные работы: 1. Установлены урны возле подъездов. 2. Установлен бетонный блок на выезде со двора. </t>
  </si>
  <si>
    <t>Отчет ТСЖ "ОЛИМП"  по ул. Санитарная,19                                                             за период 01.07.2017-31.07.2017гг.</t>
  </si>
  <si>
    <t>Задолженность собственников на 01.07.2017</t>
  </si>
  <si>
    <t>Начислено за июль  2017г</t>
  </si>
  <si>
    <t>Просроченная задолженность на 31.07.2017</t>
  </si>
  <si>
    <t>Отчет ТСЖ "ОЛИМП"  по ул. Санитарная,19                                                             за период 01.08.2017-31.08.2017гг.</t>
  </si>
  <si>
    <t>Задолженность собственников на 01.08.2017</t>
  </si>
  <si>
    <t>Начислено за август  2017г</t>
  </si>
  <si>
    <t>Просроченная задолженность на 31.08.2017</t>
  </si>
  <si>
    <t>Выполненные работы: 1.</t>
  </si>
  <si>
    <t>Отчет ТСЖ "ОЛИМП"  по ул. Санитарная,19                                                             за период 01.09.2017-30.09.2017гг.</t>
  </si>
  <si>
    <t>Задолженность собственников на 01.09.2017</t>
  </si>
  <si>
    <t>Начислено за сентябрь  2017г</t>
  </si>
  <si>
    <t>Просроченная задолженность на 30.09.2017</t>
  </si>
  <si>
    <t>Отчет ТСЖ "ОЛИМП"  по ул. Санитарная,19                                                             за период 01.10.2017-31.10.2017гг.</t>
  </si>
  <si>
    <t>Задолженность собственников на 01.10.2017</t>
  </si>
  <si>
    <t>Начислено за октябрь  2017г</t>
  </si>
  <si>
    <t>Просроченная задолженность на 31.10.2017</t>
  </si>
  <si>
    <t>Отчет ТСЖ "ОЛИМП"  по ул. Санитарная,19                                                             за период 01.11.2017-30.11.2017гг.</t>
  </si>
  <si>
    <t>Задолженность собственников на 01.11.2017</t>
  </si>
  <si>
    <t>Начислено за ноябрь  2017г</t>
  </si>
  <si>
    <t>Просроченная задолженность на 30.11.2017</t>
  </si>
  <si>
    <t>Отчет ТСЖ "ОЛИМП"  по ул. Санитарная,19                                                             за период 01.12.2017-31.12.2017гг.</t>
  </si>
  <si>
    <t>Задолженность собственников на 01.12.2017</t>
  </si>
  <si>
    <t>Начислено за декабрь  2017г</t>
  </si>
  <si>
    <t>Просроченная задолженность на 31.12.2017</t>
  </si>
  <si>
    <t>Отчет ТСЖ "ОЛИМП"  по ул. Санитарная,19                                                             за период 01.01.2018-31.08.2018гг.</t>
  </si>
  <si>
    <t>Задолженность собственников на 01.01.2018</t>
  </si>
  <si>
    <t>Начислено за январь  2018г</t>
  </si>
  <si>
    <t>Просроченная задолженность на 31.01.2018</t>
  </si>
  <si>
    <t>Отчет ТСЖ "ОЛИМП"  по ул. Санитарная,19                                                             за период 01.02.2018-28.02.2018гг.</t>
  </si>
  <si>
    <t>Задолженность собственников на 01.02.2018</t>
  </si>
  <si>
    <t>Начислено за февраль 2018г</t>
  </si>
  <si>
    <t>Просроченная задолженность на 28.02.2018</t>
  </si>
  <si>
    <t xml:space="preserve">Выполненные работы: 1. Начаты работы по установке пластиковых окон в первом подъезде </t>
  </si>
  <si>
    <t>Отчет ТСЖ "ОЛИМП"  по ул. Санитарная,19                                                             за период 01.03.2018-31.03.2018гг.</t>
  </si>
  <si>
    <t>Задолженность собственников на 01.03.2018</t>
  </si>
  <si>
    <t>Просроченная задолженность на 31.03.2018</t>
  </si>
  <si>
    <t>Начислено за март 2018г</t>
  </si>
  <si>
    <t xml:space="preserve">Выполненные работы: 1. Завершены работы по установке пластиковых окон в первом подъезде. 2. Завершены работы по ремонту первых этажей в обоих подъездах.  </t>
  </si>
  <si>
    <t>Отчет ТСЖ "ОЛИМП"  по ул. Санитарная,19                                                             за период 01.04.2018-30.04.2018гг.</t>
  </si>
  <si>
    <t>Задолженность собственников на 01.04.2018</t>
  </si>
  <si>
    <t>Начислено за апрель  2018г</t>
  </si>
  <si>
    <t>Просроченная задолженность на 30.04.2018</t>
  </si>
  <si>
    <t>Отчет ТСЖ "ОЛИМП"  по ул. Санитарная,19                                                             за период 01.05.2018-31.05.2018гг.</t>
  </si>
  <si>
    <t>Задолженность собственников на 01.05.2018</t>
  </si>
  <si>
    <t>Просроченная задолженность на 31.05.2018</t>
  </si>
  <si>
    <t>Отчет ТСЖ "ОЛИМП"  по ул. Санитарная,19                                                             за период 01.06.2018-30.06.2018гг.</t>
  </si>
  <si>
    <t>Задолженность собственников на 01.06.2018</t>
  </si>
  <si>
    <t>Начислено за май  2018г</t>
  </si>
  <si>
    <t>Начислено за июнь  2018г</t>
  </si>
  <si>
    <t xml:space="preserve">Выполненные работы: 1. Произведен ремонт кровли в местах протекания. </t>
  </si>
  <si>
    <t>Отчет ТСЖ "ОЛИМП"  по ул. Санитарная,19                                                             за период 01.07.2018-31.07.2018гг.</t>
  </si>
  <si>
    <t>Задолженность собственников на 01.07.2018</t>
  </si>
  <si>
    <t>Начислено за июль  2018г</t>
  </si>
  <si>
    <t>Просроченная задолженность на 31.07.2018</t>
  </si>
  <si>
    <t>Просроченная задолженность на 30.06.2018</t>
  </si>
  <si>
    <t>С уважением, ООО "Розенталь Групп "Ботейн"</t>
  </si>
  <si>
    <t>Отчет ТСЖ "ОЛИМП"  по ул. Санитарная,19                                                             за период 01.08.2018-31.08.2018гг.</t>
  </si>
  <si>
    <t>Задолженность собственников на 01.08.2018</t>
  </si>
  <si>
    <t>Начислено за август 2018г</t>
  </si>
  <si>
    <t>Просроченная задолженность на 31.08.2018</t>
  </si>
  <si>
    <t>Отчет ТСЖ "ОЛИМП"  по ул. Санитарная,19                                                             за период 01.09.2018-30.09.2018гг.</t>
  </si>
  <si>
    <t>Задолженность собственников на 01.09.2018</t>
  </si>
  <si>
    <t>Начислено за сентябрь 2018г</t>
  </si>
  <si>
    <t>Просроченная задолженность на 30.09.2018</t>
  </si>
  <si>
    <t>Задолженность собственников на 01.10.2018</t>
  </si>
  <si>
    <t>Отчет ТСЖ "ОЛИМП"  по ул. Санитарная,19                                                             за период 01.10.2018-31.10.2018гг.</t>
  </si>
  <si>
    <t>Начислено за октябрь 2018г</t>
  </si>
  <si>
    <t>Просроченная задолженность на 31.10.2018</t>
  </si>
  <si>
    <t>Отчет ТСЖ "ОЛИМП"  по ул. Санитарная,19                                                             за период 01.11.2018-30.11.2018гг.</t>
  </si>
  <si>
    <t>Задолженность собственников на 01.11.2018</t>
  </si>
  <si>
    <t>Начислено за ноябрь 2018г</t>
  </si>
  <si>
    <t>Просроченная задолженность на 30.11.2018</t>
  </si>
  <si>
    <t>Отчет ТСЖ "ОЛИМП"  по ул. Санитарная,19                                                             за период 01.12.2018-30.12.2018гг.</t>
  </si>
  <si>
    <t>Задолженность собственников на 01.12.2018</t>
  </si>
  <si>
    <t>Просроченная задолженность на 30.12.2018</t>
  </si>
  <si>
    <t>Начислено за декабрь 2018г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</si>
</sst>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b/>
      <sz val="20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2"/>
      <name val="Times New Roman"/>
      <family val="1"/>
      <charset val="204"/>
    </font>
    <font>
      <sz val="12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2" fillId="0" borderId="0" xfId="0" applyFont="1"/>
    <xf numFmtId="2" fontId="2" fillId="0" borderId="2" xfId="0" applyNumberFormat="1" applyFont="1" applyBorder="1"/>
    <xf numFmtId="0" fontId="3" fillId="0" borderId="0" xfId="0" applyFont="1" applyBorder="1" applyAlignment="1">
      <alignment horizontal="left"/>
    </xf>
    <xf numFmtId="2" fontId="2" fillId="2" borderId="5" xfId="0" applyNumberFormat="1" applyFont="1" applyFill="1" applyBorder="1"/>
    <xf numFmtId="2" fontId="2" fillId="0" borderId="0" xfId="0" applyNumberFormat="1" applyFont="1"/>
    <xf numFmtId="0" fontId="2" fillId="0" borderId="2" xfId="0" applyFont="1" applyBorder="1"/>
    <xf numFmtId="2" fontId="0" fillId="0" borderId="0" xfId="0" applyNumberFormat="1"/>
    <xf numFmtId="2" fontId="2" fillId="0" borderId="8" xfId="0" applyNumberFormat="1" applyFont="1" applyBorder="1"/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0" xfId="0" applyNumberFormat="1" applyFont="1" applyBorder="1" applyAlignment="1">
      <alignment vertical="top" wrapText="1"/>
    </xf>
    <xf numFmtId="0" fontId="2" fillId="0" borderId="0" xfId="0" applyFont="1" applyAlignment="1">
      <alignment horizontal="right"/>
    </xf>
    <xf numFmtId="0" fontId="4" fillId="0" borderId="9" xfId="0" applyFont="1" applyBorder="1" applyAlignment="1">
      <alignment wrapText="1"/>
    </xf>
    <xf numFmtId="0" fontId="4" fillId="0" borderId="10" xfId="0" applyFont="1" applyBorder="1" applyAlignment="1">
      <alignment wrapText="1"/>
    </xf>
    <xf numFmtId="0" fontId="4" fillId="0" borderId="13" xfId="0" applyFont="1" applyBorder="1" applyAlignment="1">
      <alignment wrapText="1"/>
    </xf>
    <xf numFmtId="2" fontId="5" fillId="0" borderId="12" xfId="0" applyNumberFormat="1" applyFont="1" applyBorder="1" applyAlignment="1"/>
    <xf numFmtId="2" fontId="5" fillId="0" borderId="10" xfId="0" applyNumberFormat="1" applyFont="1" applyBorder="1" applyAlignment="1"/>
    <xf numFmtId="2" fontId="5" fillId="0" borderId="13" xfId="0" applyNumberFormat="1" applyFont="1" applyBorder="1" applyAlignment="1"/>
    <xf numFmtId="0" fontId="2" fillId="0" borderId="6" xfId="0" applyFont="1" applyBorder="1" applyAlignment="1">
      <alignment horizontal="left" wrapText="1"/>
    </xf>
    <xf numFmtId="0" fontId="2" fillId="0" borderId="7" xfId="0" applyFont="1" applyBorder="1" applyAlignment="1">
      <alignment horizontal="left" wrapText="1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5" fillId="0" borderId="0" xfId="0" applyFont="1" applyBorder="1" applyAlignment="1">
      <alignment horizontal="left" vertical="top" wrapText="1"/>
    </xf>
    <xf numFmtId="0" fontId="4" fillId="0" borderId="12" xfId="0" applyFont="1" applyBorder="1" applyAlignment="1">
      <alignment wrapText="1"/>
    </xf>
    <xf numFmtId="0" fontId="1" fillId="0" borderId="0" xfId="0" applyFont="1" applyAlignment="1">
      <alignment horizontal="center" vertical="top" wrapText="1"/>
    </xf>
    <xf numFmtId="0" fontId="1" fillId="0" borderId="4" xfId="0" applyFont="1" applyBorder="1" applyAlignment="1">
      <alignment horizontal="center" vertical="top" wrapText="1"/>
    </xf>
    <xf numFmtId="0" fontId="2" fillId="0" borderId="6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0" fontId="2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left" wrapText="1"/>
    </xf>
    <xf numFmtId="0" fontId="4" fillId="0" borderId="12" xfId="0" applyFont="1" applyBorder="1" applyAlignment="1"/>
    <xf numFmtId="0" fontId="4" fillId="0" borderId="10" xfId="0" applyFont="1" applyBorder="1" applyAlignment="1"/>
    <xf numFmtId="0" fontId="4" fillId="0" borderId="13" xfId="0" applyFont="1" applyBorder="1" applyAlignment="1"/>
    <xf numFmtId="0" fontId="5" fillId="0" borderId="10" xfId="0" applyFont="1" applyBorder="1" applyAlignment="1">
      <alignment wrapText="1"/>
    </xf>
    <xf numFmtId="0" fontId="2" fillId="0" borderId="1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0" fillId="0" borderId="10" xfId="0" applyBorder="1" applyAlignment="1">
      <alignment wrapText="1"/>
    </xf>
    <xf numFmtId="0" fontId="0" fillId="0" borderId="13" xfId="0" applyBorder="1" applyAlignment="1">
      <alignment wrapText="1"/>
    </xf>
    <xf numFmtId="0" fontId="4" fillId="0" borderId="11" xfId="0" applyFont="1" applyBorder="1" applyAlignment="1">
      <alignment wrapText="1"/>
    </xf>
    <xf numFmtId="0" fontId="5" fillId="0" borderId="11" xfId="0" applyFont="1" applyBorder="1" applyAlignment="1"/>
    <xf numFmtId="0" fontId="5" fillId="0" borderId="12" xfId="0" applyFont="1" applyBorder="1" applyAlignment="1"/>
    <xf numFmtId="0" fontId="4" fillId="0" borderId="11" xfId="0" applyFont="1" applyBorder="1" applyAlignme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Evgenij\Desktop\C:\&#1043;&#1083;&#1072;&#1074;%20&#1073;&#1091;&#1093;\&#1045;&#1078;&#1077;&#1084;&#1077;&#1089;&#1103;&#1095;&#1085;&#1099;&#1077;%20&#1086;&#1090;&#1095;&#1077;&#1090;&#1099;%20&#1058;&#1057;&#1046;\2017\&#1057;&#1077;&#1085;&#1090;&#1103;&#1073;&#1088;&#1100;%202017\Olimp(8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август 2017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2"/>
  <sheetViews>
    <sheetView tabSelected="1" workbookViewId="0">
      <selection activeCell="H4" sqref="H4"/>
    </sheetView>
  </sheetViews>
  <sheetFormatPr defaultColWidth="8.85546875" defaultRowHeight="15" x14ac:dyDescent="0.25"/>
  <cols>
    <col min="7" max="7" width="13.85546875" customWidth="1"/>
    <col min="8" max="8" width="25.42578125" customWidth="1"/>
    <col min="9" max="9" width="10.42578125" bestFit="1" customWidth="1"/>
  </cols>
  <sheetData>
    <row r="2" spans="1:9" ht="15" customHeight="1" x14ac:dyDescent="0.25">
      <c r="A2" s="75" t="s">
        <v>118</v>
      </c>
      <c r="B2" s="75"/>
      <c r="C2" s="75"/>
      <c r="D2" s="75"/>
      <c r="E2" s="75"/>
      <c r="F2" s="75"/>
      <c r="G2" s="75"/>
      <c r="H2" s="75"/>
    </row>
    <row r="3" spans="1:9" ht="58.5" customHeight="1" x14ac:dyDescent="0.25">
      <c r="A3" s="76"/>
      <c r="B3" s="76"/>
      <c r="C3" s="76"/>
      <c r="D3" s="76"/>
      <c r="E3" s="76"/>
      <c r="F3" s="76"/>
      <c r="G3" s="76"/>
      <c r="H3" s="76"/>
    </row>
    <row r="4" spans="1:9" ht="27.75" customHeight="1" x14ac:dyDescent="0.3">
      <c r="A4" s="77" t="s">
        <v>119</v>
      </c>
      <c r="B4" s="78"/>
      <c r="C4" s="78"/>
      <c r="D4" s="78"/>
      <c r="E4" s="78"/>
      <c r="F4" s="78"/>
      <c r="G4" s="78"/>
      <c r="H4" s="8">
        <f>'ноябрь 2018'!H23</f>
        <v>360025.77</v>
      </c>
    </row>
    <row r="5" spans="1:9" ht="18" x14ac:dyDescent="0.2">
      <c r="A5" s="57"/>
      <c r="B5" s="58"/>
      <c r="C5" s="58"/>
      <c r="D5" s="58"/>
      <c r="E5" s="58"/>
      <c r="F5" s="58"/>
      <c r="G5" s="58"/>
      <c r="H5" s="6"/>
    </row>
    <row r="6" spans="1:9" ht="26.25" customHeight="1" x14ac:dyDescent="0.2">
      <c r="A6" s="57"/>
      <c r="B6" s="58"/>
      <c r="C6" s="58"/>
      <c r="D6" s="58"/>
      <c r="E6" s="58"/>
      <c r="F6" s="58"/>
      <c r="G6" s="58"/>
      <c r="H6" s="6"/>
    </row>
    <row r="7" spans="1:9" ht="15" customHeight="1" x14ac:dyDescent="0.3">
      <c r="A7" s="69" t="s">
        <v>121</v>
      </c>
      <c r="B7" s="70"/>
      <c r="C7" s="70"/>
      <c r="D7" s="70"/>
      <c r="E7" s="70"/>
      <c r="F7" s="70"/>
      <c r="G7" s="70"/>
      <c r="H7" s="2">
        <v>712528.37</v>
      </c>
    </row>
    <row r="8" spans="1:9" ht="39" customHeight="1" x14ac:dyDescent="0.3">
      <c r="A8" s="79" t="s">
        <v>0</v>
      </c>
      <c r="B8" s="80"/>
      <c r="C8" s="80"/>
      <c r="D8" s="80"/>
      <c r="E8" s="80"/>
      <c r="F8" s="80"/>
      <c r="G8" s="80"/>
      <c r="H8" s="2">
        <f>SUM(F9:H19)</f>
        <v>664039.42999999993</v>
      </c>
    </row>
    <row r="9" spans="1:9" ht="15" customHeight="1" x14ac:dyDescent="0.25">
      <c r="A9" s="81" t="s">
        <v>1</v>
      </c>
      <c r="B9" s="82"/>
      <c r="C9" s="82"/>
      <c r="D9" s="82"/>
      <c r="E9" s="83"/>
      <c r="F9" s="64">
        <v>224767.58</v>
      </c>
      <c r="G9" s="65"/>
      <c r="H9" s="66"/>
      <c r="I9" s="7"/>
    </row>
    <row r="10" spans="1:9" ht="15" customHeight="1" x14ac:dyDescent="0.25">
      <c r="A10" s="74" t="s">
        <v>2</v>
      </c>
      <c r="B10" s="62"/>
      <c r="C10" s="62"/>
      <c r="D10" s="62"/>
      <c r="E10" s="63"/>
      <c r="F10" s="64">
        <v>57995.25</v>
      </c>
      <c r="G10" s="65"/>
      <c r="H10" s="66"/>
    </row>
    <row r="11" spans="1:9" ht="15" customHeight="1" x14ac:dyDescent="0.25">
      <c r="A11" s="61" t="s">
        <v>3</v>
      </c>
      <c r="B11" s="62"/>
      <c r="C11" s="62"/>
      <c r="D11" s="62"/>
      <c r="E11" s="63"/>
      <c r="F11" s="64">
        <v>36479.79</v>
      </c>
      <c r="G11" s="65"/>
      <c r="H11" s="66"/>
    </row>
    <row r="12" spans="1:9" ht="15" customHeight="1" x14ac:dyDescent="0.25">
      <c r="A12" s="61" t="s">
        <v>4</v>
      </c>
      <c r="B12" s="62"/>
      <c r="C12" s="62"/>
      <c r="D12" s="62"/>
      <c r="E12" s="63"/>
      <c r="F12" s="64">
        <v>40137.72</v>
      </c>
      <c r="G12" s="65"/>
      <c r="H12" s="66"/>
    </row>
    <row r="13" spans="1:9" ht="15" customHeight="1" x14ac:dyDescent="0.25">
      <c r="A13" s="61" t="s">
        <v>5</v>
      </c>
      <c r="B13" s="62"/>
      <c r="C13" s="62"/>
      <c r="D13" s="62"/>
      <c r="E13" s="63"/>
      <c r="F13" s="64">
        <v>62155.13</v>
      </c>
      <c r="G13" s="65"/>
      <c r="H13" s="66"/>
    </row>
    <row r="14" spans="1:9" ht="15" customHeight="1" x14ac:dyDescent="0.25">
      <c r="A14" s="61" t="s">
        <v>6</v>
      </c>
      <c r="B14" s="62"/>
      <c r="C14" s="62"/>
      <c r="D14" s="62"/>
      <c r="E14" s="63"/>
      <c r="F14" s="64">
        <v>4397.6499999999996</v>
      </c>
      <c r="G14" s="65"/>
      <c r="H14" s="66"/>
    </row>
    <row r="15" spans="1:9" ht="15" customHeight="1" x14ac:dyDescent="0.25">
      <c r="A15" s="61" t="s">
        <v>7</v>
      </c>
      <c r="B15" s="62"/>
      <c r="C15" s="62"/>
      <c r="D15" s="62"/>
      <c r="E15" s="63"/>
      <c r="F15" s="64"/>
      <c r="G15" s="65"/>
      <c r="H15" s="66"/>
    </row>
    <row r="16" spans="1:9" ht="15" customHeight="1" x14ac:dyDescent="0.25">
      <c r="A16" s="61" t="s">
        <v>9</v>
      </c>
      <c r="B16" s="62"/>
      <c r="C16" s="62"/>
      <c r="D16" s="62"/>
      <c r="E16" s="63"/>
      <c r="F16" s="64">
        <v>4551.07</v>
      </c>
      <c r="G16" s="65"/>
      <c r="H16" s="66"/>
    </row>
    <row r="17" spans="1:9" ht="15" customHeight="1" x14ac:dyDescent="0.25">
      <c r="A17" s="61" t="s">
        <v>10</v>
      </c>
      <c r="B17" s="62"/>
      <c r="C17" s="62"/>
      <c r="D17" s="62"/>
      <c r="E17" s="63"/>
      <c r="F17" s="64">
        <v>38423.31</v>
      </c>
      <c r="G17" s="65"/>
      <c r="H17" s="66"/>
    </row>
    <row r="18" spans="1:9" ht="15" customHeight="1" x14ac:dyDescent="0.25">
      <c r="A18" s="61" t="s">
        <v>11</v>
      </c>
      <c r="B18" s="62"/>
      <c r="C18" s="62"/>
      <c r="D18" s="62"/>
      <c r="E18" s="63"/>
      <c r="F18" s="64"/>
      <c r="G18" s="65"/>
      <c r="H18" s="66"/>
    </row>
    <row r="19" spans="1:9" ht="15" customHeight="1" x14ac:dyDescent="0.25">
      <c r="A19" s="61" t="s">
        <v>8</v>
      </c>
      <c r="B19" s="62"/>
      <c r="C19" s="62"/>
      <c r="D19" s="62"/>
      <c r="E19" s="63"/>
      <c r="F19" s="64">
        <v>195131.93</v>
      </c>
      <c r="G19" s="65"/>
      <c r="H19" s="66"/>
      <c r="I19" s="7"/>
    </row>
    <row r="20" spans="1:9" ht="15" customHeight="1" x14ac:dyDescent="0.2">
      <c r="A20" s="67"/>
      <c r="B20" s="68"/>
      <c r="C20" s="68"/>
      <c r="D20" s="68"/>
      <c r="E20" s="68"/>
      <c r="F20" s="68"/>
      <c r="G20" s="68"/>
      <c r="H20" s="2"/>
      <c r="I20" s="7"/>
    </row>
    <row r="21" spans="1:9" ht="15" customHeight="1" x14ac:dyDescent="0.25">
      <c r="A21" s="57"/>
      <c r="B21" s="58"/>
      <c r="C21" s="58"/>
      <c r="D21" s="58"/>
      <c r="E21" s="58"/>
      <c r="F21" s="3"/>
      <c r="G21" s="3"/>
      <c r="H21" s="2"/>
    </row>
    <row r="22" spans="1:9" ht="15" customHeight="1" x14ac:dyDescent="0.2">
      <c r="A22" s="69"/>
      <c r="B22" s="70"/>
      <c r="C22" s="70"/>
      <c r="D22" s="70"/>
      <c r="E22" s="70"/>
      <c r="F22" s="70"/>
      <c r="G22" s="70"/>
      <c r="H22" s="2"/>
    </row>
    <row r="23" spans="1:9" ht="15" customHeight="1" x14ac:dyDescent="0.3">
      <c r="A23" s="71" t="s">
        <v>120</v>
      </c>
      <c r="B23" s="72"/>
      <c r="C23" s="72"/>
      <c r="D23" s="72"/>
      <c r="E23" s="72"/>
      <c r="F23" s="72"/>
      <c r="G23" s="72"/>
      <c r="H23" s="4">
        <f>1053478.08-H7</f>
        <v>340949.71000000008</v>
      </c>
    </row>
    <row r="24" spans="1:9" ht="15" customHeight="1" x14ac:dyDescent="0.2">
      <c r="A24" s="1"/>
      <c r="B24" s="1"/>
      <c r="C24" s="1"/>
      <c r="D24" s="1"/>
      <c r="E24" s="1"/>
      <c r="F24" s="1"/>
      <c r="G24" s="5"/>
      <c r="H24" s="5"/>
    </row>
    <row r="25" spans="1:9" ht="36.75" customHeight="1" x14ac:dyDescent="0.25">
      <c r="A25" s="73" t="s">
        <v>26</v>
      </c>
      <c r="B25" s="73"/>
      <c r="C25" s="73"/>
      <c r="D25" s="73"/>
      <c r="E25" s="73"/>
      <c r="F25" s="73"/>
      <c r="G25" s="73"/>
      <c r="H25" s="73"/>
    </row>
    <row r="26" spans="1:9" ht="15" customHeight="1" x14ac:dyDescent="0.25">
      <c r="A26" s="73"/>
      <c r="B26" s="73"/>
      <c r="C26" s="73"/>
      <c r="D26" s="73"/>
      <c r="E26" s="73"/>
      <c r="F26" s="73"/>
      <c r="G26" s="73"/>
      <c r="H26" s="73"/>
    </row>
    <row r="27" spans="1:9" ht="21" customHeight="1" x14ac:dyDescent="0.25">
      <c r="A27" s="59"/>
      <c r="B27" s="59"/>
      <c r="C27" s="59"/>
      <c r="D27" s="59"/>
      <c r="E27" s="59"/>
      <c r="F27" s="59"/>
      <c r="G27" s="59"/>
      <c r="H27" s="59"/>
    </row>
    <row r="28" spans="1:9" ht="22.5" customHeight="1" x14ac:dyDescent="0.25">
      <c r="A28" s="60" t="s">
        <v>101</v>
      </c>
      <c r="B28" s="60"/>
      <c r="C28" s="60"/>
      <c r="D28" s="60"/>
      <c r="E28" s="60"/>
      <c r="F28" s="60"/>
      <c r="G28" s="60"/>
      <c r="H28" s="60"/>
    </row>
    <row r="29" spans="1:9" ht="15" customHeight="1" x14ac:dyDescent="0.25">
      <c r="A29" s="60"/>
      <c r="B29" s="60"/>
      <c r="C29" s="60"/>
      <c r="D29" s="60"/>
      <c r="E29" s="60"/>
      <c r="F29" s="60"/>
      <c r="G29" s="60"/>
      <c r="H29" s="60"/>
    </row>
    <row r="30" spans="1:9" ht="43.5" customHeight="1" x14ac:dyDescent="0.25"/>
    <row r="31" spans="1:9" ht="10.35" customHeight="1" x14ac:dyDescent="0.25"/>
    <row r="32" spans="1:9" ht="84" hidden="1" customHeight="1" x14ac:dyDescent="0.2"/>
  </sheetData>
  <mergeCells count="32">
    <mergeCell ref="A27:H27"/>
    <mergeCell ref="A28:H29"/>
    <mergeCell ref="A19:E19"/>
    <mergeCell ref="F19:H19"/>
    <mergeCell ref="A20:G20"/>
    <mergeCell ref="A22:G22"/>
    <mergeCell ref="A23:G23"/>
    <mergeCell ref="A25:H26"/>
    <mergeCell ref="A16:E16"/>
    <mergeCell ref="F16:H16"/>
    <mergeCell ref="A17:E17"/>
    <mergeCell ref="F17:H17"/>
    <mergeCell ref="A18:E18"/>
    <mergeCell ref="F18:H18"/>
    <mergeCell ref="A13:E13"/>
    <mergeCell ref="F13:H13"/>
    <mergeCell ref="A14:E14"/>
    <mergeCell ref="F14:H14"/>
    <mergeCell ref="A15:E15"/>
    <mergeCell ref="F15:H15"/>
    <mergeCell ref="A10:E10"/>
    <mergeCell ref="F10:H10"/>
    <mergeCell ref="A11:E11"/>
    <mergeCell ref="F11:H11"/>
    <mergeCell ref="A12:E12"/>
    <mergeCell ref="F12:H12"/>
    <mergeCell ref="A2:H3"/>
    <mergeCell ref="A4:G4"/>
    <mergeCell ref="A7:G7"/>
    <mergeCell ref="A8:G8"/>
    <mergeCell ref="A9:E9"/>
    <mergeCell ref="F9:H9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2"/>
  <sheetViews>
    <sheetView workbookViewId="0">
      <selection activeCell="A25" sqref="A25:H26"/>
    </sheetView>
  </sheetViews>
  <sheetFormatPr defaultColWidth="8.85546875" defaultRowHeight="15" x14ac:dyDescent="0.25"/>
  <cols>
    <col min="7" max="7" width="13.85546875" customWidth="1"/>
    <col min="8" max="8" width="25.42578125" customWidth="1"/>
    <col min="9" max="9" width="10.42578125" bestFit="1" customWidth="1"/>
  </cols>
  <sheetData>
    <row r="2" spans="1:9" ht="15" customHeight="1" x14ac:dyDescent="0.25">
      <c r="A2" s="75" t="s">
        <v>79</v>
      </c>
      <c r="B2" s="75"/>
      <c r="C2" s="75"/>
      <c r="D2" s="75"/>
      <c r="E2" s="75"/>
      <c r="F2" s="75"/>
      <c r="G2" s="75"/>
      <c r="H2" s="75"/>
    </row>
    <row r="3" spans="1:9" ht="58.5" customHeight="1" x14ac:dyDescent="0.25">
      <c r="A3" s="76"/>
      <c r="B3" s="76"/>
      <c r="C3" s="76"/>
      <c r="D3" s="76"/>
      <c r="E3" s="76"/>
      <c r="F3" s="76"/>
      <c r="G3" s="76"/>
      <c r="H3" s="76"/>
    </row>
    <row r="4" spans="1:9" ht="27.75" customHeight="1" x14ac:dyDescent="0.3">
      <c r="A4" s="77" t="s">
        <v>80</v>
      </c>
      <c r="B4" s="78"/>
      <c r="C4" s="78"/>
      <c r="D4" s="78"/>
      <c r="E4" s="78"/>
      <c r="F4" s="78"/>
      <c r="G4" s="78"/>
      <c r="H4" s="8">
        <f>'февраль 2018'!H23</f>
        <v>362186.21999999986</v>
      </c>
    </row>
    <row r="5" spans="1:9" ht="18" x14ac:dyDescent="0.2">
      <c r="A5" s="39"/>
      <c r="B5" s="40"/>
      <c r="C5" s="40"/>
      <c r="D5" s="40"/>
      <c r="E5" s="40"/>
      <c r="F5" s="40"/>
      <c r="G5" s="40"/>
      <c r="H5" s="6"/>
    </row>
    <row r="6" spans="1:9" ht="26.25" customHeight="1" x14ac:dyDescent="0.2">
      <c r="A6" s="39"/>
      <c r="B6" s="40"/>
      <c r="C6" s="40"/>
      <c r="D6" s="40"/>
      <c r="E6" s="40"/>
      <c r="F6" s="40"/>
      <c r="G6" s="40"/>
      <c r="H6" s="6"/>
    </row>
    <row r="7" spans="1:9" ht="15" customHeight="1" x14ac:dyDescent="0.3">
      <c r="A7" s="69" t="s">
        <v>82</v>
      </c>
      <c r="B7" s="70"/>
      <c r="C7" s="70"/>
      <c r="D7" s="70"/>
      <c r="E7" s="70"/>
      <c r="F7" s="70"/>
      <c r="G7" s="70"/>
      <c r="H7" s="2">
        <f>646026.7</f>
        <v>646026.69999999995</v>
      </c>
    </row>
    <row r="8" spans="1:9" ht="39" customHeight="1" x14ac:dyDescent="0.3">
      <c r="A8" s="79" t="s">
        <v>0</v>
      </c>
      <c r="B8" s="80"/>
      <c r="C8" s="80"/>
      <c r="D8" s="80"/>
      <c r="E8" s="80"/>
      <c r="F8" s="80"/>
      <c r="G8" s="80"/>
      <c r="H8" s="2">
        <f>SUM(F9:H19)</f>
        <v>650200.34000000008</v>
      </c>
    </row>
    <row r="9" spans="1:9" ht="15" customHeight="1" x14ac:dyDescent="0.25">
      <c r="A9" s="81" t="s">
        <v>1</v>
      </c>
      <c r="B9" s="82"/>
      <c r="C9" s="82"/>
      <c r="D9" s="82"/>
      <c r="E9" s="83"/>
      <c r="F9" s="64">
        <f>186809.22+175.06+2470.45+1404.13+849.1+5846.85+4000</f>
        <v>201554.81000000003</v>
      </c>
      <c r="G9" s="65"/>
      <c r="H9" s="66"/>
      <c r="I9" s="7"/>
    </row>
    <row r="10" spans="1:9" ht="15" customHeight="1" x14ac:dyDescent="0.25">
      <c r="A10" s="74" t="s">
        <v>2</v>
      </c>
      <c r="B10" s="62"/>
      <c r="C10" s="62"/>
      <c r="D10" s="62"/>
      <c r="E10" s="63"/>
      <c r="F10" s="64">
        <f>37245.09</f>
        <v>37245.089999999997</v>
      </c>
      <c r="G10" s="65"/>
      <c r="H10" s="66"/>
    </row>
    <row r="11" spans="1:9" ht="15" customHeight="1" x14ac:dyDescent="0.25">
      <c r="A11" s="61" t="s">
        <v>3</v>
      </c>
      <c r="B11" s="62"/>
      <c r="C11" s="62"/>
      <c r="D11" s="62"/>
      <c r="E11" s="63"/>
      <c r="F11" s="64">
        <f>25245.1</f>
        <v>25245.1</v>
      </c>
      <c r="G11" s="65"/>
      <c r="H11" s="66"/>
    </row>
    <row r="12" spans="1:9" ht="15" customHeight="1" x14ac:dyDescent="0.25">
      <c r="A12" s="61" t="s">
        <v>4</v>
      </c>
      <c r="B12" s="62"/>
      <c r="C12" s="62"/>
      <c r="D12" s="62"/>
      <c r="E12" s="63"/>
      <c r="F12" s="64">
        <f>29218.4</f>
        <v>29218.400000000001</v>
      </c>
      <c r="G12" s="65"/>
      <c r="H12" s="66"/>
    </row>
    <row r="13" spans="1:9" ht="15" customHeight="1" x14ac:dyDescent="0.25">
      <c r="A13" s="61" t="s">
        <v>5</v>
      </c>
      <c r="B13" s="62"/>
      <c r="C13" s="62"/>
      <c r="D13" s="62"/>
      <c r="E13" s="63"/>
      <c r="F13" s="64">
        <f>56997.89</f>
        <v>56997.89</v>
      </c>
      <c r="G13" s="65"/>
      <c r="H13" s="66"/>
    </row>
    <row r="14" spans="1:9" ht="15" customHeight="1" x14ac:dyDescent="0.25">
      <c r="A14" s="61" t="s">
        <v>6</v>
      </c>
      <c r="B14" s="62"/>
      <c r="C14" s="62"/>
      <c r="D14" s="62"/>
      <c r="E14" s="63"/>
      <c r="F14" s="64">
        <f>3754.52</f>
        <v>3754.52</v>
      </c>
      <c r="G14" s="65"/>
      <c r="H14" s="66"/>
    </row>
    <row r="15" spans="1:9" ht="15" customHeight="1" x14ac:dyDescent="0.25">
      <c r="A15" s="61" t="s">
        <v>7</v>
      </c>
      <c r="B15" s="62"/>
      <c r="C15" s="62"/>
      <c r="D15" s="62"/>
      <c r="E15" s="63"/>
      <c r="F15" s="64"/>
      <c r="G15" s="65"/>
      <c r="H15" s="66"/>
    </row>
    <row r="16" spans="1:9" ht="15" customHeight="1" x14ac:dyDescent="0.25">
      <c r="A16" s="61" t="s">
        <v>9</v>
      </c>
      <c r="B16" s="62"/>
      <c r="C16" s="62"/>
      <c r="D16" s="62"/>
      <c r="E16" s="63"/>
      <c r="F16" s="64">
        <f>3426.91</f>
        <v>3426.91</v>
      </c>
      <c r="G16" s="65"/>
      <c r="H16" s="66"/>
    </row>
    <row r="17" spans="1:9" ht="15" customHeight="1" x14ac:dyDescent="0.25">
      <c r="A17" s="61" t="s">
        <v>10</v>
      </c>
      <c r="B17" s="62"/>
      <c r="C17" s="62"/>
      <c r="D17" s="62"/>
      <c r="E17" s="63"/>
      <c r="F17" s="64">
        <f>33140.17</f>
        <v>33140.17</v>
      </c>
      <c r="G17" s="65"/>
      <c r="H17" s="66"/>
    </row>
    <row r="18" spans="1:9" ht="15" customHeight="1" x14ac:dyDescent="0.25">
      <c r="A18" s="61" t="s">
        <v>11</v>
      </c>
      <c r="B18" s="62"/>
      <c r="C18" s="62"/>
      <c r="D18" s="62"/>
      <c r="E18" s="63"/>
      <c r="F18" s="64"/>
      <c r="G18" s="65"/>
      <c r="H18" s="66"/>
    </row>
    <row r="19" spans="1:9" ht="15" customHeight="1" x14ac:dyDescent="0.25">
      <c r="A19" s="61" t="s">
        <v>8</v>
      </c>
      <c r="B19" s="62"/>
      <c r="C19" s="62"/>
      <c r="D19" s="62"/>
      <c r="E19" s="63"/>
      <c r="F19" s="64">
        <v>259617.45</v>
      </c>
      <c r="G19" s="65"/>
      <c r="H19" s="66"/>
      <c r="I19" s="7"/>
    </row>
    <row r="20" spans="1:9" ht="15" customHeight="1" x14ac:dyDescent="0.2">
      <c r="A20" s="67"/>
      <c r="B20" s="68"/>
      <c r="C20" s="68"/>
      <c r="D20" s="68"/>
      <c r="E20" s="68"/>
      <c r="F20" s="68"/>
      <c r="G20" s="68"/>
      <c r="H20" s="2"/>
      <c r="I20" s="7"/>
    </row>
    <row r="21" spans="1:9" ht="15" customHeight="1" x14ac:dyDescent="0.25">
      <c r="A21" s="39"/>
      <c r="B21" s="40"/>
      <c r="C21" s="40"/>
      <c r="D21" s="40"/>
      <c r="E21" s="40"/>
      <c r="F21" s="3"/>
      <c r="G21" s="3"/>
      <c r="H21" s="2"/>
    </row>
    <row r="22" spans="1:9" ht="15" customHeight="1" x14ac:dyDescent="0.2">
      <c r="A22" s="69"/>
      <c r="B22" s="70"/>
      <c r="C22" s="70"/>
      <c r="D22" s="70"/>
      <c r="E22" s="70"/>
      <c r="F22" s="70"/>
      <c r="G22" s="70"/>
      <c r="H22" s="2"/>
    </row>
    <row r="23" spans="1:9" ht="15" customHeight="1" x14ac:dyDescent="0.3">
      <c r="A23" s="71" t="s">
        <v>81</v>
      </c>
      <c r="B23" s="72"/>
      <c r="C23" s="72"/>
      <c r="D23" s="72"/>
      <c r="E23" s="72"/>
      <c r="F23" s="72"/>
      <c r="G23" s="72"/>
      <c r="H23" s="4">
        <f>1056787.49-H7</f>
        <v>410760.79000000004</v>
      </c>
    </row>
    <row r="24" spans="1:9" ht="15" customHeight="1" x14ac:dyDescent="0.2">
      <c r="A24" s="1"/>
      <c r="B24" s="1"/>
      <c r="C24" s="1"/>
      <c r="D24" s="1"/>
      <c r="E24" s="1"/>
      <c r="F24" s="1"/>
      <c r="G24" s="5"/>
      <c r="H24" s="5"/>
    </row>
    <row r="25" spans="1:9" ht="36.75" customHeight="1" x14ac:dyDescent="0.25">
      <c r="A25" s="73" t="s">
        <v>83</v>
      </c>
      <c r="B25" s="73"/>
      <c r="C25" s="73"/>
      <c r="D25" s="73"/>
      <c r="E25" s="73"/>
      <c r="F25" s="73"/>
      <c r="G25" s="73"/>
      <c r="H25" s="73"/>
    </row>
    <row r="26" spans="1:9" ht="15" customHeight="1" x14ac:dyDescent="0.25">
      <c r="A26" s="73"/>
      <c r="B26" s="73"/>
      <c r="C26" s="73"/>
      <c r="D26" s="73"/>
      <c r="E26" s="73"/>
      <c r="F26" s="73"/>
      <c r="G26" s="73"/>
      <c r="H26" s="73"/>
    </row>
    <row r="27" spans="1:9" ht="21" customHeight="1" x14ac:dyDescent="0.25">
      <c r="A27" s="59"/>
      <c r="B27" s="59"/>
      <c r="C27" s="59"/>
      <c r="D27" s="59"/>
      <c r="E27" s="59"/>
      <c r="F27" s="59"/>
      <c r="G27" s="59"/>
      <c r="H27" s="59"/>
    </row>
    <row r="28" spans="1:9" ht="22.5" customHeight="1" x14ac:dyDescent="0.25">
      <c r="A28" s="60" t="s">
        <v>12</v>
      </c>
      <c r="B28" s="60"/>
      <c r="C28" s="60"/>
      <c r="D28" s="60"/>
      <c r="E28" s="60"/>
      <c r="F28" s="60"/>
      <c r="G28" s="60"/>
      <c r="H28" s="60"/>
    </row>
    <row r="29" spans="1:9" ht="15" customHeight="1" x14ac:dyDescent="0.25">
      <c r="A29" s="60"/>
      <c r="B29" s="60"/>
      <c r="C29" s="60"/>
      <c r="D29" s="60"/>
      <c r="E29" s="60"/>
      <c r="F29" s="60"/>
      <c r="G29" s="60"/>
      <c r="H29" s="60"/>
    </row>
    <row r="30" spans="1:9" ht="43.5" customHeight="1" x14ac:dyDescent="0.25"/>
    <row r="31" spans="1:9" ht="10.35" customHeight="1" x14ac:dyDescent="0.25"/>
    <row r="32" spans="1:9" ht="84" hidden="1" customHeight="1" x14ac:dyDescent="0.2"/>
  </sheetData>
  <mergeCells count="32">
    <mergeCell ref="A2:H3"/>
    <mergeCell ref="A4:G4"/>
    <mergeCell ref="A7:G7"/>
    <mergeCell ref="A8:G8"/>
    <mergeCell ref="A9:E9"/>
    <mergeCell ref="F9:H9"/>
    <mergeCell ref="A10:E10"/>
    <mergeCell ref="F10:H10"/>
    <mergeCell ref="A11:E11"/>
    <mergeCell ref="F11:H11"/>
    <mergeCell ref="A12:E12"/>
    <mergeCell ref="F12:H12"/>
    <mergeCell ref="A13:E13"/>
    <mergeCell ref="F13:H13"/>
    <mergeCell ref="A14:E14"/>
    <mergeCell ref="F14:H14"/>
    <mergeCell ref="A15:E15"/>
    <mergeCell ref="F15:H15"/>
    <mergeCell ref="A16:E16"/>
    <mergeCell ref="F16:H16"/>
    <mergeCell ref="A17:E17"/>
    <mergeCell ref="F17:H17"/>
    <mergeCell ref="A18:E18"/>
    <mergeCell ref="F18:H18"/>
    <mergeCell ref="A27:H27"/>
    <mergeCell ref="A28:H29"/>
    <mergeCell ref="A19:E19"/>
    <mergeCell ref="F19:H19"/>
    <mergeCell ref="A20:G20"/>
    <mergeCell ref="A22:G22"/>
    <mergeCell ref="A23:G23"/>
    <mergeCell ref="A25:H2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2"/>
  <sheetViews>
    <sheetView workbookViewId="0">
      <selection activeCell="A25" sqref="A25:H26"/>
    </sheetView>
  </sheetViews>
  <sheetFormatPr defaultColWidth="8.85546875" defaultRowHeight="15" x14ac:dyDescent="0.25"/>
  <cols>
    <col min="7" max="7" width="13.85546875" customWidth="1"/>
    <col min="8" max="8" width="25.42578125" customWidth="1"/>
    <col min="9" max="9" width="10.42578125" bestFit="1" customWidth="1"/>
  </cols>
  <sheetData>
    <row r="2" spans="1:9" ht="15" customHeight="1" x14ac:dyDescent="0.25">
      <c r="A2" s="75" t="s">
        <v>74</v>
      </c>
      <c r="B2" s="75"/>
      <c r="C2" s="75"/>
      <c r="D2" s="75"/>
      <c r="E2" s="75"/>
      <c r="F2" s="75"/>
      <c r="G2" s="75"/>
      <c r="H2" s="75"/>
    </row>
    <row r="3" spans="1:9" ht="58.5" customHeight="1" x14ac:dyDescent="0.25">
      <c r="A3" s="76"/>
      <c r="B3" s="76"/>
      <c r="C3" s="76"/>
      <c r="D3" s="76"/>
      <c r="E3" s="76"/>
      <c r="F3" s="76"/>
      <c r="G3" s="76"/>
      <c r="H3" s="76"/>
    </row>
    <row r="4" spans="1:9" ht="27.75" customHeight="1" x14ac:dyDescent="0.3">
      <c r="A4" s="77" t="s">
        <v>75</v>
      </c>
      <c r="B4" s="78"/>
      <c r="C4" s="78"/>
      <c r="D4" s="78"/>
      <c r="E4" s="78"/>
      <c r="F4" s="78"/>
      <c r="G4" s="78"/>
      <c r="H4" s="8">
        <f>'январь 2018'!H23</f>
        <v>384796.76</v>
      </c>
    </row>
    <row r="5" spans="1:9" ht="18" x14ac:dyDescent="0.2">
      <c r="A5" s="37"/>
      <c r="B5" s="38"/>
      <c r="C5" s="38"/>
      <c r="D5" s="38"/>
      <c r="E5" s="38"/>
      <c r="F5" s="38"/>
      <c r="G5" s="38"/>
      <c r="H5" s="6"/>
    </row>
    <row r="6" spans="1:9" ht="26.25" customHeight="1" x14ac:dyDescent="0.2">
      <c r="A6" s="37"/>
      <c r="B6" s="38"/>
      <c r="C6" s="38"/>
      <c r="D6" s="38"/>
      <c r="E6" s="38"/>
      <c r="F6" s="38"/>
      <c r="G6" s="38"/>
      <c r="H6" s="6"/>
    </row>
    <row r="7" spans="1:9" ht="15" customHeight="1" x14ac:dyDescent="0.3">
      <c r="A7" s="69" t="s">
        <v>76</v>
      </c>
      <c r="B7" s="70"/>
      <c r="C7" s="70"/>
      <c r="D7" s="70"/>
      <c r="E7" s="70"/>
      <c r="F7" s="70"/>
      <c r="G7" s="70"/>
      <c r="H7" s="2">
        <f>698774.91</f>
        <v>698774.91</v>
      </c>
    </row>
    <row r="8" spans="1:9" ht="39" customHeight="1" x14ac:dyDescent="0.3">
      <c r="A8" s="79" t="s">
        <v>0</v>
      </c>
      <c r="B8" s="80"/>
      <c r="C8" s="80"/>
      <c r="D8" s="80"/>
      <c r="E8" s="80"/>
      <c r="F8" s="80"/>
      <c r="G8" s="80"/>
      <c r="H8" s="2">
        <f>SUM(F9:H19)</f>
        <v>715948.14000000013</v>
      </c>
    </row>
    <row r="9" spans="1:9" ht="15" customHeight="1" x14ac:dyDescent="0.25">
      <c r="A9" s="81" t="s">
        <v>1</v>
      </c>
      <c r="B9" s="82"/>
      <c r="C9" s="82"/>
      <c r="D9" s="82"/>
      <c r="E9" s="83"/>
      <c r="F9" s="64">
        <f>201758.28+756.59+918.87+6381.26+2132.03+1517.9</f>
        <v>213464.93</v>
      </c>
      <c r="G9" s="65"/>
      <c r="H9" s="66"/>
      <c r="I9" s="7"/>
    </row>
    <row r="10" spans="1:9" ht="15" customHeight="1" x14ac:dyDescent="0.25">
      <c r="A10" s="74" t="s">
        <v>2</v>
      </c>
      <c r="B10" s="62"/>
      <c r="C10" s="62"/>
      <c r="D10" s="62"/>
      <c r="E10" s="63"/>
      <c r="F10" s="64">
        <f>52171.72</f>
        <v>52171.72</v>
      </c>
      <c r="G10" s="65"/>
      <c r="H10" s="66"/>
    </row>
    <row r="11" spans="1:9" ht="15" customHeight="1" x14ac:dyDescent="0.25">
      <c r="A11" s="61" t="s">
        <v>3</v>
      </c>
      <c r="B11" s="62"/>
      <c r="C11" s="62"/>
      <c r="D11" s="62"/>
      <c r="E11" s="63"/>
      <c r="F11" s="64">
        <f>34892.01</f>
        <v>34892.01</v>
      </c>
      <c r="G11" s="65"/>
      <c r="H11" s="66"/>
    </row>
    <row r="12" spans="1:9" ht="15" customHeight="1" x14ac:dyDescent="0.25">
      <c r="A12" s="61" t="s">
        <v>4</v>
      </c>
      <c r="B12" s="62"/>
      <c r="C12" s="62"/>
      <c r="D12" s="62"/>
      <c r="E12" s="63"/>
      <c r="F12" s="64">
        <f>37940.24</f>
        <v>37940.239999999998</v>
      </c>
      <c r="G12" s="65"/>
      <c r="H12" s="66"/>
    </row>
    <row r="13" spans="1:9" ht="15" customHeight="1" x14ac:dyDescent="0.25">
      <c r="A13" s="61" t="s">
        <v>5</v>
      </c>
      <c r="B13" s="62"/>
      <c r="C13" s="62"/>
      <c r="D13" s="62"/>
      <c r="E13" s="63"/>
      <c r="F13" s="64">
        <f>66040.52</f>
        <v>66040.52</v>
      </c>
      <c r="G13" s="65"/>
      <c r="H13" s="66"/>
    </row>
    <row r="14" spans="1:9" ht="15" customHeight="1" x14ac:dyDescent="0.25">
      <c r="A14" s="61" t="s">
        <v>6</v>
      </c>
      <c r="B14" s="62"/>
      <c r="C14" s="62"/>
      <c r="D14" s="62"/>
      <c r="E14" s="63"/>
      <c r="F14" s="64">
        <f>4129.58</f>
        <v>4129.58</v>
      </c>
      <c r="G14" s="65"/>
      <c r="H14" s="66"/>
    </row>
    <row r="15" spans="1:9" ht="15" customHeight="1" x14ac:dyDescent="0.25">
      <c r="A15" s="61" t="s">
        <v>7</v>
      </c>
      <c r="B15" s="62"/>
      <c r="C15" s="62"/>
      <c r="D15" s="62"/>
      <c r="E15" s="63"/>
      <c r="F15" s="64"/>
      <c r="G15" s="65"/>
      <c r="H15" s="66"/>
    </row>
    <row r="16" spans="1:9" ht="15" customHeight="1" x14ac:dyDescent="0.25">
      <c r="A16" s="61" t="s">
        <v>9</v>
      </c>
      <c r="B16" s="62"/>
      <c r="C16" s="62"/>
      <c r="D16" s="62"/>
      <c r="E16" s="63"/>
      <c r="F16" s="64">
        <f>4345.47</f>
        <v>4345.47</v>
      </c>
      <c r="G16" s="65"/>
      <c r="H16" s="66"/>
    </row>
    <row r="17" spans="1:9" ht="15" customHeight="1" x14ac:dyDescent="0.25">
      <c r="A17" s="61" t="s">
        <v>10</v>
      </c>
      <c r="B17" s="62"/>
      <c r="C17" s="62"/>
      <c r="D17" s="62"/>
      <c r="E17" s="63"/>
      <c r="F17" s="64">
        <f>36093.46</f>
        <v>36093.46</v>
      </c>
      <c r="G17" s="65"/>
      <c r="H17" s="66"/>
    </row>
    <row r="18" spans="1:9" ht="15" customHeight="1" x14ac:dyDescent="0.25">
      <c r="A18" s="61" t="s">
        <v>11</v>
      </c>
      <c r="B18" s="62"/>
      <c r="C18" s="62"/>
      <c r="D18" s="62"/>
      <c r="E18" s="63"/>
      <c r="F18" s="64"/>
      <c r="G18" s="65"/>
      <c r="H18" s="66"/>
    </row>
    <row r="19" spans="1:9" ht="15" customHeight="1" x14ac:dyDescent="0.25">
      <c r="A19" s="61" t="s">
        <v>8</v>
      </c>
      <c r="B19" s="62"/>
      <c r="C19" s="62"/>
      <c r="D19" s="62"/>
      <c r="E19" s="63"/>
      <c r="F19" s="64">
        <f>266870.21</f>
        <v>266870.21000000002</v>
      </c>
      <c r="G19" s="65"/>
      <c r="H19" s="66"/>
      <c r="I19" s="7"/>
    </row>
    <row r="20" spans="1:9" ht="15" customHeight="1" x14ac:dyDescent="0.2">
      <c r="A20" s="67"/>
      <c r="B20" s="68"/>
      <c r="C20" s="68"/>
      <c r="D20" s="68"/>
      <c r="E20" s="68"/>
      <c r="F20" s="68"/>
      <c r="G20" s="68"/>
      <c r="H20" s="2"/>
      <c r="I20" s="7"/>
    </row>
    <row r="21" spans="1:9" ht="15" customHeight="1" x14ac:dyDescent="0.25">
      <c r="A21" s="37"/>
      <c r="B21" s="38"/>
      <c r="C21" s="38"/>
      <c r="D21" s="38"/>
      <c r="E21" s="38"/>
      <c r="F21" s="3"/>
      <c r="G21" s="3"/>
      <c r="H21" s="2"/>
    </row>
    <row r="22" spans="1:9" ht="15" customHeight="1" x14ac:dyDescent="0.2">
      <c r="A22" s="69"/>
      <c r="B22" s="70"/>
      <c r="C22" s="70"/>
      <c r="D22" s="70"/>
      <c r="E22" s="70"/>
      <c r="F22" s="70"/>
      <c r="G22" s="70"/>
      <c r="H22" s="2"/>
    </row>
    <row r="23" spans="1:9" ht="15" customHeight="1" x14ac:dyDescent="0.3">
      <c r="A23" s="71" t="s">
        <v>77</v>
      </c>
      <c r="B23" s="72"/>
      <c r="C23" s="72"/>
      <c r="D23" s="72"/>
      <c r="E23" s="72"/>
      <c r="F23" s="72"/>
      <c r="G23" s="72"/>
      <c r="H23" s="4">
        <f>1060961.13-H7</f>
        <v>362186.21999999986</v>
      </c>
    </row>
    <row r="24" spans="1:9" ht="15" customHeight="1" x14ac:dyDescent="0.2">
      <c r="A24" s="1"/>
      <c r="B24" s="1"/>
      <c r="C24" s="1"/>
      <c r="D24" s="1"/>
      <c r="E24" s="1"/>
      <c r="F24" s="1"/>
      <c r="G24" s="5"/>
      <c r="H24" s="5"/>
    </row>
    <row r="25" spans="1:9" ht="36.75" customHeight="1" x14ac:dyDescent="0.25">
      <c r="A25" s="73" t="s">
        <v>78</v>
      </c>
      <c r="B25" s="73"/>
      <c r="C25" s="73"/>
      <c r="D25" s="73"/>
      <c r="E25" s="73"/>
      <c r="F25" s="73"/>
      <c r="G25" s="73"/>
      <c r="H25" s="73"/>
    </row>
    <row r="26" spans="1:9" ht="15" customHeight="1" x14ac:dyDescent="0.25">
      <c r="A26" s="73"/>
      <c r="B26" s="73"/>
      <c r="C26" s="73"/>
      <c r="D26" s="73"/>
      <c r="E26" s="73"/>
      <c r="F26" s="73"/>
      <c r="G26" s="73"/>
      <c r="H26" s="73"/>
    </row>
    <row r="27" spans="1:9" ht="21" customHeight="1" x14ac:dyDescent="0.25">
      <c r="A27" s="59"/>
      <c r="B27" s="59"/>
      <c r="C27" s="59"/>
      <c r="D27" s="59"/>
      <c r="E27" s="59"/>
      <c r="F27" s="59"/>
      <c r="G27" s="59"/>
      <c r="H27" s="59"/>
    </row>
    <row r="28" spans="1:9" ht="22.5" customHeight="1" x14ac:dyDescent="0.25">
      <c r="A28" s="60" t="s">
        <v>12</v>
      </c>
      <c r="B28" s="60"/>
      <c r="C28" s="60"/>
      <c r="D28" s="60"/>
      <c r="E28" s="60"/>
      <c r="F28" s="60"/>
      <c r="G28" s="60"/>
      <c r="H28" s="60"/>
    </row>
    <row r="29" spans="1:9" ht="15" customHeight="1" x14ac:dyDescent="0.25">
      <c r="A29" s="60"/>
      <c r="B29" s="60"/>
      <c r="C29" s="60"/>
      <c r="D29" s="60"/>
      <c r="E29" s="60"/>
      <c r="F29" s="60"/>
      <c r="G29" s="60"/>
      <c r="H29" s="60"/>
    </row>
    <row r="30" spans="1:9" ht="43.5" customHeight="1" x14ac:dyDescent="0.25"/>
    <row r="31" spans="1:9" ht="10.35" customHeight="1" x14ac:dyDescent="0.25"/>
    <row r="32" spans="1:9" ht="84" hidden="1" customHeight="1" x14ac:dyDescent="0.2"/>
  </sheetData>
  <mergeCells count="32">
    <mergeCell ref="A27:H27"/>
    <mergeCell ref="A28:H29"/>
    <mergeCell ref="A19:E19"/>
    <mergeCell ref="F19:H19"/>
    <mergeCell ref="A20:G20"/>
    <mergeCell ref="A22:G22"/>
    <mergeCell ref="A23:G23"/>
    <mergeCell ref="A25:H26"/>
    <mergeCell ref="A16:E16"/>
    <mergeCell ref="F16:H16"/>
    <mergeCell ref="A17:E17"/>
    <mergeCell ref="F17:H17"/>
    <mergeCell ref="A18:E18"/>
    <mergeCell ref="F18:H18"/>
    <mergeCell ref="A13:E13"/>
    <mergeCell ref="F13:H13"/>
    <mergeCell ref="A14:E14"/>
    <mergeCell ref="F14:H14"/>
    <mergeCell ref="A15:E15"/>
    <mergeCell ref="F15:H15"/>
    <mergeCell ref="A10:E10"/>
    <mergeCell ref="F10:H10"/>
    <mergeCell ref="A11:E11"/>
    <mergeCell ref="F11:H11"/>
    <mergeCell ref="A12:E12"/>
    <mergeCell ref="F12:H12"/>
    <mergeCell ref="A2:H3"/>
    <mergeCell ref="A4:G4"/>
    <mergeCell ref="A7:G7"/>
    <mergeCell ref="A8:G8"/>
    <mergeCell ref="A9:E9"/>
    <mergeCell ref="F9:H9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2"/>
  <sheetViews>
    <sheetView workbookViewId="0">
      <selection activeCell="H24" sqref="H24"/>
    </sheetView>
  </sheetViews>
  <sheetFormatPr defaultColWidth="8.85546875" defaultRowHeight="15" x14ac:dyDescent="0.25"/>
  <cols>
    <col min="7" max="7" width="13.85546875" customWidth="1"/>
    <col min="8" max="8" width="25.42578125" customWidth="1"/>
    <col min="9" max="9" width="10.42578125" bestFit="1" customWidth="1"/>
  </cols>
  <sheetData>
    <row r="2" spans="1:9" ht="15" customHeight="1" x14ac:dyDescent="0.25">
      <c r="A2" s="75" t="s">
        <v>70</v>
      </c>
      <c r="B2" s="75"/>
      <c r="C2" s="75"/>
      <c r="D2" s="75"/>
      <c r="E2" s="75"/>
      <c r="F2" s="75"/>
      <c r="G2" s="75"/>
      <c r="H2" s="75"/>
    </row>
    <row r="3" spans="1:9" ht="58.5" customHeight="1" x14ac:dyDescent="0.25">
      <c r="A3" s="76"/>
      <c r="B3" s="76"/>
      <c r="C3" s="76"/>
      <c r="D3" s="76"/>
      <c r="E3" s="76"/>
      <c r="F3" s="76"/>
      <c r="G3" s="76"/>
      <c r="H3" s="76"/>
    </row>
    <row r="4" spans="1:9" ht="27.75" customHeight="1" x14ac:dyDescent="0.3">
      <c r="A4" s="77" t="s">
        <v>71</v>
      </c>
      <c r="B4" s="78"/>
      <c r="C4" s="78"/>
      <c r="D4" s="78"/>
      <c r="E4" s="78"/>
      <c r="F4" s="78"/>
      <c r="G4" s="78"/>
      <c r="H4" s="8">
        <f>'декабрь 2017'!H23</f>
        <v>334187.83999999997</v>
      </c>
    </row>
    <row r="5" spans="1:9" ht="18" x14ac:dyDescent="0.2">
      <c r="A5" s="35"/>
      <c r="B5" s="36"/>
      <c r="C5" s="36"/>
      <c r="D5" s="36"/>
      <c r="E5" s="36"/>
      <c r="F5" s="36"/>
      <c r="G5" s="36"/>
      <c r="H5" s="6"/>
    </row>
    <row r="6" spans="1:9" ht="26.25" customHeight="1" x14ac:dyDescent="0.2">
      <c r="A6" s="35"/>
      <c r="B6" s="36"/>
      <c r="C6" s="36"/>
      <c r="D6" s="36"/>
      <c r="E6" s="36"/>
      <c r="F6" s="36"/>
      <c r="G6" s="36"/>
      <c r="H6" s="6"/>
    </row>
    <row r="7" spans="1:9" ht="15" customHeight="1" x14ac:dyDescent="0.3">
      <c r="A7" s="69" t="s">
        <v>72</v>
      </c>
      <c r="B7" s="70"/>
      <c r="C7" s="70"/>
      <c r="D7" s="70"/>
      <c r="E7" s="70"/>
      <c r="F7" s="70"/>
      <c r="G7" s="70"/>
      <c r="H7" s="2">
        <v>695444.27</v>
      </c>
    </row>
    <row r="8" spans="1:9" ht="39" customHeight="1" x14ac:dyDescent="0.3">
      <c r="A8" s="79" t="s">
        <v>0</v>
      </c>
      <c r="B8" s="80"/>
      <c r="C8" s="80"/>
      <c r="D8" s="80"/>
      <c r="E8" s="80"/>
      <c r="F8" s="80"/>
      <c r="G8" s="80"/>
      <c r="H8" s="2">
        <f>SUM(F9:H19)</f>
        <v>631889.1399999999</v>
      </c>
    </row>
    <row r="9" spans="1:9" ht="15" customHeight="1" x14ac:dyDescent="0.25">
      <c r="A9" s="81" t="s">
        <v>1</v>
      </c>
      <c r="B9" s="82"/>
      <c r="C9" s="82"/>
      <c r="D9" s="82"/>
      <c r="E9" s="83"/>
      <c r="F9" s="64">
        <f>173032.58+2613.66+1361.33+823.57+5638.76+2106.67</f>
        <v>185576.57</v>
      </c>
      <c r="G9" s="65"/>
      <c r="H9" s="66"/>
      <c r="I9" s="7"/>
    </row>
    <row r="10" spans="1:9" ht="15" customHeight="1" x14ac:dyDescent="0.25">
      <c r="A10" s="74" t="s">
        <v>2</v>
      </c>
      <c r="B10" s="62"/>
      <c r="C10" s="62"/>
      <c r="D10" s="62"/>
      <c r="E10" s="63"/>
      <c r="F10" s="64">
        <f>46411.69</f>
        <v>46411.69</v>
      </c>
      <c r="G10" s="65"/>
      <c r="H10" s="66"/>
    </row>
    <row r="11" spans="1:9" ht="15" customHeight="1" x14ac:dyDescent="0.25">
      <c r="A11" s="61" t="s">
        <v>3</v>
      </c>
      <c r="B11" s="62"/>
      <c r="C11" s="62"/>
      <c r="D11" s="62"/>
      <c r="E11" s="63"/>
      <c r="F11" s="64">
        <v>29581.5</v>
      </c>
      <c r="G11" s="65"/>
      <c r="H11" s="66"/>
    </row>
    <row r="12" spans="1:9" ht="15" customHeight="1" x14ac:dyDescent="0.25">
      <c r="A12" s="61" t="s">
        <v>4</v>
      </c>
      <c r="B12" s="62"/>
      <c r="C12" s="62"/>
      <c r="D12" s="62"/>
      <c r="E12" s="63"/>
      <c r="F12" s="64">
        <f>33639.79</f>
        <v>33639.79</v>
      </c>
      <c r="G12" s="65"/>
      <c r="H12" s="66"/>
    </row>
    <row r="13" spans="1:9" ht="15" customHeight="1" x14ac:dyDescent="0.25">
      <c r="A13" s="61" t="s">
        <v>5</v>
      </c>
      <c r="B13" s="62"/>
      <c r="C13" s="62"/>
      <c r="D13" s="62"/>
      <c r="E13" s="63"/>
      <c r="F13" s="64">
        <v>63162.76</v>
      </c>
      <c r="G13" s="65"/>
      <c r="H13" s="66"/>
    </row>
    <row r="14" spans="1:9" ht="15" customHeight="1" x14ac:dyDescent="0.25">
      <c r="A14" s="61" t="s">
        <v>6</v>
      </c>
      <c r="B14" s="62"/>
      <c r="C14" s="62"/>
      <c r="D14" s="62"/>
      <c r="E14" s="63"/>
      <c r="F14" s="64">
        <v>3661.57</v>
      </c>
      <c r="G14" s="65"/>
      <c r="H14" s="66"/>
    </row>
    <row r="15" spans="1:9" ht="15" customHeight="1" x14ac:dyDescent="0.25">
      <c r="A15" s="61" t="s">
        <v>7</v>
      </c>
      <c r="B15" s="62"/>
      <c r="C15" s="62"/>
      <c r="D15" s="62"/>
      <c r="E15" s="63"/>
      <c r="F15" s="64"/>
      <c r="G15" s="65"/>
      <c r="H15" s="66"/>
    </row>
    <row r="16" spans="1:9" ht="15" customHeight="1" x14ac:dyDescent="0.25">
      <c r="A16" s="61" t="s">
        <v>9</v>
      </c>
      <c r="B16" s="62"/>
      <c r="C16" s="62"/>
      <c r="D16" s="62"/>
      <c r="E16" s="63"/>
      <c r="F16" s="64">
        <f>3235.6</f>
        <v>3235.6</v>
      </c>
      <c r="G16" s="65"/>
      <c r="H16" s="66"/>
    </row>
    <row r="17" spans="1:9" ht="15" customHeight="1" x14ac:dyDescent="0.25">
      <c r="A17" s="61" t="s">
        <v>10</v>
      </c>
      <c r="B17" s="62"/>
      <c r="C17" s="62"/>
      <c r="D17" s="62"/>
      <c r="E17" s="63"/>
      <c r="F17" s="64">
        <f>32721.48</f>
        <v>32721.48</v>
      </c>
      <c r="G17" s="65"/>
      <c r="H17" s="66"/>
    </row>
    <row r="18" spans="1:9" ht="15" customHeight="1" x14ac:dyDescent="0.25">
      <c r="A18" s="61" t="s">
        <v>11</v>
      </c>
      <c r="B18" s="62"/>
      <c r="C18" s="62"/>
      <c r="D18" s="62"/>
      <c r="E18" s="63"/>
      <c r="F18" s="64"/>
      <c r="G18" s="65"/>
      <c r="H18" s="66"/>
    </row>
    <row r="19" spans="1:9" ht="15" customHeight="1" x14ac:dyDescent="0.25">
      <c r="A19" s="61" t="s">
        <v>8</v>
      </c>
      <c r="B19" s="62"/>
      <c r="C19" s="62"/>
      <c r="D19" s="62"/>
      <c r="E19" s="63"/>
      <c r="F19" s="64">
        <f>233898.18</f>
        <v>233898.18</v>
      </c>
      <c r="G19" s="65"/>
      <c r="H19" s="66"/>
      <c r="I19" s="7"/>
    </row>
    <row r="20" spans="1:9" ht="15" customHeight="1" x14ac:dyDescent="0.2">
      <c r="A20" s="67"/>
      <c r="B20" s="68"/>
      <c r="C20" s="68"/>
      <c r="D20" s="68"/>
      <c r="E20" s="68"/>
      <c r="F20" s="68"/>
      <c r="G20" s="68"/>
      <c r="H20" s="2"/>
      <c r="I20" s="7"/>
    </row>
    <row r="21" spans="1:9" ht="15" customHeight="1" x14ac:dyDescent="0.25">
      <c r="A21" s="35"/>
      <c r="B21" s="36"/>
      <c r="C21" s="36"/>
      <c r="D21" s="36"/>
      <c r="E21" s="36"/>
      <c r="F21" s="3"/>
      <c r="G21" s="3"/>
      <c r="H21" s="2"/>
    </row>
    <row r="22" spans="1:9" ht="15" customHeight="1" x14ac:dyDescent="0.2">
      <c r="A22" s="69"/>
      <c r="B22" s="70"/>
      <c r="C22" s="70"/>
      <c r="D22" s="70"/>
      <c r="E22" s="70"/>
      <c r="F22" s="70"/>
      <c r="G22" s="70"/>
      <c r="H22" s="2"/>
    </row>
    <row r="23" spans="1:9" ht="15" customHeight="1" x14ac:dyDescent="0.3">
      <c r="A23" s="71" t="s">
        <v>73</v>
      </c>
      <c r="B23" s="72"/>
      <c r="C23" s="72"/>
      <c r="D23" s="72"/>
      <c r="E23" s="72"/>
      <c r="F23" s="72"/>
      <c r="G23" s="72"/>
      <c r="H23" s="4">
        <f>1080241.03-H7</f>
        <v>384796.76</v>
      </c>
    </row>
    <row r="24" spans="1:9" ht="15" customHeight="1" x14ac:dyDescent="0.2">
      <c r="A24" s="1"/>
      <c r="B24" s="1"/>
      <c r="C24" s="1"/>
      <c r="D24" s="1"/>
      <c r="E24" s="1"/>
      <c r="F24" s="1"/>
      <c r="G24" s="5"/>
      <c r="H24" s="5"/>
    </row>
    <row r="25" spans="1:9" ht="36.75" customHeight="1" x14ac:dyDescent="0.25">
      <c r="A25" s="73" t="s">
        <v>26</v>
      </c>
      <c r="B25" s="73"/>
      <c r="C25" s="73"/>
      <c r="D25" s="73"/>
      <c r="E25" s="73"/>
      <c r="F25" s="73"/>
      <c r="G25" s="73"/>
      <c r="H25" s="73"/>
    </row>
    <row r="26" spans="1:9" ht="15" customHeight="1" x14ac:dyDescent="0.25">
      <c r="A26" s="73"/>
      <c r="B26" s="73"/>
      <c r="C26" s="73"/>
      <c r="D26" s="73"/>
      <c r="E26" s="73"/>
      <c r="F26" s="73"/>
      <c r="G26" s="73"/>
      <c r="H26" s="73"/>
    </row>
    <row r="27" spans="1:9" ht="21" customHeight="1" x14ac:dyDescent="0.25">
      <c r="A27" s="59"/>
      <c r="B27" s="59"/>
      <c r="C27" s="59"/>
      <c r="D27" s="59"/>
      <c r="E27" s="59"/>
      <c r="F27" s="59"/>
      <c r="G27" s="59"/>
      <c r="H27" s="59"/>
    </row>
    <row r="28" spans="1:9" ht="22.5" customHeight="1" x14ac:dyDescent="0.25">
      <c r="A28" s="60" t="s">
        <v>12</v>
      </c>
      <c r="B28" s="60"/>
      <c r="C28" s="60"/>
      <c r="D28" s="60"/>
      <c r="E28" s="60"/>
      <c r="F28" s="60"/>
      <c r="G28" s="60"/>
      <c r="H28" s="60"/>
    </row>
    <row r="29" spans="1:9" ht="15" customHeight="1" x14ac:dyDescent="0.25">
      <c r="A29" s="60"/>
      <c r="B29" s="60"/>
      <c r="C29" s="60"/>
      <c r="D29" s="60"/>
      <c r="E29" s="60"/>
      <c r="F29" s="60"/>
      <c r="G29" s="60"/>
      <c r="H29" s="60"/>
    </row>
    <row r="30" spans="1:9" ht="43.5" customHeight="1" x14ac:dyDescent="0.25"/>
    <row r="31" spans="1:9" ht="10.35" customHeight="1" x14ac:dyDescent="0.25"/>
    <row r="32" spans="1:9" ht="84" hidden="1" customHeight="1" x14ac:dyDescent="0.2"/>
  </sheetData>
  <mergeCells count="32">
    <mergeCell ref="A2:H3"/>
    <mergeCell ref="A4:G4"/>
    <mergeCell ref="A7:G7"/>
    <mergeCell ref="A8:G8"/>
    <mergeCell ref="A9:E9"/>
    <mergeCell ref="F9:H9"/>
    <mergeCell ref="A10:E10"/>
    <mergeCell ref="F10:H10"/>
    <mergeCell ref="A11:E11"/>
    <mergeCell ref="F11:H11"/>
    <mergeCell ref="A12:E12"/>
    <mergeCell ref="F12:H12"/>
    <mergeCell ref="A13:E13"/>
    <mergeCell ref="F13:H13"/>
    <mergeCell ref="A14:E14"/>
    <mergeCell ref="F14:H14"/>
    <mergeCell ref="A15:E15"/>
    <mergeCell ref="F15:H15"/>
    <mergeCell ref="A16:E16"/>
    <mergeCell ref="F16:H16"/>
    <mergeCell ref="A17:E17"/>
    <mergeCell ref="F17:H17"/>
    <mergeCell ref="A18:E18"/>
    <mergeCell ref="F18:H18"/>
    <mergeCell ref="A27:H27"/>
    <mergeCell ref="A28:H29"/>
    <mergeCell ref="A19:E19"/>
    <mergeCell ref="F19:H19"/>
    <mergeCell ref="A20:G20"/>
    <mergeCell ref="A22:G22"/>
    <mergeCell ref="A23:G23"/>
    <mergeCell ref="A25:H26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2"/>
  <sheetViews>
    <sheetView workbookViewId="0">
      <selection activeCell="F9" sqref="F9:H19"/>
    </sheetView>
  </sheetViews>
  <sheetFormatPr defaultColWidth="8.85546875" defaultRowHeight="15" x14ac:dyDescent="0.25"/>
  <cols>
    <col min="7" max="7" width="13.85546875" customWidth="1"/>
    <col min="8" max="8" width="25.42578125" customWidth="1"/>
    <col min="9" max="9" width="10.42578125" bestFit="1" customWidth="1"/>
  </cols>
  <sheetData>
    <row r="2" spans="1:9" ht="15" customHeight="1" x14ac:dyDescent="0.25">
      <c r="A2" s="75" t="s">
        <v>66</v>
      </c>
      <c r="B2" s="75"/>
      <c r="C2" s="75"/>
      <c r="D2" s="75"/>
      <c r="E2" s="75"/>
      <c r="F2" s="75"/>
      <c r="G2" s="75"/>
      <c r="H2" s="75"/>
    </row>
    <row r="3" spans="1:9" ht="58.5" customHeight="1" x14ac:dyDescent="0.25">
      <c r="A3" s="76"/>
      <c r="B3" s="76"/>
      <c r="C3" s="76"/>
      <c r="D3" s="76"/>
      <c r="E3" s="76"/>
      <c r="F3" s="76"/>
      <c r="G3" s="76"/>
      <c r="H3" s="76"/>
    </row>
    <row r="4" spans="1:9" ht="27.75" customHeight="1" x14ac:dyDescent="0.3">
      <c r="A4" s="77" t="s">
        <v>67</v>
      </c>
      <c r="B4" s="78"/>
      <c r="C4" s="78"/>
      <c r="D4" s="78"/>
      <c r="E4" s="78"/>
      <c r="F4" s="78"/>
      <c r="G4" s="78"/>
      <c r="H4" s="8">
        <f>нояб.2017!H23</f>
        <v>363173.92000000004</v>
      </c>
    </row>
    <row r="5" spans="1:9" ht="18" x14ac:dyDescent="0.2">
      <c r="A5" s="33"/>
      <c r="B5" s="34"/>
      <c r="C5" s="34"/>
      <c r="D5" s="34"/>
      <c r="E5" s="34"/>
      <c r="F5" s="34"/>
      <c r="G5" s="34"/>
      <c r="H5" s="6"/>
    </row>
    <row r="6" spans="1:9" ht="26.25" customHeight="1" x14ac:dyDescent="0.2">
      <c r="A6" s="33"/>
      <c r="B6" s="34"/>
      <c r="C6" s="34"/>
      <c r="D6" s="34"/>
      <c r="E6" s="34"/>
      <c r="F6" s="34"/>
      <c r="G6" s="34"/>
      <c r="H6" s="6"/>
    </row>
    <row r="7" spans="1:9" ht="15" customHeight="1" x14ac:dyDescent="0.3">
      <c r="A7" s="69" t="s">
        <v>68</v>
      </c>
      <c r="B7" s="70"/>
      <c r="C7" s="70"/>
      <c r="D7" s="70"/>
      <c r="E7" s="70"/>
      <c r="F7" s="70"/>
      <c r="G7" s="70"/>
      <c r="H7" s="2">
        <v>682498.06</v>
      </c>
    </row>
    <row r="8" spans="1:9" ht="39" customHeight="1" x14ac:dyDescent="0.3">
      <c r="A8" s="79" t="s">
        <v>0</v>
      </c>
      <c r="B8" s="80"/>
      <c r="C8" s="80"/>
      <c r="D8" s="80"/>
      <c r="E8" s="80"/>
      <c r="F8" s="80"/>
      <c r="G8" s="80"/>
      <c r="H8" s="2">
        <f>SUM(F9:H19)</f>
        <v>651164.92000000004</v>
      </c>
    </row>
    <row r="9" spans="1:9" ht="15" customHeight="1" x14ac:dyDescent="0.25">
      <c r="A9" s="81" t="s">
        <v>1</v>
      </c>
      <c r="B9" s="82"/>
      <c r="C9" s="82"/>
      <c r="D9" s="82"/>
      <c r="E9" s="83"/>
      <c r="F9" s="64">
        <f>207428.24+3162.43+1511.95+2106.67+995.88+6772.3</f>
        <v>221977.47</v>
      </c>
      <c r="G9" s="65"/>
      <c r="H9" s="66"/>
      <c r="I9" s="7"/>
    </row>
    <row r="10" spans="1:9" ht="15" customHeight="1" x14ac:dyDescent="0.25">
      <c r="A10" s="74" t="s">
        <v>2</v>
      </c>
      <c r="B10" s="62"/>
      <c r="C10" s="62"/>
      <c r="D10" s="62"/>
      <c r="E10" s="63"/>
      <c r="F10" s="64">
        <f>51357.98</f>
        <v>51357.98</v>
      </c>
      <c r="G10" s="65"/>
      <c r="H10" s="66"/>
    </row>
    <row r="11" spans="1:9" ht="15" customHeight="1" x14ac:dyDescent="0.25">
      <c r="A11" s="61" t="s">
        <v>3</v>
      </c>
      <c r="B11" s="62"/>
      <c r="C11" s="62"/>
      <c r="D11" s="62"/>
      <c r="E11" s="63"/>
      <c r="F11" s="64">
        <v>28286.16</v>
      </c>
      <c r="G11" s="65"/>
      <c r="H11" s="66"/>
    </row>
    <row r="12" spans="1:9" ht="15" customHeight="1" x14ac:dyDescent="0.25">
      <c r="A12" s="61" t="s">
        <v>4</v>
      </c>
      <c r="B12" s="62"/>
      <c r="C12" s="62"/>
      <c r="D12" s="62"/>
      <c r="E12" s="63"/>
      <c r="F12" s="64">
        <v>34951.449999999997</v>
      </c>
      <c r="G12" s="65"/>
      <c r="H12" s="66"/>
    </row>
    <row r="13" spans="1:9" ht="15" customHeight="1" x14ac:dyDescent="0.25">
      <c r="A13" s="61" t="s">
        <v>5</v>
      </c>
      <c r="B13" s="62"/>
      <c r="C13" s="62"/>
      <c r="D13" s="62"/>
      <c r="E13" s="63"/>
      <c r="F13" s="64">
        <f>67736.75</f>
        <v>67736.75</v>
      </c>
      <c r="G13" s="65"/>
      <c r="H13" s="66"/>
    </row>
    <row r="14" spans="1:9" ht="15" customHeight="1" x14ac:dyDescent="0.25">
      <c r="A14" s="61" t="s">
        <v>6</v>
      </c>
      <c r="B14" s="62"/>
      <c r="C14" s="62"/>
      <c r="D14" s="62"/>
      <c r="E14" s="63"/>
      <c r="F14" s="64">
        <v>4566.3500000000004</v>
      </c>
      <c r="G14" s="65"/>
      <c r="H14" s="66"/>
    </row>
    <row r="15" spans="1:9" ht="15" customHeight="1" x14ac:dyDescent="0.25">
      <c r="A15" s="61" t="s">
        <v>7</v>
      </c>
      <c r="B15" s="62"/>
      <c r="C15" s="62"/>
      <c r="D15" s="62"/>
      <c r="E15" s="63"/>
      <c r="F15" s="64"/>
      <c r="G15" s="65"/>
      <c r="H15" s="66"/>
    </row>
    <row r="16" spans="1:9" ht="15" customHeight="1" x14ac:dyDescent="0.25">
      <c r="A16" s="61" t="s">
        <v>9</v>
      </c>
      <c r="B16" s="62"/>
      <c r="C16" s="62"/>
      <c r="D16" s="62"/>
      <c r="E16" s="63"/>
      <c r="F16" s="64">
        <v>4540.49</v>
      </c>
      <c r="G16" s="65"/>
      <c r="H16" s="66"/>
    </row>
    <row r="17" spans="1:9" ht="15" customHeight="1" x14ac:dyDescent="0.25">
      <c r="A17" s="61" t="s">
        <v>10</v>
      </c>
      <c r="B17" s="62"/>
      <c r="C17" s="62"/>
      <c r="D17" s="62"/>
      <c r="E17" s="63"/>
      <c r="F17" s="64">
        <f>39136.72</f>
        <v>39136.720000000001</v>
      </c>
      <c r="G17" s="65"/>
      <c r="H17" s="66"/>
    </row>
    <row r="18" spans="1:9" ht="15" customHeight="1" x14ac:dyDescent="0.25">
      <c r="A18" s="61" t="s">
        <v>11</v>
      </c>
      <c r="B18" s="62"/>
      <c r="C18" s="62"/>
      <c r="D18" s="62"/>
      <c r="E18" s="63"/>
      <c r="F18" s="64">
        <v>0.27</v>
      </c>
      <c r="G18" s="65"/>
      <c r="H18" s="66"/>
    </row>
    <row r="19" spans="1:9" ht="15" customHeight="1" x14ac:dyDescent="0.25">
      <c r="A19" s="61" t="s">
        <v>8</v>
      </c>
      <c r="B19" s="62"/>
      <c r="C19" s="62"/>
      <c r="D19" s="62"/>
      <c r="E19" s="63"/>
      <c r="F19" s="64">
        <f>198611.28</f>
        <v>198611.28</v>
      </c>
      <c r="G19" s="65"/>
      <c r="H19" s="66"/>
      <c r="I19" s="7"/>
    </row>
    <row r="20" spans="1:9" ht="15" customHeight="1" x14ac:dyDescent="0.2">
      <c r="A20" s="67"/>
      <c r="B20" s="68"/>
      <c r="C20" s="68"/>
      <c r="D20" s="68"/>
      <c r="E20" s="68"/>
      <c r="F20" s="68"/>
      <c r="G20" s="68"/>
      <c r="H20" s="2"/>
      <c r="I20" s="7"/>
    </row>
    <row r="21" spans="1:9" ht="15" customHeight="1" x14ac:dyDescent="0.25">
      <c r="A21" s="33"/>
      <c r="B21" s="34"/>
      <c r="C21" s="34"/>
      <c r="D21" s="34"/>
      <c r="E21" s="34"/>
      <c r="F21" s="3"/>
      <c r="G21" s="3"/>
      <c r="H21" s="2"/>
    </row>
    <row r="22" spans="1:9" ht="15" customHeight="1" x14ac:dyDescent="0.2">
      <c r="A22" s="69"/>
      <c r="B22" s="70"/>
      <c r="C22" s="70"/>
      <c r="D22" s="70"/>
      <c r="E22" s="70"/>
      <c r="F22" s="70"/>
      <c r="G22" s="70"/>
      <c r="H22" s="2"/>
    </row>
    <row r="23" spans="1:9" ht="15" customHeight="1" x14ac:dyDescent="0.3">
      <c r="A23" s="71" t="s">
        <v>69</v>
      </c>
      <c r="B23" s="72"/>
      <c r="C23" s="72"/>
      <c r="D23" s="72"/>
      <c r="E23" s="72"/>
      <c r="F23" s="72"/>
      <c r="G23" s="72"/>
      <c r="H23" s="4">
        <f>1016685.9-H7</f>
        <v>334187.83999999997</v>
      </c>
    </row>
    <row r="24" spans="1:9" ht="15" customHeight="1" x14ac:dyDescent="0.2">
      <c r="A24" s="1"/>
      <c r="B24" s="1"/>
      <c r="C24" s="1"/>
      <c r="D24" s="1"/>
      <c r="E24" s="1"/>
      <c r="F24" s="1"/>
      <c r="G24" s="5"/>
      <c r="H24" s="5"/>
    </row>
    <row r="25" spans="1:9" ht="36.75" customHeight="1" x14ac:dyDescent="0.25">
      <c r="A25" s="73" t="s">
        <v>26</v>
      </c>
      <c r="B25" s="73"/>
      <c r="C25" s="73"/>
      <c r="D25" s="73"/>
      <c r="E25" s="73"/>
      <c r="F25" s="73"/>
      <c r="G25" s="73"/>
      <c r="H25" s="73"/>
    </row>
    <row r="26" spans="1:9" ht="15" customHeight="1" x14ac:dyDescent="0.25">
      <c r="A26" s="73"/>
      <c r="B26" s="73"/>
      <c r="C26" s="73"/>
      <c r="D26" s="73"/>
      <c r="E26" s="73"/>
      <c r="F26" s="73"/>
      <c r="G26" s="73"/>
      <c r="H26" s="73"/>
    </row>
    <row r="27" spans="1:9" ht="21" customHeight="1" x14ac:dyDescent="0.25">
      <c r="A27" s="59"/>
      <c r="B27" s="59"/>
      <c r="C27" s="59"/>
      <c r="D27" s="59"/>
      <c r="E27" s="59"/>
      <c r="F27" s="59"/>
      <c r="G27" s="59"/>
      <c r="H27" s="59"/>
    </row>
    <row r="28" spans="1:9" ht="22.5" customHeight="1" x14ac:dyDescent="0.25">
      <c r="A28" s="60" t="s">
        <v>12</v>
      </c>
      <c r="B28" s="60"/>
      <c r="C28" s="60"/>
      <c r="D28" s="60"/>
      <c r="E28" s="60"/>
      <c r="F28" s="60"/>
      <c r="G28" s="60"/>
      <c r="H28" s="60"/>
    </row>
    <row r="29" spans="1:9" ht="15" customHeight="1" x14ac:dyDescent="0.25">
      <c r="A29" s="60"/>
      <c r="B29" s="60"/>
      <c r="C29" s="60"/>
      <c r="D29" s="60"/>
      <c r="E29" s="60"/>
      <c r="F29" s="60"/>
      <c r="G29" s="60"/>
      <c r="H29" s="60"/>
    </row>
    <row r="30" spans="1:9" ht="43.5" customHeight="1" x14ac:dyDescent="0.25"/>
    <row r="31" spans="1:9" ht="10.35" customHeight="1" x14ac:dyDescent="0.25"/>
    <row r="32" spans="1:9" ht="84" hidden="1" customHeight="1" x14ac:dyDescent="0.2"/>
  </sheetData>
  <mergeCells count="32">
    <mergeCell ref="A27:H27"/>
    <mergeCell ref="A28:H29"/>
    <mergeCell ref="A19:E19"/>
    <mergeCell ref="F19:H19"/>
    <mergeCell ref="A20:G20"/>
    <mergeCell ref="A22:G22"/>
    <mergeCell ref="A23:G23"/>
    <mergeCell ref="A25:H26"/>
    <mergeCell ref="A16:E16"/>
    <mergeCell ref="F16:H16"/>
    <mergeCell ref="A17:E17"/>
    <mergeCell ref="F17:H17"/>
    <mergeCell ref="A18:E18"/>
    <mergeCell ref="F18:H18"/>
    <mergeCell ref="A13:E13"/>
    <mergeCell ref="F13:H13"/>
    <mergeCell ref="A14:E14"/>
    <mergeCell ref="F14:H14"/>
    <mergeCell ref="A15:E15"/>
    <mergeCell ref="F15:H15"/>
    <mergeCell ref="A10:E10"/>
    <mergeCell ref="F10:H10"/>
    <mergeCell ref="A11:E11"/>
    <mergeCell ref="F11:H11"/>
    <mergeCell ref="A12:E12"/>
    <mergeCell ref="F12:H12"/>
    <mergeCell ref="A2:H3"/>
    <mergeCell ref="A4:G4"/>
    <mergeCell ref="A7:G7"/>
    <mergeCell ref="A8:G8"/>
    <mergeCell ref="A9:E9"/>
    <mergeCell ref="F9:H9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2"/>
  <sheetViews>
    <sheetView workbookViewId="0">
      <selection activeCell="H8" sqref="H8"/>
    </sheetView>
  </sheetViews>
  <sheetFormatPr defaultColWidth="8.85546875" defaultRowHeight="15" x14ac:dyDescent="0.25"/>
  <cols>
    <col min="7" max="7" width="13.85546875" customWidth="1"/>
    <col min="8" max="8" width="25.42578125" customWidth="1"/>
    <col min="9" max="9" width="10.42578125" bestFit="1" customWidth="1"/>
  </cols>
  <sheetData>
    <row r="2" spans="1:9" ht="15" customHeight="1" x14ac:dyDescent="0.25">
      <c r="A2" s="75" t="s">
        <v>62</v>
      </c>
      <c r="B2" s="75"/>
      <c r="C2" s="75"/>
      <c r="D2" s="75"/>
      <c r="E2" s="75"/>
      <c r="F2" s="75"/>
      <c r="G2" s="75"/>
      <c r="H2" s="75"/>
    </row>
    <row r="3" spans="1:9" ht="58.5" customHeight="1" x14ac:dyDescent="0.25">
      <c r="A3" s="76"/>
      <c r="B3" s="76"/>
      <c r="C3" s="76"/>
      <c r="D3" s="76"/>
      <c r="E3" s="76"/>
      <c r="F3" s="76"/>
      <c r="G3" s="76"/>
      <c r="H3" s="76"/>
    </row>
    <row r="4" spans="1:9" ht="27.75" customHeight="1" x14ac:dyDescent="0.3">
      <c r="A4" s="77" t="s">
        <v>63</v>
      </c>
      <c r="B4" s="78"/>
      <c r="C4" s="78"/>
      <c r="D4" s="78"/>
      <c r="E4" s="78"/>
      <c r="F4" s="78"/>
      <c r="G4" s="78"/>
      <c r="H4" s="8">
        <f>окт.2017!H23</f>
        <v>337317.46</v>
      </c>
    </row>
    <row r="5" spans="1:9" ht="18" x14ac:dyDescent="0.2">
      <c r="A5" s="31"/>
      <c r="B5" s="32"/>
      <c r="C5" s="32"/>
      <c r="D5" s="32"/>
      <c r="E5" s="32"/>
      <c r="F5" s="32"/>
      <c r="G5" s="32"/>
      <c r="H5" s="6"/>
    </row>
    <row r="6" spans="1:9" ht="26.25" customHeight="1" x14ac:dyDescent="0.2">
      <c r="A6" s="31"/>
      <c r="B6" s="32"/>
      <c r="C6" s="32"/>
      <c r="D6" s="32"/>
      <c r="E6" s="32"/>
      <c r="F6" s="32"/>
      <c r="G6" s="32"/>
      <c r="H6" s="6"/>
    </row>
    <row r="7" spans="1:9" ht="15" customHeight="1" x14ac:dyDescent="0.3">
      <c r="A7" s="69" t="s">
        <v>64</v>
      </c>
      <c r="B7" s="70"/>
      <c r="C7" s="70"/>
      <c r="D7" s="70"/>
      <c r="E7" s="70"/>
      <c r="F7" s="70"/>
      <c r="G7" s="70"/>
      <c r="H7" s="2">
        <v>622178.84</v>
      </c>
    </row>
    <row r="8" spans="1:9" ht="39" customHeight="1" x14ac:dyDescent="0.3">
      <c r="A8" s="79" t="s">
        <v>0</v>
      </c>
      <c r="B8" s="80"/>
      <c r="C8" s="80"/>
      <c r="D8" s="80"/>
      <c r="E8" s="80"/>
      <c r="F8" s="80"/>
      <c r="G8" s="80"/>
      <c r="H8" s="2">
        <f>SUM(F9:H19)</f>
        <v>498329.98</v>
      </c>
    </row>
    <row r="9" spans="1:9" ht="15" customHeight="1" x14ac:dyDescent="0.25">
      <c r="A9" s="81" t="s">
        <v>1</v>
      </c>
      <c r="B9" s="82"/>
      <c r="C9" s="82"/>
      <c r="D9" s="82"/>
      <c r="E9" s="83"/>
      <c r="F9" s="64">
        <f>178436.08+2730.62+1342.41+5887.73+873.79</f>
        <v>189270.63</v>
      </c>
      <c r="G9" s="65"/>
      <c r="H9" s="66"/>
      <c r="I9" s="7"/>
    </row>
    <row r="10" spans="1:9" ht="15" customHeight="1" x14ac:dyDescent="0.25">
      <c r="A10" s="74" t="s">
        <v>2</v>
      </c>
      <c r="B10" s="62"/>
      <c r="C10" s="62"/>
      <c r="D10" s="62"/>
      <c r="E10" s="63"/>
      <c r="F10" s="64">
        <f>50320.47</f>
        <v>50320.47</v>
      </c>
      <c r="G10" s="65"/>
      <c r="H10" s="66"/>
    </row>
    <row r="11" spans="1:9" ht="15" customHeight="1" x14ac:dyDescent="0.25">
      <c r="A11" s="61" t="s">
        <v>3</v>
      </c>
      <c r="B11" s="62"/>
      <c r="C11" s="62"/>
      <c r="D11" s="62"/>
      <c r="E11" s="63"/>
      <c r="F11" s="64">
        <f>30609.85</f>
        <v>30609.85</v>
      </c>
      <c r="G11" s="65"/>
      <c r="H11" s="66"/>
    </row>
    <row r="12" spans="1:9" ht="15" customHeight="1" x14ac:dyDescent="0.25">
      <c r="A12" s="61" t="s">
        <v>4</v>
      </c>
      <c r="B12" s="62"/>
      <c r="C12" s="62"/>
      <c r="D12" s="62"/>
      <c r="E12" s="63"/>
      <c r="F12" s="64">
        <f>34650.69</f>
        <v>34650.69</v>
      </c>
      <c r="G12" s="65"/>
      <c r="H12" s="66"/>
    </row>
    <row r="13" spans="1:9" ht="15" customHeight="1" x14ac:dyDescent="0.25">
      <c r="A13" s="61" t="s">
        <v>5</v>
      </c>
      <c r="B13" s="62"/>
      <c r="C13" s="62"/>
      <c r="D13" s="62"/>
      <c r="E13" s="63"/>
      <c r="F13" s="64">
        <f>59631.01</f>
        <v>59631.01</v>
      </c>
      <c r="G13" s="65"/>
      <c r="H13" s="66"/>
    </row>
    <row r="14" spans="1:9" ht="15" customHeight="1" x14ac:dyDescent="0.25">
      <c r="A14" s="61" t="s">
        <v>6</v>
      </c>
      <c r="B14" s="62"/>
      <c r="C14" s="62"/>
      <c r="D14" s="62"/>
      <c r="E14" s="63"/>
      <c r="F14" s="64">
        <v>3835.72</v>
      </c>
      <c r="G14" s="65"/>
      <c r="H14" s="66"/>
    </row>
    <row r="15" spans="1:9" ht="15" customHeight="1" x14ac:dyDescent="0.25">
      <c r="A15" s="61" t="s">
        <v>7</v>
      </c>
      <c r="B15" s="62"/>
      <c r="C15" s="62"/>
      <c r="D15" s="62"/>
      <c r="E15" s="63"/>
      <c r="F15" s="64"/>
      <c r="G15" s="65"/>
      <c r="H15" s="66"/>
    </row>
    <row r="16" spans="1:9" ht="15" customHeight="1" x14ac:dyDescent="0.25">
      <c r="A16" s="61" t="s">
        <v>9</v>
      </c>
      <c r="B16" s="62"/>
      <c r="C16" s="62"/>
      <c r="D16" s="62"/>
      <c r="E16" s="63"/>
      <c r="F16" s="64">
        <f>3468.12</f>
        <v>3468.12</v>
      </c>
      <c r="G16" s="65"/>
      <c r="H16" s="66"/>
    </row>
    <row r="17" spans="1:9" ht="15" customHeight="1" x14ac:dyDescent="0.25">
      <c r="A17" s="61" t="s">
        <v>10</v>
      </c>
      <c r="B17" s="62"/>
      <c r="C17" s="62"/>
      <c r="D17" s="62"/>
      <c r="E17" s="63"/>
      <c r="F17" s="64">
        <f>33839.61</f>
        <v>33839.61</v>
      </c>
      <c r="G17" s="65"/>
      <c r="H17" s="66"/>
    </row>
    <row r="18" spans="1:9" ht="15" customHeight="1" x14ac:dyDescent="0.25">
      <c r="A18" s="61" t="s">
        <v>11</v>
      </c>
      <c r="B18" s="62"/>
      <c r="C18" s="62"/>
      <c r="D18" s="62"/>
      <c r="E18" s="63"/>
      <c r="F18" s="64">
        <v>1569</v>
      </c>
      <c r="G18" s="65"/>
      <c r="H18" s="66"/>
    </row>
    <row r="19" spans="1:9" ht="15" customHeight="1" x14ac:dyDescent="0.25">
      <c r="A19" s="61" t="s">
        <v>8</v>
      </c>
      <c r="B19" s="62"/>
      <c r="C19" s="62"/>
      <c r="D19" s="62"/>
      <c r="E19" s="63"/>
      <c r="F19" s="64">
        <f>91134.88</f>
        <v>91134.88</v>
      </c>
      <c r="G19" s="65"/>
      <c r="H19" s="66"/>
      <c r="I19" s="7"/>
    </row>
    <row r="20" spans="1:9" ht="15" customHeight="1" x14ac:dyDescent="0.2">
      <c r="A20" s="67"/>
      <c r="B20" s="68"/>
      <c r="C20" s="68"/>
      <c r="D20" s="68"/>
      <c r="E20" s="68"/>
      <c r="F20" s="68"/>
      <c r="G20" s="68"/>
      <c r="H20" s="2"/>
      <c r="I20" s="7"/>
    </row>
    <row r="21" spans="1:9" ht="15" customHeight="1" x14ac:dyDescent="0.25">
      <c r="A21" s="31"/>
      <c r="B21" s="32"/>
      <c r="C21" s="32"/>
      <c r="D21" s="32"/>
      <c r="E21" s="32"/>
      <c r="F21" s="3"/>
      <c r="G21" s="3"/>
      <c r="H21" s="2"/>
    </row>
    <row r="22" spans="1:9" ht="15" customHeight="1" x14ac:dyDescent="0.2">
      <c r="A22" s="69"/>
      <c r="B22" s="70"/>
      <c r="C22" s="70"/>
      <c r="D22" s="70"/>
      <c r="E22" s="70"/>
      <c r="F22" s="70"/>
      <c r="G22" s="70"/>
      <c r="H22" s="2"/>
    </row>
    <row r="23" spans="1:9" ht="15" customHeight="1" x14ac:dyDescent="0.3">
      <c r="A23" s="71" t="s">
        <v>65</v>
      </c>
      <c r="B23" s="72"/>
      <c r="C23" s="72"/>
      <c r="D23" s="72"/>
      <c r="E23" s="72"/>
      <c r="F23" s="72"/>
      <c r="G23" s="72"/>
      <c r="H23" s="4">
        <f>985352.76-H7</f>
        <v>363173.92000000004</v>
      </c>
    </row>
    <row r="24" spans="1:9" ht="15" customHeight="1" x14ac:dyDescent="0.2">
      <c r="A24" s="1"/>
      <c r="B24" s="1"/>
      <c r="C24" s="1"/>
      <c r="D24" s="1"/>
      <c r="E24" s="1"/>
      <c r="F24" s="1"/>
      <c r="G24" s="5"/>
      <c r="H24" s="5"/>
    </row>
    <row r="25" spans="1:9" ht="36.75" customHeight="1" x14ac:dyDescent="0.25">
      <c r="A25" s="73" t="s">
        <v>26</v>
      </c>
      <c r="B25" s="73"/>
      <c r="C25" s="73"/>
      <c r="D25" s="73"/>
      <c r="E25" s="73"/>
      <c r="F25" s="73"/>
      <c r="G25" s="73"/>
      <c r="H25" s="73"/>
    </row>
    <row r="26" spans="1:9" ht="15" customHeight="1" x14ac:dyDescent="0.25">
      <c r="A26" s="73"/>
      <c r="B26" s="73"/>
      <c r="C26" s="73"/>
      <c r="D26" s="73"/>
      <c r="E26" s="73"/>
      <c r="F26" s="73"/>
      <c r="G26" s="73"/>
      <c r="H26" s="73"/>
    </row>
    <row r="27" spans="1:9" ht="21" customHeight="1" x14ac:dyDescent="0.25">
      <c r="A27" s="59"/>
      <c r="B27" s="59"/>
      <c r="C27" s="59"/>
      <c r="D27" s="59"/>
      <c r="E27" s="59"/>
      <c r="F27" s="59"/>
      <c r="G27" s="59"/>
      <c r="H27" s="59"/>
    </row>
    <row r="28" spans="1:9" ht="22.5" customHeight="1" x14ac:dyDescent="0.25">
      <c r="A28" s="60" t="s">
        <v>12</v>
      </c>
      <c r="B28" s="60"/>
      <c r="C28" s="60"/>
      <c r="D28" s="60"/>
      <c r="E28" s="60"/>
      <c r="F28" s="60"/>
      <c r="G28" s="60"/>
      <c r="H28" s="60"/>
    </row>
    <row r="29" spans="1:9" ht="15" customHeight="1" x14ac:dyDescent="0.25">
      <c r="A29" s="60"/>
      <c r="B29" s="60"/>
      <c r="C29" s="60"/>
      <c r="D29" s="60"/>
      <c r="E29" s="60"/>
      <c r="F29" s="60"/>
      <c r="G29" s="60"/>
      <c r="H29" s="60"/>
    </row>
    <row r="30" spans="1:9" ht="43.5" customHeight="1" x14ac:dyDescent="0.25"/>
    <row r="31" spans="1:9" ht="10.35" customHeight="1" x14ac:dyDescent="0.25"/>
    <row r="32" spans="1:9" ht="84" hidden="1" customHeight="1" x14ac:dyDescent="0.2"/>
  </sheetData>
  <mergeCells count="32">
    <mergeCell ref="A2:H3"/>
    <mergeCell ref="A4:G4"/>
    <mergeCell ref="A7:G7"/>
    <mergeCell ref="A8:G8"/>
    <mergeCell ref="A9:E9"/>
    <mergeCell ref="F9:H9"/>
    <mergeCell ref="A10:E10"/>
    <mergeCell ref="F10:H10"/>
    <mergeCell ref="A11:E11"/>
    <mergeCell ref="F11:H11"/>
    <mergeCell ref="A12:E12"/>
    <mergeCell ref="F12:H12"/>
    <mergeCell ref="A13:E13"/>
    <mergeCell ref="F13:H13"/>
    <mergeCell ref="A14:E14"/>
    <mergeCell ref="F14:H14"/>
    <mergeCell ref="A15:E15"/>
    <mergeCell ref="F15:H15"/>
    <mergeCell ref="A16:E16"/>
    <mergeCell ref="F16:H16"/>
    <mergeCell ref="A17:E17"/>
    <mergeCell ref="F17:H17"/>
    <mergeCell ref="A18:E18"/>
    <mergeCell ref="F18:H18"/>
    <mergeCell ref="A27:H27"/>
    <mergeCell ref="A28:H29"/>
    <mergeCell ref="A19:E19"/>
    <mergeCell ref="F19:H19"/>
    <mergeCell ref="A20:G20"/>
    <mergeCell ref="A22:G22"/>
    <mergeCell ref="A23:G23"/>
    <mergeCell ref="A25:H26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2"/>
  <sheetViews>
    <sheetView workbookViewId="0">
      <selection activeCell="H24" sqref="H24"/>
    </sheetView>
  </sheetViews>
  <sheetFormatPr defaultColWidth="8.85546875" defaultRowHeight="15" x14ac:dyDescent="0.25"/>
  <cols>
    <col min="7" max="7" width="13.85546875" customWidth="1"/>
    <col min="8" max="8" width="25.42578125" customWidth="1"/>
    <col min="9" max="9" width="10.42578125" bestFit="1" customWidth="1"/>
  </cols>
  <sheetData>
    <row r="2" spans="1:9" ht="15" customHeight="1" x14ac:dyDescent="0.25">
      <c r="A2" s="75" t="s">
        <v>58</v>
      </c>
      <c r="B2" s="75"/>
      <c r="C2" s="75"/>
      <c r="D2" s="75"/>
      <c r="E2" s="75"/>
      <c r="F2" s="75"/>
      <c r="G2" s="75"/>
      <c r="H2" s="75"/>
    </row>
    <row r="3" spans="1:9" ht="58.5" customHeight="1" x14ac:dyDescent="0.25">
      <c r="A3" s="76"/>
      <c r="B3" s="76"/>
      <c r="C3" s="76"/>
      <c r="D3" s="76"/>
      <c r="E3" s="76"/>
      <c r="F3" s="76"/>
      <c r="G3" s="76"/>
      <c r="H3" s="76"/>
    </row>
    <row r="4" spans="1:9" ht="27.75" customHeight="1" x14ac:dyDescent="0.3">
      <c r="A4" s="77" t="s">
        <v>59</v>
      </c>
      <c r="B4" s="78"/>
      <c r="C4" s="78"/>
      <c r="D4" s="78"/>
      <c r="E4" s="78"/>
      <c r="F4" s="78"/>
      <c r="G4" s="78"/>
      <c r="H4" s="8">
        <f>'сентябрь 2017'!H23</f>
        <v>321689.87000000005</v>
      </c>
    </row>
    <row r="5" spans="1:9" ht="18" x14ac:dyDescent="0.2">
      <c r="A5" s="29"/>
      <c r="B5" s="30"/>
      <c r="C5" s="30"/>
      <c r="D5" s="30"/>
      <c r="E5" s="30"/>
      <c r="F5" s="30"/>
      <c r="G5" s="30"/>
      <c r="H5" s="6"/>
    </row>
    <row r="6" spans="1:9" ht="26.25" customHeight="1" x14ac:dyDescent="0.2">
      <c r="A6" s="29"/>
      <c r="B6" s="30"/>
      <c r="C6" s="30"/>
      <c r="D6" s="30"/>
      <c r="E6" s="30"/>
      <c r="F6" s="30"/>
      <c r="G6" s="30"/>
      <c r="H6" s="6"/>
    </row>
    <row r="7" spans="1:9" ht="15" customHeight="1" x14ac:dyDescent="0.3">
      <c r="A7" s="69" t="s">
        <v>60</v>
      </c>
      <c r="B7" s="70"/>
      <c r="C7" s="70"/>
      <c r="D7" s="70"/>
      <c r="E7" s="70"/>
      <c r="F7" s="70"/>
      <c r="G7" s="70"/>
      <c r="H7" s="2">
        <v>524186.44</v>
      </c>
    </row>
    <row r="8" spans="1:9" ht="39" customHeight="1" x14ac:dyDescent="0.3">
      <c r="A8" s="79" t="s">
        <v>0</v>
      </c>
      <c r="B8" s="80"/>
      <c r="C8" s="80"/>
      <c r="D8" s="80"/>
      <c r="E8" s="80"/>
      <c r="F8" s="80"/>
      <c r="G8" s="80"/>
      <c r="H8" s="2">
        <f>SUM(F9:H19)</f>
        <v>385470.32</v>
      </c>
    </row>
    <row r="9" spans="1:9" ht="15" customHeight="1" x14ac:dyDescent="0.25">
      <c r="A9" s="81" t="s">
        <v>1</v>
      </c>
      <c r="B9" s="82"/>
      <c r="C9" s="82"/>
      <c r="D9" s="82"/>
      <c r="E9" s="83"/>
      <c r="F9" s="64">
        <f>175394.94+2676.4+1170.45+836.87+5759.67</f>
        <v>185838.33000000002</v>
      </c>
      <c r="G9" s="65"/>
      <c r="H9" s="66"/>
      <c r="I9" s="7"/>
    </row>
    <row r="10" spans="1:9" ht="15" customHeight="1" x14ac:dyDescent="0.25">
      <c r="A10" s="74" t="s">
        <v>2</v>
      </c>
      <c r="B10" s="62"/>
      <c r="C10" s="62"/>
      <c r="D10" s="62"/>
      <c r="E10" s="63"/>
      <c r="F10" s="64">
        <f>39307.61</f>
        <v>39307.61</v>
      </c>
      <c r="G10" s="65"/>
      <c r="H10" s="66"/>
    </row>
    <row r="11" spans="1:9" ht="15" customHeight="1" x14ac:dyDescent="0.25">
      <c r="A11" s="61" t="s">
        <v>3</v>
      </c>
      <c r="B11" s="62"/>
      <c r="C11" s="62"/>
      <c r="D11" s="62"/>
      <c r="E11" s="63"/>
      <c r="F11" s="64">
        <f>22758.82</f>
        <v>22758.82</v>
      </c>
      <c r="G11" s="65"/>
      <c r="H11" s="66"/>
    </row>
    <row r="12" spans="1:9" ht="15" customHeight="1" x14ac:dyDescent="0.25">
      <c r="A12" s="61" t="s">
        <v>4</v>
      </c>
      <c r="B12" s="62"/>
      <c r="C12" s="62"/>
      <c r="D12" s="62"/>
      <c r="E12" s="63"/>
      <c r="F12" s="64">
        <f>27865.41</f>
        <v>27865.41</v>
      </c>
      <c r="G12" s="65"/>
      <c r="H12" s="66"/>
    </row>
    <row r="13" spans="1:9" ht="15" customHeight="1" x14ac:dyDescent="0.25">
      <c r="A13" s="61" t="s">
        <v>5</v>
      </c>
      <c r="B13" s="62"/>
      <c r="C13" s="62"/>
      <c r="D13" s="62"/>
      <c r="E13" s="63"/>
      <c r="F13" s="64">
        <v>67987.38</v>
      </c>
      <c r="G13" s="65"/>
      <c r="H13" s="66"/>
    </row>
    <row r="14" spans="1:9" ht="15" customHeight="1" x14ac:dyDescent="0.25">
      <c r="A14" s="61" t="s">
        <v>6</v>
      </c>
      <c r="B14" s="62"/>
      <c r="C14" s="62"/>
      <c r="D14" s="62"/>
      <c r="E14" s="63"/>
      <c r="F14" s="64">
        <f>3745.59</f>
        <v>3745.59</v>
      </c>
      <c r="G14" s="65"/>
      <c r="H14" s="66"/>
    </row>
    <row r="15" spans="1:9" ht="15" customHeight="1" x14ac:dyDescent="0.25">
      <c r="A15" s="61" t="s">
        <v>7</v>
      </c>
      <c r="B15" s="62"/>
      <c r="C15" s="62"/>
      <c r="D15" s="62"/>
      <c r="E15" s="63"/>
      <c r="F15" s="64"/>
      <c r="G15" s="65"/>
      <c r="H15" s="66"/>
    </row>
    <row r="16" spans="1:9" ht="15" customHeight="1" x14ac:dyDescent="0.25">
      <c r="A16" s="61" t="s">
        <v>9</v>
      </c>
      <c r="B16" s="62"/>
      <c r="C16" s="62"/>
      <c r="D16" s="62"/>
      <c r="E16" s="63"/>
      <c r="F16" s="64">
        <f>2830.5</f>
        <v>2830.5</v>
      </c>
      <c r="G16" s="65"/>
      <c r="H16" s="66"/>
    </row>
    <row r="17" spans="1:9" ht="15" customHeight="1" x14ac:dyDescent="0.25">
      <c r="A17" s="61" t="s">
        <v>10</v>
      </c>
      <c r="B17" s="62"/>
      <c r="C17" s="62"/>
      <c r="D17" s="62"/>
      <c r="E17" s="63"/>
      <c r="F17" s="64">
        <f>33147.89</f>
        <v>33147.89</v>
      </c>
      <c r="G17" s="65"/>
      <c r="H17" s="66"/>
    </row>
    <row r="18" spans="1:9" ht="15" customHeight="1" x14ac:dyDescent="0.25">
      <c r="A18" s="61" t="s">
        <v>11</v>
      </c>
      <c r="B18" s="62"/>
      <c r="C18" s="62"/>
      <c r="D18" s="62"/>
      <c r="E18" s="63"/>
      <c r="F18" s="64"/>
      <c r="G18" s="65"/>
      <c r="H18" s="66"/>
    </row>
    <row r="19" spans="1:9" ht="15" customHeight="1" x14ac:dyDescent="0.25">
      <c r="A19" s="61" t="s">
        <v>8</v>
      </c>
      <c r="B19" s="62"/>
      <c r="C19" s="62"/>
      <c r="D19" s="62"/>
      <c r="E19" s="63"/>
      <c r="F19" s="64">
        <f>1988.79</f>
        <v>1988.79</v>
      </c>
      <c r="G19" s="65"/>
      <c r="H19" s="66"/>
      <c r="I19" s="7"/>
    </row>
    <row r="20" spans="1:9" ht="15" customHeight="1" x14ac:dyDescent="0.2">
      <c r="A20" s="67"/>
      <c r="B20" s="68"/>
      <c r="C20" s="68"/>
      <c r="D20" s="68"/>
      <c r="E20" s="68"/>
      <c r="F20" s="68"/>
      <c r="G20" s="68"/>
      <c r="H20" s="2"/>
      <c r="I20" s="7"/>
    </row>
    <row r="21" spans="1:9" ht="15" customHeight="1" x14ac:dyDescent="0.25">
      <c r="A21" s="29"/>
      <c r="B21" s="30"/>
      <c r="C21" s="30"/>
      <c r="D21" s="30"/>
      <c r="E21" s="30"/>
      <c r="F21" s="3"/>
      <c r="G21" s="3"/>
      <c r="H21" s="2"/>
    </row>
    <row r="22" spans="1:9" ht="15" customHeight="1" x14ac:dyDescent="0.2">
      <c r="A22" s="69"/>
      <c r="B22" s="70"/>
      <c r="C22" s="70"/>
      <c r="D22" s="70"/>
      <c r="E22" s="70"/>
      <c r="F22" s="70"/>
      <c r="G22" s="70"/>
      <c r="H22" s="2"/>
    </row>
    <row r="23" spans="1:9" ht="15" customHeight="1" x14ac:dyDescent="0.3">
      <c r="A23" s="71" t="s">
        <v>61</v>
      </c>
      <c r="B23" s="72"/>
      <c r="C23" s="72"/>
      <c r="D23" s="72"/>
      <c r="E23" s="72"/>
      <c r="F23" s="72"/>
      <c r="G23" s="72"/>
      <c r="H23" s="4">
        <f>861503.9-H7</f>
        <v>337317.46</v>
      </c>
    </row>
    <row r="24" spans="1:9" ht="15" customHeight="1" x14ac:dyDescent="0.2">
      <c r="A24" s="1"/>
      <c r="B24" s="1"/>
      <c r="C24" s="1"/>
      <c r="D24" s="1"/>
      <c r="E24" s="1"/>
      <c r="F24" s="1"/>
      <c r="G24" s="5"/>
      <c r="H24" s="5"/>
    </row>
    <row r="25" spans="1:9" ht="36.75" customHeight="1" x14ac:dyDescent="0.25">
      <c r="A25" s="73" t="s">
        <v>26</v>
      </c>
      <c r="B25" s="73"/>
      <c r="C25" s="73"/>
      <c r="D25" s="73"/>
      <c r="E25" s="73"/>
      <c r="F25" s="73"/>
      <c r="G25" s="73"/>
      <c r="H25" s="73"/>
    </row>
    <row r="26" spans="1:9" ht="15" customHeight="1" x14ac:dyDescent="0.25">
      <c r="A26" s="73"/>
      <c r="B26" s="73"/>
      <c r="C26" s="73"/>
      <c r="D26" s="73"/>
      <c r="E26" s="73"/>
      <c r="F26" s="73"/>
      <c r="G26" s="73"/>
      <c r="H26" s="73"/>
    </row>
    <row r="27" spans="1:9" ht="21" customHeight="1" x14ac:dyDescent="0.25">
      <c r="A27" s="59"/>
      <c r="B27" s="59"/>
      <c r="C27" s="59"/>
      <c r="D27" s="59"/>
      <c r="E27" s="59"/>
      <c r="F27" s="59"/>
      <c r="G27" s="59"/>
      <c r="H27" s="59"/>
    </row>
    <row r="28" spans="1:9" ht="22.5" customHeight="1" x14ac:dyDescent="0.25">
      <c r="A28" s="60" t="s">
        <v>12</v>
      </c>
      <c r="B28" s="60"/>
      <c r="C28" s="60"/>
      <c r="D28" s="60"/>
      <c r="E28" s="60"/>
      <c r="F28" s="60"/>
      <c r="G28" s="60"/>
      <c r="H28" s="60"/>
    </row>
    <row r="29" spans="1:9" ht="15" customHeight="1" x14ac:dyDescent="0.25">
      <c r="A29" s="60"/>
      <c r="B29" s="60"/>
      <c r="C29" s="60"/>
      <c r="D29" s="60"/>
      <c r="E29" s="60"/>
      <c r="F29" s="60"/>
      <c r="G29" s="60"/>
      <c r="H29" s="60"/>
    </row>
    <row r="30" spans="1:9" ht="43.5" customHeight="1" x14ac:dyDescent="0.25"/>
    <row r="31" spans="1:9" ht="10.35" customHeight="1" x14ac:dyDescent="0.25"/>
    <row r="32" spans="1:9" ht="84" hidden="1" customHeight="1" x14ac:dyDescent="0.2"/>
  </sheetData>
  <mergeCells count="32">
    <mergeCell ref="A27:H27"/>
    <mergeCell ref="A28:H29"/>
    <mergeCell ref="A19:E19"/>
    <mergeCell ref="F19:H19"/>
    <mergeCell ref="A20:G20"/>
    <mergeCell ref="A22:G22"/>
    <mergeCell ref="A23:G23"/>
    <mergeCell ref="A25:H26"/>
    <mergeCell ref="A16:E16"/>
    <mergeCell ref="F16:H16"/>
    <mergeCell ref="A17:E17"/>
    <mergeCell ref="F17:H17"/>
    <mergeCell ref="A18:E18"/>
    <mergeCell ref="F18:H18"/>
    <mergeCell ref="A13:E13"/>
    <mergeCell ref="F13:H13"/>
    <mergeCell ref="A14:E14"/>
    <mergeCell ref="F14:H14"/>
    <mergeCell ref="A15:E15"/>
    <mergeCell ref="F15:H15"/>
    <mergeCell ref="A10:E10"/>
    <mergeCell ref="F10:H10"/>
    <mergeCell ref="A11:E11"/>
    <mergeCell ref="F11:H11"/>
    <mergeCell ref="A12:E12"/>
    <mergeCell ref="F12:H12"/>
    <mergeCell ref="A2:H3"/>
    <mergeCell ref="A4:G4"/>
    <mergeCell ref="A7:G7"/>
    <mergeCell ref="A8:G8"/>
    <mergeCell ref="A9:E9"/>
    <mergeCell ref="F9:H9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2"/>
  <sheetViews>
    <sheetView workbookViewId="0">
      <selection activeCell="A25" sqref="A25:H26"/>
    </sheetView>
  </sheetViews>
  <sheetFormatPr defaultColWidth="8.85546875" defaultRowHeight="15" x14ac:dyDescent="0.25"/>
  <cols>
    <col min="7" max="7" width="13.85546875" customWidth="1"/>
    <col min="8" max="8" width="25.42578125" customWidth="1"/>
    <col min="9" max="9" width="10.42578125" bestFit="1" customWidth="1"/>
  </cols>
  <sheetData>
    <row r="2" spans="1:9" ht="15" customHeight="1" x14ac:dyDescent="0.25">
      <c r="A2" s="75" t="s">
        <v>54</v>
      </c>
      <c r="B2" s="75"/>
      <c r="C2" s="75"/>
      <c r="D2" s="75"/>
      <c r="E2" s="75"/>
      <c r="F2" s="75"/>
      <c r="G2" s="75"/>
      <c r="H2" s="75"/>
    </row>
    <row r="3" spans="1:9" ht="58.5" customHeight="1" x14ac:dyDescent="0.25">
      <c r="A3" s="76"/>
      <c r="B3" s="76"/>
      <c r="C3" s="76"/>
      <c r="D3" s="76"/>
      <c r="E3" s="76"/>
      <c r="F3" s="76"/>
      <c r="G3" s="76"/>
      <c r="H3" s="76"/>
    </row>
    <row r="4" spans="1:9" ht="27.75" customHeight="1" x14ac:dyDescent="0.3">
      <c r="A4" s="77" t="s">
        <v>55</v>
      </c>
      <c r="B4" s="78"/>
      <c r="C4" s="78"/>
      <c r="D4" s="78"/>
      <c r="E4" s="78"/>
      <c r="F4" s="78"/>
      <c r="G4" s="78"/>
      <c r="H4" s="8" t="e">
        <f>'[1]август 2017'!H23</f>
        <v>#REF!</v>
      </c>
    </row>
    <row r="5" spans="1:9" ht="18" x14ac:dyDescent="0.2">
      <c r="A5" s="27"/>
      <c r="B5" s="28"/>
      <c r="C5" s="28"/>
      <c r="D5" s="28"/>
      <c r="E5" s="28"/>
      <c r="F5" s="28"/>
      <c r="G5" s="28"/>
      <c r="H5" s="6"/>
    </row>
    <row r="6" spans="1:9" ht="26.25" customHeight="1" x14ac:dyDescent="0.2">
      <c r="A6" s="27"/>
      <c r="B6" s="28"/>
      <c r="C6" s="28"/>
      <c r="D6" s="28"/>
      <c r="E6" s="28"/>
      <c r="F6" s="28"/>
      <c r="G6" s="28"/>
      <c r="H6" s="6"/>
    </row>
    <row r="7" spans="1:9" ht="15" customHeight="1" x14ac:dyDescent="0.3">
      <c r="A7" s="69" t="s">
        <v>56</v>
      </c>
      <c r="B7" s="70"/>
      <c r="C7" s="70"/>
      <c r="D7" s="70"/>
      <c r="E7" s="70"/>
      <c r="F7" s="70"/>
      <c r="G7" s="70"/>
      <c r="H7" s="2">
        <v>401097.91</v>
      </c>
    </row>
    <row r="8" spans="1:9" ht="39" customHeight="1" x14ac:dyDescent="0.3">
      <c r="A8" s="79" t="s">
        <v>0</v>
      </c>
      <c r="B8" s="80"/>
      <c r="C8" s="80"/>
      <c r="D8" s="80"/>
      <c r="E8" s="80"/>
      <c r="F8" s="80"/>
      <c r="G8" s="80"/>
      <c r="H8" s="2">
        <f>SUM(F9:H19)</f>
        <v>457800.64999999997</v>
      </c>
    </row>
    <row r="9" spans="1:9" ht="15" customHeight="1" x14ac:dyDescent="0.25">
      <c r="A9" s="81" t="s">
        <v>1</v>
      </c>
      <c r="B9" s="82"/>
      <c r="C9" s="82"/>
      <c r="D9" s="82"/>
      <c r="E9" s="83"/>
      <c r="F9" s="64">
        <f>211946.05+3144.83+1063.17+6868.99</f>
        <v>223023.03999999998</v>
      </c>
      <c r="G9" s="65"/>
      <c r="H9" s="66"/>
      <c r="I9" s="7"/>
    </row>
    <row r="10" spans="1:9" ht="15" customHeight="1" x14ac:dyDescent="0.25">
      <c r="A10" s="74" t="s">
        <v>2</v>
      </c>
      <c r="B10" s="62"/>
      <c r="C10" s="62"/>
      <c r="D10" s="62"/>
      <c r="E10" s="63"/>
      <c r="F10" s="64">
        <f>50670.82</f>
        <v>50670.82</v>
      </c>
      <c r="G10" s="65"/>
      <c r="H10" s="66"/>
    </row>
    <row r="11" spans="1:9" ht="15" customHeight="1" x14ac:dyDescent="0.25">
      <c r="A11" s="61" t="s">
        <v>3</v>
      </c>
      <c r="B11" s="62"/>
      <c r="C11" s="62"/>
      <c r="D11" s="62"/>
      <c r="E11" s="63"/>
      <c r="F11" s="64">
        <f>27612.09</f>
        <v>27612.09</v>
      </c>
      <c r="G11" s="65"/>
      <c r="H11" s="66"/>
    </row>
    <row r="12" spans="1:9" ht="15" customHeight="1" x14ac:dyDescent="0.25">
      <c r="A12" s="61" t="s">
        <v>4</v>
      </c>
      <c r="B12" s="62"/>
      <c r="C12" s="62"/>
      <c r="D12" s="62"/>
      <c r="E12" s="63"/>
      <c r="F12" s="64">
        <f>33394.24</f>
        <v>33394.239999999998</v>
      </c>
      <c r="G12" s="65"/>
      <c r="H12" s="66"/>
    </row>
    <row r="13" spans="1:9" ht="15" customHeight="1" x14ac:dyDescent="0.25">
      <c r="A13" s="61" t="s">
        <v>5</v>
      </c>
      <c r="B13" s="62"/>
      <c r="C13" s="62"/>
      <c r="D13" s="62"/>
      <c r="E13" s="63"/>
      <c r="F13" s="64">
        <f>66495.49</f>
        <v>66495.490000000005</v>
      </c>
      <c r="G13" s="65"/>
      <c r="H13" s="66"/>
    </row>
    <row r="14" spans="1:9" ht="15" customHeight="1" x14ac:dyDescent="0.25">
      <c r="A14" s="61" t="s">
        <v>6</v>
      </c>
      <c r="B14" s="62"/>
      <c r="C14" s="62"/>
      <c r="D14" s="62"/>
      <c r="E14" s="63"/>
      <c r="F14" s="64">
        <f>4488.17</f>
        <v>4488.17</v>
      </c>
      <c r="G14" s="65"/>
      <c r="H14" s="66"/>
    </row>
    <row r="15" spans="1:9" ht="15" customHeight="1" x14ac:dyDescent="0.25">
      <c r="A15" s="61" t="s">
        <v>7</v>
      </c>
      <c r="B15" s="62"/>
      <c r="C15" s="62"/>
      <c r="D15" s="62"/>
      <c r="E15" s="63"/>
      <c r="F15" s="64"/>
      <c r="G15" s="65"/>
      <c r="H15" s="66"/>
    </row>
    <row r="16" spans="1:9" ht="15" customHeight="1" x14ac:dyDescent="0.25">
      <c r="A16" s="61" t="s">
        <v>9</v>
      </c>
      <c r="B16" s="62"/>
      <c r="C16" s="62"/>
      <c r="D16" s="62"/>
      <c r="E16" s="63"/>
      <c r="F16" s="64">
        <f>3900.38</f>
        <v>3900.38</v>
      </c>
      <c r="G16" s="65"/>
      <c r="H16" s="66"/>
    </row>
    <row r="17" spans="1:9" ht="15" customHeight="1" x14ac:dyDescent="0.25">
      <c r="A17" s="61" t="s">
        <v>10</v>
      </c>
      <c r="B17" s="62"/>
      <c r="C17" s="62"/>
      <c r="D17" s="62"/>
      <c r="E17" s="63"/>
      <c r="F17" s="64">
        <f>39530.44</f>
        <v>39530.44</v>
      </c>
      <c r="G17" s="65"/>
      <c r="H17" s="66"/>
    </row>
    <row r="18" spans="1:9" ht="15" customHeight="1" x14ac:dyDescent="0.25">
      <c r="A18" s="61" t="s">
        <v>11</v>
      </c>
      <c r="B18" s="62"/>
      <c r="C18" s="62"/>
      <c r="D18" s="62"/>
      <c r="E18" s="63"/>
      <c r="F18" s="64"/>
      <c r="G18" s="65"/>
      <c r="H18" s="66"/>
    </row>
    <row r="19" spans="1:9" ht="15" customHeight="1" x14ac:dyDescent="0.25">
      <c r="A19" s="61" t="s">
        <v>8</v>
      </c>
      <c r="B19" s="62"/>
      <c r="C19" s="62"/>
      <c r="D19" s="62"/>
      <c r="E19" s="63"/>
      <c r="F19" s="64">
        <f>8685.98</f>
        <v>8685.98</v>
      </c>
      <c r="G19" s="65"/>
      <c r="H19" s="66"/>
      <c r="I19" s="7"/>
    </row>
    <row r="20" spans="1:9" ht="15" customHeight="1" x14ac:dyDescent="0.2">
      <c r="A20" s="67"/>
      <c r="B20" s="68"/>
      <c r="C20" s="68"/>
      <c r="D20" s="68"/>
      <c r="E20" s="68"/>
      <c r="F20" s="68"/>
      <c r="G20" s="68"/>
      <c r="H20" s="2"/>
      <c r="I20" s="7"/>
    </row>
    <row r="21" spans="1:9" ht="15" customHeight="1" x14ac:dyDescent="0.25">
      <c r="A21" s="27"/>
      <c r="B21" s="28"/>
      <c r="C21" s="28"/>
      <c r="D21" s="28"/>
      <c r="E21" s="28"/>
      <c r="F21" s="3"/>
      <c r="G21" s="3"/>
      <c r="H21" s="2"/>
    </row>
    <row r="22" spans="1:9" ht="15" customHeight="1" x14ac:dyDescent="0.2">
      <c r="A22" s="69"/>
      <c r="B22" s="70"/>
      <c r="C22" s="70"/>
      <c r="D22" s="70"/>
      <c r="E22" s="70"/>
      <c r="F22" s="70"/>
      <c r="G22" s="70"/>
      <c r="H22" s="2"/>
    </row>
    <row r="23" spans="1:9" ht="15" customHeight="1" x14ac:dyDescent="0.3">
      <c r="A23" s="71" t="s">
        <v>57</v>
      </c>
      <c r="B23" s="72"/>
      <c r="C23" s="72"/>
      <c r="D23" s="72"/>
      <c r="E23" s="72"/>
      <c r="F23" s="72"/>
      <c r="G23" s="72"/>
      <c r="H23" s="4">
        <f>722787.78-H7</f>
        <v>321689.87000000005</v>
      </c>
    </row>
    <row r="24" spans="1:9" ht="15" customHeight="1" x14ac:dyDescent="0.2">
      <c r="A24" s="1"/>
      <c r="B24" s="1"/>
      <c r="C24" s="1"/>
      <c r="D24" s="1"/>
      <c r="E24" s="1"/>
      <c r="F24" s="1"/>
      <c r="G24" s="5"/>
      <c r="H24" s="5"/>
    </row>
    <row r="25" spans="1:9" ht="36.75" customHeight="1" x14ac:dyDescent="0.25">
      <c r="A25" s="73" t="s">
        <v>26</v>
      </c>
      <c r="B25" s="73"/>
      <c r="C25" s="73"/>
      <c r="D25" s="73"/>
      <c r="E25" s="73"/>
      <c r="F25" s="73"/>
      <c r="G25" s="73"/>
      <c r="H25" s="73"/>
    </row>
    <row r="26" spans="1:9" ht="15" customHeight="1" x14ac:dyDescent="0.25">
      <c r="A26" s="73"/>
      <c r="B26" s="73"/>
      <c r="C26" s="73"/>
      <c r="D26" s="73"/>
      <c r="E26" s="73"/>
      <c r="F26" s="73"/>
      <c r="G26" s="73"/>
      <c r="H26" s="73"/>
    </row>
    <row r="27" spans="1:9" ht="21" customHeight="1" x14ac:dyDescent="0.25">
      <c r="A27" s="59"/>
      <c r="B27" s="59"/>
      <c r="C27" s="59"/>
      <c r="D27" s="59"/>
      <c r="E27" s="59"/>
      <c r="F27" s="59"/>
      <c r="G27" s="59"/>
      <c r="H27" s="59"/>
    </row>
    <row r="28" spans="1:9" ht="22.5" customHeight="1" x14ac:dyDescent="0.25">
      <c r="A28" s="60" t="s">
        <v>12</v>
      </c>
      <c r="B28" s="60"/>
      <c r="C28" s="60"/>
      <c r="D28" s="60"/>
      <c r="E28" s="60"/>
      <c r="F28" s="60"/>
      <c r="G28" s="60"/>
      <c r="H28" s="60"/>
    </row>
    <row r="29" spans="1:9" ht="15" customHeight="1" x14ac:dyDescent="0.25">
      <c r="A29" s="60"/>
      <c r="B29" s="60"/>
      <c r="C29" s="60"/>
      <c r="D29" s="60"/>
      <c r="E29" s="60"/>
      <c r="F29" s="60"/>
      <c r="G29" s="60"/>
      <c r="H29" s="60"/>
    </row>
    <row r="30" spans="1:9" ht="43.5" customHeight="1" x14ac:dyDescent="0.25"/>
    <row r="31" spans="1:9" ht="10.35" customHeight="1" x14ac:dyDescent="0.25"/>
    <row r="32" spans="1:9" ht="84" hidden="1" customHeight="1" x14ac:dyDescent="0.2"/>
  </sheetData>
  <mergeCells count="32">
    <mergeCell ref="A2:H3"/>
    <mergeCell ref="A4:G4"/>
    <mergeCell ref="A7:G7"/>
    <mergeCell ref="A8:G8"/>
    <mergeCell ref="A9:E9"/>
    <mergeCell ref="F9:H9"/>
    <mergeCell ref="A10:E10"/>
    <mergeCell ref="F10:H10"/>
    <mergeCell ref="A11:E11"/>
    <mergeCell ref="F11:H11"/>
    <mergeCell ref="A12:E12"/>
    <mergeCell ref="F12:H12"/>
    <mergeCell ref="A13:E13"/>
    <mergeCell ref="F13:H13"/>
    <mergeCell ref="A14:E14"/>
    <mergeCell ref="F14:H14"/>
    <mergeCell ref="A15:E15"/>
    <mergeCell ref="F15:H15"/>
    <mergeCell ref="A16:E16"/>
    <mergeCell ref="F16:H16"/>
    <mergeCell ref="A17:E17"/>
    <mergeCell ref="F17:H17"/>
    <mergeCell ref="A18:E18"/>
    <mergeCell ref="F18:H18"/>
    <mergeCell ref="A27:H27"/>
    <mergeCell ref="A28:H29"/>
    <mergeCell ref="A19:E19"/>
    <mergeCell ref="F19:H19"/>
    <mergeCell ref="A20:G20"/>
    <mergeCell ref="A22:G22"/>
    <mergeCell ref="A23:G23"/>
    <mergeCell ref="A25:H26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2"/>
  <sheetViews>
    <sheetView workbookViewId="0">
      <selection activeCell="A25" sqref="A25:H26"/>
    </sheetView>
  </sheetViews>
  <sheetFormatPr defaultColWidth="8.85546875" defaultRowHeight="15" x14ac:dyDescent="0.25"/>
  <cols>
    <col min="7" max="7" width="13.85546875" customWidth="1"/>
    <col min="8" max="8" width="25.42578125" customWidth="1"/>
    <col min="9" max="9" width="10.42578125" bestFit="1" customWidth="1"/>
  </cols>
  <sheetData>
    <row r="2" spans="1:9" x14ac:dyDescent="0.25">
      <c r="A2" s="75" t="s">
        <v>49</v>
      </c>
      <c r="B2" s="75"/>
      <c r="C2" s="75"/>
      <c r="D2" s="75"/>
      <c r="E2" s="75"/>
      <c r="F2" s="75"/>
      <c r="G2" s="75"/>
      <c r="H2" s="75"/>
    </row>
    <row r="3" spans="1:9" ht="58.5" customHeight="1" x14ac:dyDescent="0.25">
      <c r="A3" s="76"/>
      <c r="B3" s="76"/>
      <c r="C3" s="76"/>
      <c r="D3" s="76"/>
      <c r="E3" s="76"/>
      <c r="F3" s="76"/>
      <c r="G3" s="76"/>
      <c r="H3" s="76"/>
    </row>
    <row r="4" spans="1:9" ht="27.75" customHeight="1" x14ac:dyDescent="0.3">
      <c r="A4" s="77" t="s">
        <v>50</v>
      </c>
      <c r="B4" s="78"/>
      <c r="C4" s="78"/>
      <c r="D4" s="78"/>
      <c r="E4" s="78"/>
      <c r="F4" s="78"/>
      <c r="G4" s="78"/>
      <c r="H4" s="8">
        <f>'июль 2017'!H23</f>
        <v>316641.63000000006</v>
      </c>
    </row>
    <row r="5" spans="1:9" ht="18" x14ac:dyDescent="0.2">
      <c r="A5" s="25"/>
      <c r="B5" s="26"/>
      <c r="C5" s="26"/>
      <c r="D5" s="26"/>
      <c r="E5" s="26"/>
      <c r="F5" s="26"/>
      <c r="G5" s="26"/>
      <c r="H5" s="6"/>
    </row>
    <row r="6" spans="1:9" ht="26.25" customHeight="1" x14ac:dyDescent="0.2">
      <c r="A6" s="25"/>
      <c r="B6" s="26"/>
      <c r="C6" s="26"/>
      <c r="D6" s="26"/>
      <c r="E6" s="26"/>
      <c r="F6" s="26"/>
      <c r="G6" s="26"/>
      <c r="H6" s="6"/>
    </row>
    <row r="7" spans="1:9" ht="15" customHeight="1" x14ac:dyDescent="0.3">
      <c r="A7" s="69" t="s">
        <v>51</v>
      </c>
      <c r="B7" s="70"/>
      <c r="C7" s="70"/>
      <c r="D7" s="70"/>
      <c r="E7" s="70"/>
      <c r="F7" s="70"/>
      <c r="G7" s="70"/>
      <c r="H7" s="2">
        <v>433361.57</v>
      </c>
    </row>
    <row r="8" spans="1:9" ht="39" customHeight="1" x14ac:dyDescent="0.3">
      <c r="A8" s="85" t="s">
        <v>0</v>
      </c>
      <c r="B8" s="86"/>
      <c r="C8" s="86"/>
      <c r="D8" s="86"/>
      <c r="E8" s="86"/>
      <c r="F8" s="86"/>
      <c r="G8" s="86"/>
      <c r="H8" s="2">
        <f>SUM(F9:H19)</f>
        <v>362827.18</v>
      </c>
    </row>
    <row r="9" spans="1:9" ht="15" customHeight="1" x14ac:dyDescent="0.25">
      <c r="A9" s="92" t="s">
        <v>1</v>
      </c>
      <c r="B9" s="90"/>
      <c r="C9" s="90"/>
      <c r="D9" s="90"/>
      <c r="E9" s="91"/>
      <c r="F9" s="64">
        <f>171966.25+2585.62+886.67+5700.16</f>
        <v>181138.7</v>
      </c>
      <c r="G9" s="65"/>
      <c r="H9" s="66"/>
      <c r="I9" s="7"/>
    </row>
    <row r="10" spans="1:9" ht="15" customHeight="1" x14ac:dyDescent="0.25">
      <c r="A10" s="89" t="s">
        <v>2</v>
      </c>
      <c r="B10" s="90"/>
      <c r="C10" s="90"/>
      <c r="D10" s="90"/>
      <c r="E10" s="91"/>
      <c r="F10" s="64">
        <f>37939.73</f>
        <v>37939.730000000003</v>
      </c>
      <c r="G10" s="65"/>
      <c r="H10" s="66"/>
    </row>
    <row r="11" spans="1:9" ht="15" customHeight="1" x14ac:dyDescent="0.25">
      <c r="A11" s="61" t="s">
        <v>3</v>
      </c>
      <c r="B11" s="84"/>
      <c r="C11" s="84"/>
      <c r="D11" s="84"/>
      <c r="E11" s="84"/>
      <c r="F11" s="64">
        <f>21723.75</f>
        <v>21723.75</v>
      </c>
      <c r="G11" s="65"/>
      <c r="H11" s="66"/>
    </row>
    <row r="12" spans="1:9" ht="15" customHeight="1" x14ac:dyDescent="0.25">
      <c r="A12" s="61" t="s">
        <v>4</v>
      </c>
      <c r="B12" s="84"/>
      <c r="C12" s="84"/>
      <c r="D12" s="84"/>
      <c r="E12" s="84"/>
      <c r="F12" s="64">
        <f>26021.45</f>
        <v>26021.45</v>
      </c>
      <c r="G12" s="65"/>
      <c r="H12" s="66"/>
    </row>
    <row r="13" spans="1:9" ht="15" customHeight="1" x14ac:dyDescent="0.25">
      <c r="A13" s="61" t="s">
        <v>5</v>
      </c>
      <c r="B13" s="84"/>
      <c r="C13" s="84"/>
      <c r="D13" s="84"/>
      <c r="E13" s="84"/>
      <c r="F13" s="64">
        <f>49122.09</f>
        <v>49122.09</v>
      </c>
      <c r="G13" s="65"/>
      <c r="H13" s="66"/>
    </row>
    <row r="14" spans="1:9" ht="15" customHeight="1" x14ac:dyDescent="0.25">
      <c r="A14" s="61" t="s">
        <v>6</v>
      </c>
      <c r="B14" s="84"/>
      <c r="C14" s="84"/>
      <c r="D14" s="84"/>
      <c r="E14" s="84"/>
      <c r="F14" s="64">
        <f>3597.88</f>
        <v>3597.88</v>
      </c>
      <c r="G14" s="65"/>
      <c r="H14" s="66"/>
    </row>
    <row r="15" spans="1:9" ht="15" customHeight="1" x14ac:dyDescent="0.25">
      <c r="A15" s="61" t="s">
        <v>7</v>
      </c>
      <c r="B15" s="84"/>
      <c r="C15" s="84"/>
      <c r="D15" s="84"/>
      <c r="E15" s="84"/>
      <c r="F15" s="64"/>
      <c r="G15" s="65"/>
      <c r="H15" s="66"/>
    </row>
    <row r="16" spans="1:9" ht="15" customHeight="1" x14ac:dyDescent="0.25">
      <c r="A16" s="61" t="s">
        <v>9</v>
      </c>
      <c r="B16" s="84"/>
      <c r="C16" s="84"/>
      <c r="D16" s="84"/>
      <c r="E16" s="84"/>
      <c r="F16" s="64">
        <v>3516.79</v>
      </c>
      <c r="G16" s="65"/>
      <c r="H16" s="66"/>
    </row>
    <row r="17" spans="1:9" ht="15" customHeight="1" x14ac:dyDescent="0.25">
      <c r="A17" s="61" t="s">
        <v>10</v>
      </c>
      <c r="B17" s="87"/>
      <c r="C17" s="87"/>
      <c r="D17" s="87"/>
      <c r="E17" s="88"/>
      <c r="F17" s="64">
        <f>32251.59</f>
        <v>32251.59</v>
      </c>
      <c r="G17" s="65"/>
      <c r="H17" s="66"/>
    </row>
    <row r="18" spans="1:9" ht="15" customHeight="1" x14ac:dyDescent="0.25">
      <c r="A18" s="61" t="s">
        <v>11</v>
      </c>
      <c r="B18" s="87"/>
      <c r="C18" s="87"/>
      <c r="D18" s="87"/>
      <c r="E18" s="88"/>
      <c r="F18" s="64"/>
      <c r="G18" s="65"/>
      <c r="H18" s="66"/>
    </row>
    <row r="19" spans="1:9" ht="15" customHeight="1" x14ac:dyDescent="0.25">
      <c r="A19" s="61" t="s">
        <v>8</v>
      </c>
      <c r="B19" s="84"/>
      <c r="C19" s="84"/>
      <c r="D19" s="84"/>
      <c r="E19" s="84"/>
      <c r="F19" s="64">
        <v>7515.2</v>
      </c>
      <c r="G19" s="65"/>
      <c r="H19" s="66"/>
      <c r="I19" s="7"/>
    </row>
    <row r="20" spans="1:9" ht="15" customHeight="1" x14ac:dyDescent="0.2">
      <c r="A20" s="85"/>
      <c r="B20" s="86"/>
      <c r="C20" s="86"/>
      <c r="D20" s="86"/>
      <c r="E20" s="86"/>
      <c r="F20" s="86"/>
      <c r="G20" s="86"/>
      <c r="H20" s="2"/>
      <c r="I20" s="7"/>
    </row>
    <row r="21" spans="1:9" ht="15" customHeight="1" x14ac:dyDescent="0.25">
      <c r="A21" s="25"/>
      <c r="B21" s="26"/>
      <c r="C21" s="26"/>
      <c r="D21" s="26"/>
      <c r="E21" s="26"/>
      <c r="F21" s="3"/>
      <c r="G21" s="3"/>
      <c r="H21" s="2"/>
    </row>
    <row r="22" spans="1:9" ht="15" customHeight="1" x14ac:dyDescent="0.2">
      <c r="A22" s="69"/>
      <c r="B22" s="70"/>
      <c r="C22" s="70"/>
      <c r="D22" s="70"/>
      <c r="E22" s="70"/>
      <c r="F22" s="70"/>
      <c r="G22" s="70"/>
      <c r="H22" s="2"/>
    </row>
    <row r="23" spans="1:9" ht="15" customHeight="1" x14ac:dyDescent="0.3">
      <c r="A23" s="71" t="s">
        <v>52</v>
      </c>
      <c r="B23" s="72"/>
      <c r="C23" s="72"/>
      <c r="D23" s="72"/>
      <c r="E23" s="72"/>
      <c r="F23" s="72"/>
      <c r="G23" s="72"/>
      <c r="H23" s="4">
        <f>784071.7-H7</f>
        <v>350710.12999999995</v>
      </c>
    </row>
    <row r="24" spans="1:9" ht="15" customHeight="1" x14ac:dyDescent="0.2">
      <c r="A24" s="1"/>
      <c r="B24" s="1"/>
      <c r="C24" s="1"/>
      <c r="D24" s="1"/>
      <c r="E24" s="1"/>
      <c r="F24" s="1"/>
      <c r="G24" s="5"/>
      <c r="H24" s="5"/>
    </row>
    <row r="25" spans="1:9" ht="36.75" customHeight="1" x14ac:dyDescent="0.25">
      <c r="A25" s="73" t="s">
        <v>53</v>
      </c>
      <c r="B25" s="73"/>
      <c r="C25" s="73"/>
      <c r="D25" s="73"/>
      <c r="E25" s="73"/>
      <c r="F25" s="73"/>
      <c r="G25" s="73"/>
      <c r="H25" s="73"/>
    </row>
    <row r="26" spans="1:9" ht="15" customHeight="1" x14ac:dyDescent="0.25">
      <c r="A26" s="73"/>
      <c r="B26" s="73"/>
      <c r="C26" s="73"/>
      <c r="D26" s="73"/>
      <c r="E26" s="73"/>
      <c r="F26" s="73"/>
      <c r="G26" s="73"/>
      <c r="H26" s="73"/>
    </row>
    <row r="27" spans="1:9" ht="21" customHeight="1" x14ac:dyDescent="0.25">
      <c r="A27" s="59"/>
      <c r="B27" s="59"/>
      <c r="C27" s="59"/>
      <c r="D27" s="59"/>
      <c r="E27" s="59"/>
      <c r="F27" s="59"/>
      <c r="G27" s="59"/>
      <c r="H27" s="59"/>
    </row>
    <row r="28" spans="1:9" ht="22.5" customHeight="1" x14ac:dyDescent="0.25">
      <c r="A28" s="60" t="s">
        <v>12</v>
      </c>
      <c r="B28" s="60"/>
      <c r="C28" s="60"/>
      <c r="D28" s="60"/>
      <c r="E28" s="60"/>
      <c r="F28" s="60"/>
      <c r="G28" s="60"/>
      <c r="H28" s="60"/>
    </row>
    <row r="29" spans="1:9" ht="15" customHeight="1" x14ac:dyDescent="0.25">
      <c r="A29" s="60"/>
      <c r="B29" s="60"/>
      <c r="C29" s="60"/>
      <c r="D29" s="60"/>
      <c r="E29" s="60"/>
      <c r="F29" s="60"/>
      <c r="G29" s="60"/>
      <c r="H29" s="60"/>
    </row>
    <row r="30" spans="1:9" ht="43.5" customHeight="1" x14ac:dyDescent="0.25"/>
    <row r="31" spans="1:9" ht="10.35" customHeight="1" x14ac:dyDescent="0.25"/>
    <row r="32" spans="1:9" ht="84" hidden="1" customHeight="1" x14ac:dyDescent="0.2"/>
  </sheetData>
  <mergeCells count="32">
    <mergeCell ref="A2:H3"/>
    <mergeCell ref="A4:G4"/>
    <mergeCell ref="A7:G7"/>
    <mergeCell ref="A8:G8"/>
    <mergeCell ref="A9:E9"/>
    <mergeCell ref="F9:H9"/>
    <mergeCell ref="A10:E10"/>
    <mergeCell ref="F10:H10"/>
    <mergeCell ref="A11:E11"/>
    <mergeCell ref="F11:H11"/>
    <mergeCell ref="A12:E12"/>
    <mergeCell ref="F12:H12"/>
    <mergeCell ref="A13:E13"/>
    <mergeCell ref="F13:H13"/>
    <mergeCell ref="A14:E14"/>
    <mergeCell ref="F14:H14"/>
    <mergeCell ref="A15:E15"/>
    <mergeCell ref="F15:H15"/>
    <mergeCell ref="A16:E16"/>
    <mergeCell ref="F16:H16"/>
    <mergeCell ref="A17:E17"/>
    <mergeCell ref="F17:H17"/>
    <mergeCell ref="A18:E18"/>
    <mergeCell ref="F18:H18"/>
    <mergeCell ref="A27:H27"/>
    <mergeCell ref="A28:H29"/>
    <mergeCell ref="A19:E19"/>
    <mergeCell ref="F19:H19"/>
    <mergeCell ref="A20:G20"/>
    <mergeCell ref="A22:G22"/>
    <mergeCell ref="A23:G23"/>
    <mergeCell ref="A25:H26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2"/>
  <sheetViews>
    <sheetView workbookViewId="0">
      <selection activeCell="H23" sqref="H23"/>
    </sheetView>
  </sheetViews>
  <sheetFormatPr defaultColWidth="8.85546875" defaultRowHeight="15" x14ac:dyDescent="0.25"/>
  <cols>
    <col min="7" max="7" width="13.85546875" customWidth="1"/>
    <col min="8" max="8" width="25.42578125" customWidth="1"/>
    <col min="9" max="9" width="10.42578125" bestFit="1" customWidth="1"/>
  </cols>
  <sheetData>
    <row r="2" spans="1:9" x14ac:dyDescent="0.25">
      <c r="A2" s="75" t="s">
        <v>45</v>
      </c>
      <c r="B2" s="75"/>
      <c r="C2" s="75"/>
      <c r="D2" s="75"/>
      <c r="E2" s="75"/>
      <c r="F2" s="75"/>
      <c r="G2" s="75"/>
      <c r="H2" s="75"/>
    </row>
    <row r="3" spans="1:9" ht="58.5" customHeight="1" x14ac:dyDescent="0.25">
      <c r="A3" s="76"/>
      <c r="B3" s="76"/>
      <c r="C3" s="76"/>
      <c r="D3" s="76"/>
      <c r="E3" s="76"/>
      <c r="F3" s="76"/>
      <c r="G3" s="76"/>
      <c r="H3" s="76"/>
    </row>
    <row r="4" spans="1:9" ht="27.75" customHeight="1" x14ac:dyDescent="0.3">
      <c r="A4" s="77" t="s">
        <v>46</v>
      </c>
      <c r="B4" s="78"/>
      <c r="C4" s="78"/>
      <c r="D4" s="78"/>
      <c r="E4" s="78"/>
      <c r="F4" s="78"/>
      <c r="G4" s="78"/>
      <c r="H4" s="8">
        <f>'июнь 2017'!H23</f>
        <v>335537.87000000005</v>
      </c>
    </row>
    <row r="5" spans="1:9" ht="18" x14ac:dyDescent="0.2">
      <c r="A5" s="23"/>
      <c r="B5" s="24"/>
      <c r="C5" s="24"/>
      <c r="D5" s="24"/>
      <c r="E5" s="24"/>
      <c r="F5" s="24"/>
      <c r="G5" s="24"/>
      <c r="H5" s="6"/>
    </row>
    <row r="6" spans="1:9" ht="26.25" customHeight="1" x14ac:dyDescent="0.2">
      <c r="A6" s="23"/>
      <c r="B6" s="24"/>
      <c r="C6" s="24"/>
      <c r="D6" s="24"/>
      <c r="E6" s="24"/>
      <c r="F6" s="24"/>
      <c r="G6" s="24"/>
      <c r="H6" s="6"/>
    </row>
    <row r="7" spans="1:9" ht="15" customHeight="1" x14ac:dyDescent="0.3">
      <c r="A7" s="69" t="s">
        <v>47</v>
      </c>
      <c r="B7" s="70"/>
      <c r="C7" s="70"/>
      <c r="D7" s="70"/>
      <c r="E7" s="70"/>
      <c r="F7" s="70"/>
      <c r="G7" s="70"/>
      <c r="H7" s="2">
        <v>396895.68</v>
      </c>
    </row>
    <row r="8" spans="1:9" ht="39" customHeight="1" x14ac:dyDescent="0.3">
      <c r="A8" s="85" t="s">
        <v>0</v>
      </c>
      <c r="B8" s="86"/>
      <c r="C8" s="86"/>
      <c r="D8" s="86"/>
      <c r="E8" s="86"/>
      <c r="F8" s="86"/>
      <c r="G8" s="86"/>
      <c r="H8" s="2">
        <f>SUM(F9:H19)</f>
        <v>402033.8</v>
      </c>
    </row>
    <row r="9" spans="1:9" ht="15" customHeight="1" x14ac:dyDescent="0.25">
      <c r="A9" s="92" t="s">
        <v>1</v>
      </c>
      <c r="B9" s="90"/>
      <c r="C9" s="90"/>
      <c r="D9" s="90"/>
      <c r="E9" s="91"/>
      <c r="F9" s="64">
        <f>181802.08</f>
        <v>181802.08</v>
      </c>
      <c r="G9" s="65"/>
      <c r="H9" s="66"/>
      <c r="I9" s="7"/>
    </row>
    <row r="10" spans="1:9" ht="15" customHeight="1" x14ac:dyDescent="0.25">
      <c r="A10" s="89" t="s">
        <v>2</v>
      </c>
      <c r="B10" s="90"/>
      <c r="C10" s="90"/>
      <c r="D10" s="90"/>
      <c r="E10" s="91"/>
      <c r="F10" s="64">
        <f>47256.35+2639.5</f>
        <v>49895.85</v>
      </c>
      <c r="G10" s="65"/>
      <c r="H10" s="66"/>
    </row>
    <row r="11" spans="1:9" ht="15" customHeight="1" x14ac:dyDescent="0.25">
      <c r="A11" s="61" t="s">
        <v>3</v>
      </c>
      <c r="B11" s="84"/>
      <c r="C11" s="84"/>
      <c r="D11" s="84"/>
      <c r="E11" s="84"/>
      <c r="F11" s="64">
        <f>24936.64+1023.31</f>
        <v>25959.95</v>
      </c>
      <c r="G11" s="65"/>
      <c r="H11" s="66"/>
    </row>
    <row r="12" spans="1:9" ht="15" customHeight="1" x14ac:dyDescent="0.25">
      <c r="A12" s="61" t="s">
        <v>4</v>
      </c>
      <c r="B12" s="84"/>
      <c r="C12" s="84"/>
      <c r="D12" s="84"/>
      <c r="E12" s="84"/>
      <c r="F12" s="64">
        <f>30466.14</f>
        <v>30466.14</v>
      </c>
      <c r="G12" s="65"/>
      <c r="H12" s="66"/>
    </row>
    <row r="13" spans="1:9" ht="15" customHeight="1" x14ac:dyDescent="0.25">
      <c r="A13" s="61" t="s">
        <v>5</v>
      </c>
      <c r="B13" s="84"/>
      <c r="C13" s="84"/>
      <c r="D13" s="84"/>
      <c r="E13" s="84"/>
      <c r="F13" s="64">
        <f>50397.92+6310.28</f>
        <v>56708.2</v>
      </c>
      <c r="G13" s="65"/>
      <c r="H13" s="66"/>
    </row>
    <row r="14" spans="1:9" ht="15" customHeight="1" x14ac:dyDescent="0.25">
      <c r="A14" s="61" t="s">
        <v>6</v>
      </c>
      <c r="B14" s="84"/>
      <c r="C14" s="84"/>
      <c r="D14" s="84"/>
      <c r="E14" s="84"/>
      <c r="F14" s="64">
        <v>3858.93</v>
      </c>
      <c r="G14" s="65"/>
      <c r="H14" s="66"/>
    </row>
    <row r="15" spans="1:9" ht="15" customHeight="1" x14ac:dyDescent="0.25">
      <c r="A15" s="61" t="s">
        <v>7</v>
      </c>
      <c r="B15" s="84"/>
      <c r="C15" s="84"/>
      <c r="D15" s="84"/>
      <c r="E15" s="84"/>
      <c r="F15" s="64"/>
      <c r="G15" s="65"/>
      <c r="H15" s="66"/>
    </row>
    <row r="16" spans="1:9" ht="15" customHeight="1" x14ac:dyDescent="0.25">
      <c r="A16" s="61" t="s">
        <v>9</v>
      </c>
      <c r="B16" s="84"/>
      <c r="C16" s="84"/>
      <c r="D16" s="84"/>
      <c r="E16" s="84"/>
      <c r="F16" s="64">
        <f>2637.05</f>
        <v>2637.05</v>
      </c>
      <c r="G16" s="65"/>
      <c r="H16" s="66"/>
    </row>
    <row r="17" spans="1:9" ht="15" customHeight="1" x14ac:dyDescent="0.25">
      <c r="A17" s="61" t="s">
        <v>10</v>
      </c>
      <c r="B17" s="87"/>
      <c r="C17" s="87"/>
      <c r="D17" s="87"/>
      <c r="E17" s="88"/>
      <c r="F17" s="64">
        <f>34649.81</f>
        <v>34649.81</v>
      </c>
      <c r="G17" s="65"/>
      <c r="H17" s="66"/>
    </row>
    <row r="18" spans="1:9" ht="15" customHeight="1" x14ac:dyDescent="0.25">
      <c r="A18" s="61" t="s">
        <v>11</v>
      </c>
      <c r="B18" s="87"/>
      <c r="C18" s="87"/>
      <c r="D18" s="87"/>
      <c r="E18" s="88"/>
      <c r="F18" s="64"/>
      <c r="G18" s="65"/>
      <c r="H18" s="66"/>
    </row>
    <row r="19" spans="1:9" ht="15" customHeight="1" x14ac:dyDescent="0.25">
      <c r="A19" s="61" t="s">
        <v>8</v>
      </c>
      <c r="B19" s="84"/>
      <c r="C19" s="84"/>
      <c r="D19" s="84"/>
      <c r="E19" s="84"/>
      <c r="F19" s="64">
        <v>16055.79</v>
      </c>
      <c r="G19" s="65"/>
      <c r="H19" s="66"/>
      <c r="I19" s="7"/>
    </row>
    <row r="20" spans="1:9" ht="15" customHeight="1" x14ac:dyDescent="0.2">
      <c r="A20" s="85"/>
      <c r="B20" s="86"/>
      <c r="C20" s="86"/>
      <c r="D20" s="86"/>
      <c r="E20" s="86"/>
      <c r="F20" s="86"/>
      <c r="G20" s="86"/>
      <c r="H20" s="2"/>
      <c r="I20" s="7"/>
    </row>
    <row r="21" spans="1:9" ht="15" customHeight="1" x14ac:dyDescent="0.25">
      <c r="A21" s="23"/>
      <c r="B21" s="24"/>
      <c r="C21" s="24"/>
      <c r="D21" s="24"/>
      <c r="E21" s="24"/>
      <c r="F21" s="3"/>
      <c r="G21" s="3"/>
      <c r="H21" s="2"/>
    </row>
    <row r="22" spans="1:9" ht="15" customHeight="1" x14ac:dyDescent="0.2">
      <c r="A22" s="69"/>
      <c r="B22" s="70"/>
      <c r="C22" s="70"/>
      <c r="D22" s="70"/>
      <c r="E22" s="70"/>
      <c r="F22" s="70"/>
      <c r="G22" s="70"/>
      <c r="H22" s="2"/>
    </row>
    <row r="23" spans="1:9" ht="15" customHeight="1" x14ac:dyDescent="0.3">
      <c r="A23" s="71" t="s">
        <v>48</v>
      </c>
      <c r="B23" s="72"/>
      <c r="C23" s="72"/>
      <c r="D23" s="72"/>
      <c r="E23" s="72"/>
      <c r="F23" s="72"/>
      <c r="G23" s="72"/>
      <c r="H23" s="4">
        <f>713537.31-H7</f>
        <v>316641.63000000006</v>
      </c>
    </row>
    <row r="24" spans="1:9" ht="15" customHeight="1" x14ac:dyDescent="0.2">
      <c r="A24" s="1"/>
      <c r="B24" s="1"/>
      <c r="C24" s="1"/>
      <c r="D24" s="1"/>
      <c r="E24" s="1"/>
      <c r="F24" s="1"/>
      <c r="G24" s="5"/>
      <c r="H24" s="5"/>
    </row>
    <row r="25" spans="1:9" ht="36.75" customHeight="1" x14ac:dyDescent="0.25">
      <c r="A25" s="73" t="s">
        <v>44</v>
      </c>
      <c r="B25" s="73"/>
      <c r="C25" s="73"/>
      <c r="D25" s="73"/>
      <c r="E25" s="73"/>
      <c r="F25" s="73"/>
      <c r="G25" s="73"/>
      <c r="H25" s="73"/>
    </row>
    <row r="26" spans="1:9" ht="15" customHeight="1" x14ac:dyDescent="0.25">
      <c r="A26" s="73"/>
      <c r="B26" s="73"/>
      <c r="C26" s="73"/>
      <c r="D26" s="73"/>
      <c r="E26" s="73"/>
      <c r="F26" s="73"/>
      <c r="G26" s="73"/>
      <c r="H26" s="73"/>
    </row>
    <row r="27" spans="1:9" ht="21" customHeight="1" x14ac:dyDescent="0.25">
      <c r="A27" s="59"/>
      <c r="B27" s="59"/>
      <c r="C27" s="59"/>
      <c r="D27" s="59"/>
      <c r="E27" s="59"/>
      <c r="F27" s="59"/>
      <c r="G27" s="59"/>
      <c r="H27" s="59"/>
    </row>
    <row r="28" spans="1:9" ht="22.5" customHeight="1" x14ac:dyDescent="0.25">
      <c r="A28" s="60" t="s">
        <v>12</v>
      </c>
      <c r="B28" s="60"/>
      <c r="C28" s="60"/>
      <c r="D28" s="60"/>
      <c r="E28" s="60"/>
      <c r="F28" s="60"/>
      <c r="G28" s="60"/>
      <c r="H28" s="60"/>
    </row>
    <row r="29" spans="1:9" ht="15" customHeight="1" x14ac:dyDescent="0.25">
      <c r="A29" s="60"/>
      <c r="B29" s="60"/>
      <c r="C29" s="60"/>
      <c r="D29" s="60"/>
      <c r="E29" s="60"/>
      <c r="F29" s="60"/>
      <c r="G29" s="60"/>
      <c r="H29" s="60"/>
    </row>
    <row r="30" spans="1:9" ht="43.5" customHeight="1" x14ac:dyDescent="0.25"/>
    <row r="31" spans="1:9" ht="10.35" customHeight="1" x14ac:dyDescent="0.25"/>
    <row r="32" spans="1:9" ht="84" hidden="1" customHeight="1" x14ac:dyDescent="0.2"/>
  </sheetData>
  <mergeCells count="32">
    <mergeCell ref="A27:H27"/>
    <mergeCell ref="A28:H29"/>
    <mergeCell ref="A19:E19"/>
    <mergeCell ref="F19:H19"/>
    <mergeCell ref="A20:G20"/>
    <mergeCell ref="A22:G22"/>
    <mergeCell ref="A23:G23"/>
    <mergeCell ref="A25:H26"/>
    <mergeCell ref="A16:E16"/>
    <mergeCell ref="F16:H16"/>
    <mergeCell ref="A17:E17"/>
    <mergeCell ref="F17:H17"/>
    <mergeCell ref="A18:E18"/>
    <mergeCell ref="F18:H18"/>
    <mergeCell ref="A13:E13"/>
    <mergeCell ref="F13:H13"/>
    <mergeCell ref="A14:E14"/>
    <mergeCell ref="F14:H14"/>
    <mergeCell ref="A15:E15"/>
    <mergeCell ref="F15:H15"/>
    <mergeCell ref="A10:E10"/>
    <mergeCell ref="F10:H10"/>
    <mergeCell ref="A11:E11"/>
    <mergeCell ref="F11:H11"/>
    <mergeCell ref="A12:E12"/>
    <mergeCell ref="F12:H12"/>
    <mergeCell ref="A2:H3"/>
    <mergeCell ref="A4:G4"/>
    <mergeCell ref="A7:G7"/>
    <mergeCell ref="A8:G8"/>
    <mergeCell ref="A9:E9"/>
    <mergeCell ref="F9:H9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2"/>
  <sheetViews>
    <sheetView workbookViewId="0">
      <selection activeCell="F9" sqref="F9:H9"/>
    </sheetView>
  </sheetViews>
  <sheetFormatPr defaultColWidth="8.85546875" defaultRowHeight="15" x14ac:dyDescent="0.25"/>
  <cols>
    <col min="7" max="7" width="13.85546875" customWidth="1"/>
    <col min="8" max="8" width="25.42578125" customWidth="1"/>
    <col min="9" max="9" width="10.42578125" bestFit="1" customWidth="1"/>
  </cols>
  <sheetData>
    <row r="2" spans="1:9" x14ac:dyDescent="0.25">
      <c r="A2" s="75" t="s">
        <v>41</v>
      </c>
      <c r="B2" s="75"/>
      <c r="C2" s="75"/>
      <c r="D2" s="75"/>
      <c r="E2" s="75"/>
      <c r="F2" s="75"/>
      <c r="G2" s="75"/>
      <c r="H2" s="75"/>
    </row>
    <row r="3" spans="1:9" ht="58.5" customHeight="1" x14ac:dyDescent="0.25">
      <c r="A3" s="76"/>
      <c r="B3" s="76"/>
      <c r="C3" s="76"/>
      <c r="D3" s="76"/>
      <c r="E3" s="76"/>
      <c r="F3" s="76"/>
      <c r="G3" s="76"/>
      <c r="H3" s="76"/>
    </row>
    <row r="4" spans="1:9" ht="27.75" customHeight="1" x14ac:dyDescent="0.3">
      <c r="A4" s="77" t="s">
        <v>40</v>
      </c>
      <c r="B4" s="78"/>
      <c r="C4" s="78"/>
      <c r="D4" s="78"/>
      <c r="E4" s="78"/>
      <c r="F4" s="78"/>
      <c r="G4" s="78"/>
      <c r="H4" s="8">
        <f>'май 2017'!H23</f>
        <v>366963.82999999996</v>
      </c>
    </row>
    <row r="5" spans="1:9" ht="18" x14ac:dyDescent="0.2">
      <c r="A5" s="21"/>
      <c r="B5" s="22"/>
      <c r="C5" s="22"/>
      <c r="D5" s="22"/>
      <c r="E5" s="22"/>
      <c r="F5" s="22"/>
      <c r="G5" s="22"/>
      <c r="H5" s="6"/>
    </row>
    <row r="6" spans="1:9" ht="26.25" customHeight="1" x14ac:dyDescent="0.2">
      <c r="A6" s="21"/>
      <c r="B6" s="22"/>
      <c r="C6" s="22"/>
      <c r="D6" s="22"/>
      <c r="E6" s="22"/>
      <c r="F6" s="22"/>
      <c r="G6" s="22"/>
      <c r="H6" s="6"/>
    </row>
    <row r="7" spans="1:9" ht="15" customHeight="1" x14ac:dyDescent="0.3">
      <c r="A7" s="69" t="s">
        <v>43</v>
      </c>
      <c r="B7" s="70"/>
      <c r="C7" s="70"/>
      <c r="D7" s="70"/>
      <c r="E7" s="70"/>
      <c r="F7" s="70"/>
      <c r="G7" s="70"/>
      <c r="H7" s="2">
        <v>383137.56</v>
      </c>
    </row>
    <row r="8" spans="1:9" ht="39" customHeight="1" x14ac:dyDescent="0.3">
      <c r="A8" s="85" t="s">
        <v>0</v>
      </c>
      <c r="B8" s="86"/>
      <c r="C8" s="86"/>
      <c r="D8" s="86"/>
      <c r="E8" s="86"/>
      <c r="F8" s="86"/>
      <c r="G8" s="86"/>
      <c r="H8" s="2">
        <f>SUM(F9:H19)</f>
        <v>431634.23999999993</v>
      </c>
    </row>
    <row r="9" spans="1:9" ht="15" customHeight="1" x14ac:dyDescent="0.25">
      <c r="A9" s="92" t="s">
        <v>1</v>
      </c>
      <c r="B9" s="90"/>
      <c r="C9" s="90"/>
      <c r="D9" s="90"/>
      <c r="E9" s="91"/>
      <c r="F9" s="64">
        <f>186616.48</f>
        <v>186616.48</v>
      </c>
      <c r="G9" s="65"/>
      <c r="H9" s="66"/>
      <c r="I9" s="7"/>
    </row>
    <row r="10" spans="1:9" ht="15" customHeight="1" x14ac:dyDescent="0.25">
      <c r="A10" s="89" t="s">
        <v>2</v>
      </c>
      <c r="B10" s="90"/>
      <c r="C10" s="90"/>
      <c r="D10" s="90"/>
      <c r="E10" s="91"/>
      <c r="F10" s="64">
        <f>40908.07+2707.72</f>
        <v>43615.79</v>
      </c>
      <c r="G10" s="65"/>
      <c r="H10" s="66"/>
    </row>
    <row r="11" spans="1:9" ht="15" customHeight="1" x14ac:dyDescent="0.25">
      <c r="A11" s="61" t="s">
        <v>3</v>
      </c>
      <c r="B11" s="84"/>
      <c r="C11" s="84"/>
      <c r="D11" s="84"/>
      <c r="E11" s="84"/>
      <c r="F11" s="64">
        <f>1881.66+25447.51</f>
        <v>27329.17</v>
      </c>
      <c r="G11" s="65"/>
      <c r="H11" s="66"/>
    </row>
    <row r="12" spans="1:9" ht="15" customHeight="1" x14ac:dyDescent="0.25">
      <c r="A12" s="61" t="s">
        <v>4</v>
      </c>
      <c r="B12" s="84"/>
      <c r="C12" s="84"/>
      <c r="D12" s="84"/>
      <c r="E12" s="84"/>
      <c r="F12" s="64">
        <f>29228.87</f>
        <v>29228.87</v>
      </c>
      <c r="G12" s="65"/>
      <c r="H12" s="66"/>
    </row>
    <row r="13" spans="1:9" ht="15" customHeight="1" x14ac:dyDescent="0.25">
      <c r="A13" s="61" t="s">
        <v>5</v>
      </c>
      <c r="B13" s="84"/>
      <c r="C13" s="84"/>
      <c r="D13" s="84"/>
      <c r="E13" s="84"/>
      <c r="F13" s="64">
        <f>45747.75+6516.78</f>
        <v>52264.53</v>
      </c>
      <c r="G13" s="65"/>
      <c r="H13" s="66"/>
    </row>
    <row r="14" spans="1:9" ht="15" customHeight="1" x14ac:dyDescent="0.25">
      <c r="A14" s="61" t="s">
        <v>6</v>
      </c>
      <c r="B14" s="84"/>
      <c r="C14" s="84"/>
      <c r="D14" s="84"/>
      <c r="E14" s="84"/>
      <c r="F14" s="64">
        <v>3893.31</v>
      </c>
      <c r="G14" s="65"/>
      <c r="H14" s="66"/>
    </row>
    <row r="15" spans="1:9" ht="15" customHeight="1" x14ac:dyDescent="0.25">
      <c r="A15" s="61" t="s">
        <v>7</v>
      </c>
      <c r="B15" s="84"/>
      <c r="C15" s="84"/>
      <c r="D15" s="84"/>
      <c r="E15" s="84"/>
      <c r="F15" s="64"/>
      <c r="G15" s="65"/>
      <c r="H15" s="66"/>
    </row>
    <row r="16" spans="1:9" ht="15" customHeight="1" x14ac:dyDescent="0.25">
      <c r="A16" s="61" t="s">
        <v>9</v>
      </c>
      <c r="B16" s="84"/>
      <c r="C16" s="84"/>
      <c r="D16" s="84"/>
      <c r="E16" s="84"/>
      <c r="F16" s="64">
        <v>3421.23</v>
      </c>
      <c r="G16" s="65"/>
      <c r="H16" s="66"/>
    </row>
    <row r="17" spans="1:9" ht="15" customHeight="1" x14ac:dyDescent="0.25">
      <c r="A17" s="61" t="s">
        <v>10</v>
      </c>
      <c r="B17" s="87"/>
      <c r="C17" s="87"/>
      <c r="D17" s="87"/>
      <c r="E17" s="88"/>
      <c r="F17" s="64">
        <v>35099.599999999999</v>
      </c>
      <c r="G17" s="65"/>
      <c r="H17" s="66"/>
    </row>
    <row r="18" spans="1:9" ht="15" customHeight="1" x14ac:dyDescent="0.25">
      <c r="A18" s="61" t="s">
        <v>11</v>
      </c>
      <c r="B18" s="87"/>
      <c r="C18" s="87"/>
      <c r="D18" s="87"/>
      <c r="E18" s="88"/>
      <c r="F18" s="64"/>
      <c r="G18" s="65"/>
      <c r="H18" s="66"/>
    </row>
    <row r="19" spans="1:9" ht="15" customHeight="1" x14ac:dyDescent="0.25">
      <c r="A19" s="61" t="s">
        <v>8</v>
      </c>
      <c r="B19" s="84"/>
      <c r="C19" s="84"/>
      <c r="D19" s="84"/>
      <c r="E19" s="84"/>
      <c r="F19" s="64">
        <v>50165.26</v>
      </c>
      <c r="G19" s="65"/>
      <c r="H19" s="66"/>
      <c r="I19" s="7"/>
    </row>
    <row r="20" spans="1:9" ht="15" customHeight="1" x14ac:dyDescent="0.2">
      <c r="A20" s="85"/>
      <c r="B20" s="86"/>
      <c r="C20" s="86"/>
      <c r="D20" s="86"/>
      <c r="E20" s="86"/>
      <c r="F20" s="86"/>
      <c r="G20" s="86"/>
      <c r="H20" s="2"/>
      <c r="I20" s="7"/>
    </row>
    <row r="21" spans="1:9" ht="15" customHeight="1" x14ac:dyDescent="0.25">
      <c r="A21" s="21"/>
      <c r="B21" s="22"/>
      <c r="C21" s="22"/>
      <c r="D21" s="22"/>
      <c r="E21" s="22"/>
      <c r="F21" s="3"/>
      <c r="G21" s="3"/>
      <c r="H21" s="2"/>
    </row>
    <row r="22" spans="1:9" ht="15" customHeight="1" x14ac:dyDescent="0.2">
      <c r="A22" s="69"/>
      <c r="B22" s="70"/>
      <c r="C22" s="70"/>
      <c r="D22" s="70"/>
      <c r="E22" s="70"/>
      <c r="F22" s="70"/>
      <c r="G22" s="70"/>
      <c r="H22" s="2"/>
    </row>
    <row r="23" spans="1:9" ht="15" customHeight="1" x14ac:dyDescent="0.3">
      <c r="A23" s="71" t="s">
        <v>42</v>
      </c>
      <c r="B23" s="72"/>
      <c r="C23" s="72"/>
      <c r="D23" s="72"/>
      <c r="E23" s="72"/>
      <c r="F23" s="72"/>
      <c r="G23" s="72"/>
      <c r="H23" s="4">
        <f>718675.43-H7</f>
        <v>335537.87000000005</v>
      </c>
    </row>
    <row r="24" spans="1:9" ht="15" customHeight="1" x14ac:dyDescent="0.2">
      <c r="A24" s="1"/>
      <c r="B24" s="1"/>
      <c r="C24" s="1"/>
      <c r="D24" s="1"/>
      <c r="E24" s="1"/>
      <c r="F24" s="1"/>
      <c r="G24" s="5"/>
      <c r="H24" s="5"/>
    </row>
    <row r="25" spans="1:9" ht="36.75" customHeight="1" x14ac:dyDescent="0.25">
      <c r="A25" s="73" t="s">
        <v>44</v>
      </c>
      <c r="B25" s="73"/>
      <c r="C25" s="73"/>
      <c r="D25" s="73"/>
      <c r="E25" s="73"/>
      <c r="F25" s="73"/>
      <c r="G25" s="73"/>
      <c r="H25" s="73"/>
    </row>
    <row r="26" spans="1:9" ht="15" customHeight="1" x14ac:dyDescent="0.25">
      <c r="A26" s="73"/>
      <c r="B26" s="73"/>
      <c r="C26" s="73"/>
      <c r="D26" s="73"/>
      <c r="E26" s="73"/>
      <c r="F26" s="73"/>
      <c r="G26" s="73"/>
      <c r="H26" s="73"/>
    </row>
    <row r="27" spans="1:9" ht="21" customHeight="1" x14ac:dyDescent="0.25">
      <c r="A27" s="59"/>
      <c r="B27" s="59"/>
      <c r="C27" s="59"/>
      <c r="D27" s="59"/>
      <c r="E27" s="59"/>
      <c r="F27" s="59"/>
      <c r="G27" s="59"/>
      <c r="H27" s="59"/>
    </row>
    <row r="28" spans="1:9" ht="22.5" customHeight="1" x14ac:dyDescent="0.25">
      <c r="A28" s="60" t="s">
        <v>12</v>
      </c>
      <c r="B28" s="60"/>
      <c r="C28" s="60"/>
      <c r="D28" s="60"/>
      <c r="E28" s="60"/>
      <c r="F28" s="60"/>
      <c r="G28" s="60"/>
      <c r="H28" s="60"/>
    </row>
    <row r="29" spans="1:9" ht="15" customHeight="1" x14ac:dyDescent="0.25">
      <c r="A29" s="60"/>
      <c r="B29" s="60"/>
      <c r="C29" s="60"/>
      <c r="D29" s="60"/>
      <c r="E29" s="60"/>
      <c r="F29" s="60"/>
      <c r="G29" s="60"/>
      <c r="H29" s="60"/>
    </row>
    <row r="30" spans="1:9" ht="43.5" customHeight="1" x14ac:dyDescent="0.25"/>
    <row r="31" spans="1:9" ht="10.35" customHeight="1" x14ac:dyDescent="0.25"/>
    <row r="32" spans="1:9" ht="84" hidden="1" customHeight="1" x14ac:dyDescent="0.2"/>
  </sheetData>
  <mergeCells count="32">
    <mergeCell ref="A27:H27"/>
    <mergeCell ref="A28:H29"/>
    <mergeCell ref="A19:E19"/>
    <mergeCell ref="F19:H19"/>
    <mergeCell ref="A20:G20"/>
    <mergeCell ref="A22:G22"/>
    <mergeCell ref="A23:G23"/>
    <mergeCell ref="A25:H26"/>
    <mergeCell ref="A16:E16"/>
    <mergeCell ref="F16:H16"/>
    <mergeCell ref="A17:E17"/>
    <mergeCell ref="F17:H17"/>
    <mergeCell ref="A18:E18"/>
    <mergeCell ref="F18:H18"/>
    <mergeCell ref="A13:E13"/>
    <mergeCell ref="F13:H13"/>
    <mergeCell ref="A14:E14"/>
    <mergeCell ref="F14:H14"/>
    <mergeCell ref="A15:E15"/>
    <mergeCell ref="F15:H15"/>
    <mergeCell ref="A10:E10"/>
    <mergeCell ref="F10:H10"/>
    <mergeCell ref="A11:E11"/>
    <mergeCell ref="F11:H11"/>
    <mergeCell ref="A12:E12"/>
    <mergeCell ref="F12:H12"/>
    <mergeCell ref="A2:H3"/>
    <mergeCell ref="A4:G4"/>
    <mergeCell ref="A7:G7"/>
    <mergeCell ref="A8:G8"/>
    <mergeCell ref="A9:E9"/>
    <mergeCell ref="F9:H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2"/>
  <sheetViews>
    <sheetView workbookViewId="0">
      <selection activeCell="H23" sqref="H23"/>
    </sheetView>
  </sheetViews>
  <sheetFormatPr defaultColWidth="8.85546875" defaultRowHeight="15" x14ac:dyDescent="0.25"/>
  <cols>
    <col min="7" max="7" width="13.85546875" customWidth="1"/>
    <col min="8" max="8" width="25.42578125" customWidth="1"/>
    <col min="9" max="9" width="10.42578125" bestFit="1" customWidth="1"/>
  </cols>
  <sheetData>
    <row r="2" spans="1:9" ht="15" customHeight="1" x14ac:dyDescent="0.25">
      <c r="A2" s="75" t="s">
        <v>114</v>
      </c>
      <c r="B2" s="75"/>
      <c r="C2" s="75"/>
      <c r="D2" s="75"/>
      <c r="E2" s="75"/>
      <c r="F2" s="75"/>
      <c r="G2" s="75"/>
      <c r="H2" s="75"/>
    </row>
    <row r="3" spans="1:9" ht="58.5" customHeight="1" x14ac:dyDescent="0.25">
      <c r="A3" s="76"/>
      <c r="B3" s="76"/>
      <c r="C3" s="76"/>
      <c r="D3" s="76"/>
      <c r="E3" s="76"/>
      <c r="F3" s="76"/>
      <c r="G3" s="76"/>
      <c r="H3" s="76"/>
    </row>
    <row r="4" spans="1:9" ht="27.75" customHeight="1" x14ac:dyDescent="0.3">
      <c r="A4" s="77" t="s">
        <v>115</v>
      </c>
      <c r="B4" s="78"/>
      <c r="C4" s="78"/>
      <c r="D4" s="78"/>
      <c r="E4" s="78"/>
      <c r="F4" s="78"/>
      <c r="G4" s="78"/>
      <c r="H4" s="8">
        <f>'октябрь 2018'!H23</f>
        <v>368103.35000000003</v>
      </c>
    </row>
    <row r="5" spans="1:9" ht="18" x14ac:dyDescent="0.2">
      <c r="A5" s="55"/>
      <c r="B5" s="56"/>
      <c r="C5" s="56"/>
      <c r="D5" s="56"/>
      <c r="E5" s="56"/>
      <c r="F5" s="56"/>
      <c r="G5" s="56"/>
      <c r="H5" s="6"/>
    </row>
    <row r="6" spans="1:9" ht="26.25" customHeight="1" x14ac:dyDescent="0.2">
      <c r="A6" s="55"/>
      <c r="B6" s="56"/>
      <c r="C6" s="56"/>
      <c r="D6" s="56"/>
      <c r="E6" s="56"/>
      <c r="F6" s="56"/>
      <c r="G6" s="56"/>
      <c r="H6" s="6"/>
    </row>
    <row r="7" spans="1:9" ht="15" customHeight="1" x14ac:dyDescent="0.3">
      <c r="A7" s="69" t="s">
        <v>116</v>
      </c>
      <c r="B7" s="70"/>
      <c r="C7" s="70"/>
      <c r="D7" s="70"/>
      <c r="E7" s="70"/>
      <c r="F7" s="70"/>
      <c r="G7" s="70"/>
      <c r="H7" s="2">
        <v>644963.37</v>
      </c>
    </row>
    <row r="8" spans="1:9" ht="39" customHeight="1" x14ac:dyDescent="0.3">
      <c r="A8" s="79" t="s">
        <v>0</v>
      </c>
      <c r="B8" s="80"/>
      <c r="C8" s="80"/>
      <c r="D8" s="80"/>
      <c r="E8" s="80"/>
      <c r="F8" s="80"/>
      <c r="G8" s="80"/>
      <c r="H8" s="2">
        <f>SUM(F9:H19)</f>
        <v>520611.87</v>
      </c>
    </row>
    <row r="9" spans="1:9" ht="15" customHeight="1" x14ac:dyDescent="0.25">
      <c r="A9" s="81" t="s">
        <v>1</v>
      </c>
      <c r="B9" s="82"/>
      <c r="C9" s="82"/>
      <c r="D9" s="82"/>
      <c r="E9" s="83"/>
      <c r="F9" s="64">
        <v>210742.33</v>
      </c>
      <c r="G9" s="65"/>
      <c r="H9" s="66"/>
      <c r="I9" s="7"/>
    </row>
    <row r="10" spans="1:9" ht="15" customHeight="1" x14ac:dyDescent="0.25">
      <c r="A10" s="74" t="s">
        <v>2</v>
      </c>
      <c r="B10" s="62"/>
      <c r="C10" s="62"/>
      <c r="D10" s="62"/>
      <c r="E10" s="63"/>
      <c r="F10" s="64">
        <v>48061.32</v>
      </c>
      <c r="G10" s="65"/>
      <c r="H10" s="66"/>
    </row>
    <row r="11" spans="1:9" ht="15" customHeight="1" x14ac:dyDescent="0.25">
      <c r="A11" s="61" t="s">
        <v>3</v>
      </c>
      <c r="B11" s="62"/>
      <c r="C11" s="62"/>
      <c r="D11" s="62"/>
      <c r="E11" s="63"/>
      <c r="F11" s="64">
        <v>27979.83</v>
      </c>
      <c r="G11" s="65"/>
      <c r="H11" s="66"/>
    </row>
    <row r="12" spans="1:9" ht="15" customHeight="1" x14ac:dyDescent="0.25">
      <c r="A12" s="61" t="s">
        <v>4</v>
      </c>
      <c r="B12" s="62"/>
      <c r="C12" s="62"/>
      <c r="D12" s="62"/>
      <c r="E12" s="63"/>
      <c r="F12" s="64">
        <v>35476.910000000003</v>
      </c>
      <c r="G12" s="65"/>
      <c r="H12" s="66"/>
    </row>
    <row r="13" spans="1:9" ht="15" customHeight="1" x14ac:dyDescent="0.25">
      <c r="A13" s="61" t="s">
        <v>5</v>
      </c>
      <c r="B13" s="62"/>
      <c r="C13" s="62"/>
      <c r="D13" s="62"/>
      <c r="E13" s="63"/>
      <c r="F13" s="64">
        <v>59615.68</v>
      </c>
      <c r="G13" s="65"/>
      <c r="H13" s="66"/>
    </row>
    <row r="14" spans="1:9" ht="15" customHeight="1" x14ac:dyDescent="0.25">
      <c r="A14" s="61" t="s">
        <v>6</v>
      </c>
      <c r="B14" s="62"/>
      <c r="C14" s="62"/>
      <c r="D14" s="62"/>
      <c r="E14" s="63"/>
      <c r="F14" s="64">
        <v>4254.2700000000004</v>
      </c>
      <c r="G14" s="65"/>
      <c r="H14" s="66"/>
    </row>
    <row r="15" spans="1:9" ht="15" customHeight="1" x14ac:dyDescent="0.25">
      <c r="A15" s="61" t="s">
        <v>7</v>
      </c>
      <c r="B15" s="62"/>
      <c r="C15" s="62"/>
      <c r="D15" s="62"/>
      <c r="E15" s="63"/>
      <c r="F15" s="64"/>
      <c r="G15" s="65"/>
      <c r="H15" s="66"/>
    </row>
    <row r="16" spans="1:9" ht="15" customHeight="1" x14ac:dyDescent="0.25">
      <c r="A16" s="61" t="s">
        <v>9</v>
      </c>
      <c r="B16" s="62"/>
      <c r="C16" s="62"/>
      <c r="D16" s="62"/>
      <c r="E16" s="63"/>
      <c r="F16" s="64">
        <v>4248.9399999999996</v>
      </c>
      <c r="G16" s="65"/>
      <c r="H16" s="66"/>
    </row>
    <row r="17" spans="1:9" ht="15" customHeight="1" x14ac:dyDescent="0.25">
      <c r="A17" s="61" t="s">
        <v>10</v>
      </c>
      <c r="B17" s="62"/>
      <c r="C17" s="62"/>
      <c r="D17" s="62"/>
      <c r="E17" s="63"/>
      <c r="F17" s="64">
        <v>34767.99</v>
      </c>
      <c r="G17" s="65"/>
      <c r="H17" s="66"/>
    </row>
    <row r="18" spans="1:9" ht="15" customHeight="1" x14ac:dyDescent="0.25">
      <c r="A18" s="61" t="s">
        <v>11</v>
      </c>
      <c r="B18" s="62"/>
      <c r="C18" s="62"/>
      <c r="D18" s="62"/>
      <c r="E18" s="63"/>
      <c r="F18" s="64"/>
      <c r="G18" s="65"/>
      <c r="H18" s="66"/>
    </row>
    <row r="19" spans="1:9" ht="15" customHeight="1" x14ac:dyDescent="0.25">
      <c r="A19" s="61" t="s">
        <v>8</v>
      </c>
      <c r="B19" s="62"/>
      <c r="C19" s="62"/>
      <c r="D19" s="62"/>
      <c r="E19" s="63"/>
      <c r="F19" s="64">
        <v>95464.6</v>
      </c>
      <c r="G19" s="65"/>
      <c r="H19" s="66"/>
      <c r="I19" s="7"/>
    </row>
    <row r="20" spans="1:9" ht="15" customHeight="1" x14ac:dyDescent="0.2">
      <c r="A20" s="67"/>
      <c r="B20" s="68"/>
      <c r="C20" s="68"/>
      <c r="D20" s="68"/>
      <c r="E20" s="68"/>
      <c r="F20" s="68"/>
      <c r="G20" s="68"/>
      <c r="H20" s="2"/>
      <c r="I20" s="7"/>
    </row>
    <row r="21" spans="1:9" ht="15" customHeight="1" x14ac:dyDescent="0.25">
      <c r="A21" s="55"/>
      <c r="B21" s="56"/>
      <c r="C21" s="56"/>
      <c r="D21" s="56"/>
      <c r="E21" s="56"/>
      <c r="F21" s="3"/>
      <c r="G21" s="3"/>
      <c r="H21" s="2"/>
    </row>
    <row r="22" spans="1:9" ht="15" customHeight="1" x14ac:dyDescent="0.2">
      <c r="A22" s="69"/>
      <c r="B22" s="70"/>
      <c r="C22" s="70"/>
      <c r="D22" s="70"/>
      <c r="E22" s="70"/>
      <c r="F22" s="70"/>
      <c r="G22" s="70"/>
      <c r="H22" s="2"/>
    </row>
    <row r="23" spans="1:9" ht="15" customHeight="1" x14ac:dyDescent="0.3">
      <c r="A23" s="71" t="s">
        <v>117</v>
      </c>
      <c r="B23" s="72"/>
      <c r="C23" s="72"/>
      <c r="D23" s="72"/>
      <c r="E23" s="72"/>
      <c r="F23" s="72"/>
      <c r="G23" s="72"/>
      <c r="H23" s="4">
        <f>1004989.14-H7</f>
        <v>360025.77</v>
      </c>
    </row>
    <row r="24" spans="1:9" ht="15" customHeight="1" x14ac:dyDescent="0.2">
      <c r="A24" s="1"/>
      <c r="B24" s="1"/>
      <c r="C24" s="1"/>
      <c r="D24" s="1"/>
      <c r="E24" s="1"/>
      <c r="F24" s="1"/>
      <c r="G24" s="5"/>
      <c r="H24" s="5"/>
    </row>
    <row r="25" spans="1:9" ht="36.75" customHeight="1" x14ac:dyDescent="0.25">
      <c r="A25" s="73" t="s">
        <v>26</v>
      </c>
      <c r="B25" s="73"/>
      <c r="C25" s="73"/>
      <c r="D25" s="73"/>
      <c r="E25" s="73"/>
      <c r="F25" s="73"/>
      <c r="G25" s="73"/>
      <c r="H25" s="73"/>
    </row>
    <row r="26" spans="1:9" ht="15" customHeight="1" x14ac:dyDescent="0.25">
      <c r="A26" s="73"/>
      <c r="B26" s="73"/>
      <c r="C26" s="73"/>
      <c r="D26" s="73"/>
      <c r="E26" s="73"/>
      <c r="F26" s="73"/>
      <c r="G26" s="73"/>
      <c r="H26" s="73"/>
    </row>
    <row r="27" spans="1:9" ht="21" customHeight="1" x14ac:dyDescent="0.25">
      <c r="A27" s="59"/>
      <c r="B27" s="59"/>
      <c r="C27" s="59"/>
      <c r="D27" s="59"/>
      <c r="E27" s="59"/>
      <c r="F27" s="59"/>
      <c r="G27" s="59"/>
      <c r="H27" s="59"/>
    </row>
    <row r="28" spans="1:9" ht="22.5" customHeight="1" x14ac:dyDescent="0.25">
      <c r="A28" s="60" t="s">
        <v>101</v>
      </c>
      <c r="B28" s="60"/>
      <c r="C28" s="60"/>
      <c r="D28" s="60"/>
      <c r="E28" s="60"/>
      <c r="F28" s="60"/>
      <c r="G28" s="60"/>
      <c r="H28" s="60"/>
    </row>
    <row r="29" spans="1:9" ht="15" customHeight="1" x14ac:dyDescent="0.25">
      <c r="A29" s="60"/>
      <c r="B29" s="60"/>
      <c r="C29" s="60"/>
      <c r="D29" s="60"/>
      <c r="E29" s="60"/>
      <c r="F29" s="60"/>
      <c r="G29" s="60"/>
      <c r="H29" s="60"/>
    </row>
    <row r="30" spans="1:9" ht="43.5" customHeight="1" x14ac:dyDescent="0.25"/>
    <row r="31" spans="1:9" ht="10.35" customHeight="1" x14ac:dyDescent="0.25"/>
    <row r="32" spans="1:9" ht="84" hidden="1" customHeight="1" x14ac:dyDescent="0.2"/>
  </sheetData>
  <mergeCells count="32">
    <mergeCell ref="A2:H3"/>
    <mergeCell ref="A4:G4"/>
    <mergeCell ref="A7:G7"/>
    <mergeCell ref="A8:G8"/>
    <mergeCell ref="A9:E9"/>
    <mergeCell ref="F9:H9"/>
    <mergeCell ref="A10:E10"/>
    <mergeCell ref="F10:H10"/>
    <mergeCell ref="A11:E11"/>
    <mergeCell ref="F11:H11"/>
    <mergeCell ref="A12:E12"/>
    <mergeCell ref="F12:H12"/>
    <mergeCell ref="A13:E13"/>
    <mergeCell ref="F13:H13"/>
    <mergeCell ref="A14:E14"/>
    <mergeCell ref="F14:H14"/>
    <mergeCell ref="A15:E15"/>
    <mergeCell ref="F15:H15"/>
    <mergeCell ref="A16:E16"/>
    <mergeCell ref="F16:H16"/>
    <mergeCell ref="A17:E17"/>
    <mergeCell ref="F17:H17"/>
    <mergeCell ref="A18:E18"/>
    <mergeCell ref="F18:H18"/>
    <mergeCell ref="A27:H27"/>
    <mergeCell ref="A28:H29"/>
    <mergeCell ref="A19:E19"/>
    <mergeCell ref="F19:H19"/>
    <mergeCell ref="A20:G20"/>
    <mergeCell ref="A22:G22"/>
    <mergeCell ref="A23:G23"/>
    <mergeCell ref="A25:H26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2"/>
  <sheetViews>
    <sheetView workbookViewId="0">
      <selection activeCell="J16" sqref="J16"/>
    </sheetView>
  </sheetViews>
  <sheetFormatPr defaultColWidth="8.85546875" defaultRowHeight="15" x14ac:dyDescent="0.25"/>
  <cols>
    <col min="7" max="7" width="13.85546875" customWidth="1"/>
    <col min="8" max="8" width="25.42578125" customWidth="1"/>
    <col min="9" max="9" width="10.42578125" bestFit="1" customWidth="1"/>
  </cols>
  <sheetData>
    <row r="2" spans="1:9" x14ac:dyDescent="0.25">
      <c r="A2" s="75" t="s">
        <v>35</v>
      </c>
      <c r="B2" s="75"/>
      <c r="C2" s="75"/>
      <c r="D2" s="75"/>
      <c r="E2" s="75"/>
      <c r="F2" s="75"/>
      <c r="G2" s="75"/>
      <c r="H2" s="75"/>
    </row>
    <row r="3" spans="1:9" ht="58.5" customHeight="1" x14ac:dyDescent="0.25">
      <c r="A3" s="76"/>
      <c r="B3" s="76"/>
      <c r="C3" s="76"/>
      <c r="D3" s="76"/>
      <c r="E3" s="76"/>
      <c r="F3" s="76"/>
      <c r="G3" s="76"/>
      <c r="H3" s="76"/>
    </row>
    <row r="4" spans="1:9" ht="27.75" customHeight="1" x14ac:dyDescent="0.3">
      <c r="A4" s="77" t="s">
        <v>36</v>
      </c>
      <c r="B4" s="78"/>
      <c r="C4" s="78"/>
      <c r="D4" s="78"/>
      <c r="E4" s="78"/>
      <c r="F4" s="78"/>
      <c r="G4" s="78"/>
      <c r="H4" s="8">
        <f>'апрель 2017'!H23</f>
        <v>555632.26</v>
      </c>
    </row>
    <row r="5" spans="1:9" ht="18" x14ac:dyDescent="0.2">
      <c r="A5" s="19"/>
      <c r="B5" s="20"/>
      <c r="C5" s="20"/>
      <c r="D5" s="20"/>
      <c r="E5" s="20"/>
      <c r="F5" s="20"/>
      <c r="G5" s="20"/>
      <c r="H5" s="6"/>
    </row>
    <row r="6" spans="1:9" ht="26.25" customHeight="1" x14ac:dyDescent="0.2">
      <c r="A6" s="19"/>
      <c r="B6" s="20"/>
      <c r="C6" s="20"/>
      <c r="D6" s="20"/>
      <c r="E6" s="20"/>
      <c r="F6" s="20"/>
      <c r="G6" s="20"/>
      <c r="H6" s="6"/>
    </row>
    <row r="7" spans="1:9" ht="15" customHeight="1" x14ac:dyDescent="0.3">
      <c r="A7" s="69" t="s">
        <v>37</v>
      </c>
      <c r="B7" s="70"/>
      <c r="C7" s="70"/>
      <c r="D7" s="70"/>
      <c r="E7" s="70"/>
      <c r="F7" s="70"/>
      <c r="G7" s="70"/>
      <c r="H7" s="2">
        <v>400208.28</v>
      </c>
    </row>
    <row r="8" spans="1:9" ht="39" customHeight="1" x14ac:dyDescent="0.3">
      <c r="A8" s="85" t="s">
        <v>0</v>
      </c>
      <c r="B8" s="86"/>
      <c r="C8" s="86"/>
      <c r="D8" s="86"/>
      <c r="E8" s="86"/>
      <c r="F8" s="86"/>
      <c r="G8" s="86"/>
      <c r="H8" s="2">
        <f>SUM(F9:H19)</f>
        <v>741936.35</v>
      </c>
    </row>
    <row r="9" spans="1:9" ht="15" customHeight="1" x14ac:dyDescent="0.25">
      <c r="A9" s="92" t="s">
        <v>1</v>
      </c>
      <c r="B9" s="90"/>
      <c r="C9" s="90"/>
      <c r="D9" s="90"/>
      <c r="E9" s="91"/>
      <c r="F9" s="64">
        <f>241948.72</f>
        <v>241948.72</v>
      </c>
      <c r="G9" s="65"/>
      <c r="H9" s="66"/>
      <c r="I9" s="7"/>
    </row>
    <row r="10" spans="1:9" ht="15" customHeight="1" x14ac:dyDescent="0.25">
      <c r="A10" s="89" t="s">
        <v>2</v>
      </c>
      <c r="B10" s="90"/>
      <c r="C10" s="90"/>
      <c r="D10" s="90"/>
      <c r="E10" s="91"/>
      <c r="F10" s="64">
        <f>74765.76+3088.66</f>
        <v>77854.42</v>
      </c>
      <c r="G10" s="65"/>
      <c r="H10" s="66"/>
    </row>
    <row r="11" spans="1:9" ht="15" customHeight="1" x14ac:dyDescent="0.25">
      <c r="A11" s="61" t="s">
        <v>3</v>
      </c>
      <c r="B11" s="84"/>
      <c r="C11" s="84"/>
      <c r="D11" s="84"/>
      <c r="E11" s="84"/>
      <c r="F11" s="64">
        <f>46314.02+2146.4</f>
        <v>48460.42</v>
      </c>
      <c r="G11" s="65"/>
      <c r="H11" s="66"/>
    </row>
    <row r="12" spans="1:9" ht="15" customHeight="1" x14ac:dyDescent="0.25">
      <c r="A12" s="61" t="s">
        <v>4</v>
      </c>
      <c r="B12" s="84"/>
      <c r="C12" s="84"/>
      <c r="D12" s="84"/>
      <c r="E12" s="84"/>
      <c r="F12" s="64">
        <v>52996.89</v>
      </c>
      <c r="G12" s="65"/>
      <c r="H12" s="66"/>
    </row>
    <row r="13" spans="1:9" ht="15" customHeight="1" x14ac:dyDescent="0.25">
      <c r="A13" s="61" t="s">
        <v>5</v>
      </c>
      <c r="B13" s="84"/>
      <c r="C13" s="84"/>
      <c r="D13" s="84"/>
      <c r="E13" s="84"/>
      <c r="F13" s="64">
        <f>50225.72+7433.6</f>
        <v>57659.32</v>
      </c>
      <c r="G13" s="65"/>
      <c r="H13" s="66"/>
    </row>
    <row r="14" spans="1:9" ht="15" customHeight="1" x14ac:dyDescent="0.25">
      <c r="A14" s="61" t="s">
        <v>6</v>
      </c>
      <c r="B14" s="84"/>
      <c r="C14" s="84"/>
      <c r="D14" s="84"/>
      <c r="E14" s="84"/>
      <c r="F14" s="64">
        <v>4974.84</v>
      </c>
      <c r="G14" s="65"/>
      <c r="H14" s="66"/>
    </row>
    <row r="15" spans="1:9" ht="15" customHeight="1" x14ac:dyDescent="0.25">
      <c r="A15" s="61" t="s">
        <v>7</v>
      </c>
      <c r="B15" s="84"/>
      <c r="C15" s="84"/>
      <c r="D15" s="84"/>
      <c r="E15" s="84"/>
      <c r="F15" s="64"/>
      <c r="G15" s="65"/>
      <c r="H15" s="66"/>
    </row>
    <row r="16" spans="1:9" ht="15" customHeight="1" x14ac:dyDescent="0.25">
      <c r="A16" s="61" t="s">
        <v>9</v>
      </c>
      <c r="B16" s="84"/>
      <c r="C16" s="84"/>
      <c r="D16" s="84"/>
      <c r="E16" s="84"/>
      <c r="F16" s="64">
        <v>4535.93</v>
      </c>
      <c r="G16" s="65"/>
      <c r="H16" s="66"/>
    </row>
    <row r="17" spans="1:9" ht="15" customHeight="1" x14ac:dyDescent="0.25">
      <c r="A17" s="61" t="s">
        <v>10</v>
      </c>
      <c r="B17" s="87"/>
      <c r="C17" s="87"/>
      <c r="D17" s="87"/>
      <c r="E17" s="88"/>
      <c r="F17" s="64">
        <v>46221.69</v>
      </c>
      <c r="G17" s="65"/>
      <c r="H17" s="66"/>
    </row>
    <row r="18" spans="1:9" ht="15" customHeight="1" x14ac:dyDescent="0.25">
      <c r="A18" s="61" t="s">
        <v>11</v>
      </c>
      <c r="B18" s="87"/>
      <c r="C18" s="87"/>
      <c r="D18" s="87"/>
      <c r="E18" s="88"/>
      <c r="F18" s="64"/>
      <c r="G18" s="65"/>
      <c r="H18" s="66"/>
    </row>
    <row r="19" spans="1:9" ht="15" customHeight="1" x14ac:dyDescent="0.25">
      <c r="A19" s="61" t="s">
        <v>8</v>
      </c>
      <c r="B19" s="84"/>
      <c r="C19" s="84"/>
      <c r="D19" s="84"/>
      <c r="E19" s="84"/>
      <c r="F19" s="64">
        <v>207284.12</v>
      </c>
      <c r="G19" s="65"/>
      <c r="H19" s="66"/>
      <c r="I19" s="7"/>
    </row>
    <row r="20" spans="1:9" ht="15" customHeight="1" x14ac:dyDescent="0.2">
      <c r="A20" s="85"/>
      <c r="B20" s="86"/>
      <c r="C20" s="86"/>
      <c r="D20" s="86"/>
      <c r="E20" s="86"/>
      <c r="F20" s="86"/>
      <c r="G20" s="86"/>
      <c r="H20" s="2"/>
      <c r="I20" s="7"/>
    </row>
    <row r="21" spans="1:9" ht="15" customHeight="1" x14ac:dyDescent="0.25">
      <c r="A21" s="19"/>
      <c r="B21" s="20"/>
      <c r="C21" s="20"/>
      <c r="D21" s="20"/>
      <c r="E21" s="20"/>
      <c r="F21" s="3"/>
      <c r="G21" s="3"/>
      <c r="H21" s="2"/>
    </row>
    <row r="22" spans="1:9" ht="15" customHeight="1" x14ac:dyDescent="0.2">
      <c r="A22" s="69"/>
      <c r="B22" s="70"/>
      <c r="C22" s="70"/>
      <c r="D22" s="70"/>
      <c r="E22" s="70"/>
      <c r="F22" s="70"/>
      <c r="G22" s="70"/>
      <c r="H22" s="2"/>
    </row>
    <row r="23" spans="1:9" ht="15" customHeight="1" x14ac:dyDescent="0.3">
      <c r="A23" s="71" t="s">
        <v>38</v>
      </c>
      <c r="B23" s="72"/>
      <c r="C23" s="72"/>
      <c r="D23" s="72"/>
      <c r="E23" s="72"/>
      <c r="F23" s="72"/>
      <c r="G23" s="72"/>
      <c r="H23" s="4">
        <f>767172.11-H7</f>
        <v>366963.82999999996</v>
      </c>
    </row>
    <row r="24" spans="1:9" ht="15" customHeight="1" x14ac:dyDescent="0.2">
      <c r="A24" s="1"/>
      <c r="B24" s="1"/>
      <c r="C24" s="1"/>
      <c r="D24" s="1"/>
      <c r="E24" s="1"/>
      <c r="F24" s="1"/>
      <c r="G24" s="5"/>
      <c r="H24" s="5"/>
    </row>
    <row r="25" spans="1:9" ht="36.75" customHeight="1" x14ac:dyDescent="0.25">
      <c r="A25" s="73" t="s">
        <v>39</v>
      </c>
      <c r="B25" s="73"/>
      <c r="C25" s="73"/>
      <c r="D25" s="73"/>
      <c r="E25" s="73"/>
      <c r="F25" s="73"/>
      <c r="G25" s="73"/>
      <c r="H25" s="73"/>
    </row>
    <row r="26" spans="1:9" ht="15" customHeight="1" x14ac:dyDescent="0.25">
      <c r="A26" s="73"/>
      <c r="B26" s="73"/>
      <c r="C26" s="73"/>
      <c r="D26" s="73"/>
      <c r="E26" s="73"/>
      <c r="F26" s="73"/>
      <c r="G26" s="73"/>
      <c r="H26" s="73"/>
    </row>
    <row r="27" spans="1:9" ht="21" customHeight="1" x14ac:dyDescent="0.25">
      <c r="A27" s="59"/>
      <c r="B27" s="59"/>
      <c r="C27" s="59"/>
      <c r="D27" s="59"/>
      <c r="E27" s="59"/>
      <c r="F27" s="59"/>
      <c r="G27" s="59"/>
      <c r="H27" s="59"/>
    </row>
    <row r="28" spans="1:9" ht="22.5" customHeight="1" x14ac:dyDescent="0.25">
      <c r="A28" s="60" t="s">
        <v>12</v>
      </c>
      <c r="B28" s="60"/>
      <c r="C28" s="60"/>
      <c r="D28" s="60"/>
      <c r="E28" s="60"/>
      <c r="F28" s="60"/>
      <c r="G28" s="60"/>
      <c r="H28" s="60"/>
    </row>
    <row r="29" spans="1:9" ht="15" customHeight="1" x14ac:dyDescent="0.25">
      <c r="A29" s="60"/>
      <c r="B29" s="60"/>
      <c r="C29" s="60"/>
      <c r="D29" s="60"/>
      <c r="E29" s="60"/>
      <c r="F29" s="60"/>
      <c r="G29" s="60"/>
      <c r="H29" s="60"/>
    </row>
    <row r="30" spans="1:9" ht="43.5" customHeight="1" x14ac:dyDescent="0.25"/>
    <row r="31" spans="1:9" ht="10.35" customHeight="1" x14ac:dyDescent="0.25"/>
    <row r="32" spans="1:9" ht="84" hidden="1" customHeight="1" x14ac:dyDescent="0.2"/>
  </sheetData>
  <mergeCells count="32">
    <mergeCell ref="A27:H27"/>
    <mergeCell ref="A28:H29"/>
    <mergeCell ref="A19:E19"/>
    <mergeCell ref="F19:H19"/>
    <mergeCell ref="A20:G20"/>
    <mergeCell ref="A22:G22"/>
    <mergeCell ref="A23:G23"/>
    <mergeCell ref="A25:H26"/>
    <mergeCell ref="A16:E16"/>
    <mergeCell ref="F16:H16"/>
    <mergeCell ref="A17:E17"/>
    <mergeCell ref="F17:H17"/>
    <mergeCell ref="A18:E18"/>
    <mergeCell ref="F18:H18"/>
    <mergeCell ref="A13:E13"/>
    <mergeCell ref="F13:H13"/>
    <mergeCell ref="A14:E14"/>
    <mergeCell ref="F14:H14"/>
    <mergeCell ref="A15:E15"/>
    <mergeCell ref="F15:H15"/>
    <mergeCell ref="A10:E10"/>
    <mergeCell ref="F10:H10"/>
    <mergeCell ref="A11:E11"/>
    <mergeCell ref="F11:H11"/>
    <mergeCell ref="A12:E12"/>
    <mergeCell ref="F12:H12"/>
    <mergeCell ref="A2:H3"/>
    <mergeCell ref="A4:G4"/>
    <mergeCell ref="A7:G7"/>
    <mergeCell ref="A8:G8"/>
    <mergeCell ref="A9:E9"/>
    <mergeCell ref="F9:H9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2"/>
  <sheetViews>
    <sheetView workbookViewId="0">
      <selection activeCell="A25" sqref="A25:H26"/>
    </sheetView>
  </sheetViews>
  <sheetFormatPr defaultColWidth="8.85546875" defaultRowHeight="15" x14ac:dyDescent="0.25"/>
  <cols>
    <col min="7" max="7" width="13.85546875" customWidth="1"/>
    <col min="8" max="8" width="25.42578125" customWidth="1"/>
    <col min="9" max="9" width="10.42578125" bestFit="1" customWidth="1"/>
  </cols>
  <sheetData>
    <row r="2" spans="1:9" x14ac:dyDescent="0.25">
      <c r="A2" s="75" t="s">
        <v>31</v>
      </c>
      <c r="B2" s="75"/>
      <c r="C2" s="75"/>
      <c r="D2" s="75"/>
      <c r="E2" s="75"/>
      <c r="F2" s="75"/>
      <c r="G2" s="75"/>
      <c r="H2" s="75"/>
    </row>
    <row r="3" spans="1:9" ht="58.5" customHeight="1" x14ac:dyDescent="0.25">
      <c r="A3" s="76"/>
      <c r="B3" s="76"/>
      <c r="C3" s="76"/>
      <c r="D3" s="76"/>
      <c r="E3" s="76"/>
      <c r="F3" s="76"/>
      <c r="G3" s="76"/>
      <c r="H3" s="76"/>
    </row>
    <row r="4" spans="1:9" ht="27.75" customHeight="1" x14ac:dyDescent="0.3">
      <c r="A4" s="77" t="s">
        <v>32</v>
      </c>
      <c r="B4" s="78"/>
      <c r="C4" s="78"/>
      <c r="D4" s="78"/>
      <c r="E4" s="78"/>
      <c r="F4" s="78"/>
      <c r="G4" s="78"/>
      <c r="H4" s="8">
        <f>'март 2017'!H23</f>
        <v>422915.2699999999</v>
      </c>
    </row>
    <row r="5" spans="1:9" ht="18" x14ac:dyDescent="0.2">
      <c r="A5" s="17"/>
      <c r="B5" s="18"/>
      <c r="C5" s="18"/>
      <c r="D5" s="18"/>
      <c r="E5" s="18"/>
      <c r="F5" s="18"/>
      <c r="G5" s="18"/>
      <c r="H5" s="6"/>
    </row>
    <row r="6" spans="1:9" ht="26.25" customHeight="1" x14ac:dyDescent="0.2">
      <c r="A6" s="17"/>
      <c r="B6" s="18"/>
      <c r="C6" s="18"/>
      <c r="D6" s="18"/>
      <c r="E6" s="18"/>
      <c r="F6" s="18"/>
      <c r="G6" s="18"/>
      <c r="H6" s="6"/>
    </row>
    <row r="7" spans="1:9" ht="15" customHeight="1" x14ac:dyDescent="0.3">
      <c r="A7" s="69" t="s">
        <v>33</v>
      </c>
      <c r="B7" s="70"/>
      <c r="C7" s="70"/>
      <c r="D7" s="70"/>
      <c r="E7" s="70"/>
      <c r="F7" s="70"/>
      <c r="G7" s="70"/>
      <c r="H7" s="2">
        <v>552585.48</v>
      </c>
    </row>
    <row r="8" spans="1:9" ht="39" customHeight="1" x14ac:dyDescent="0.3">
      <c r="A8" s="85" t="s">
        <v>0</v>
      </c>
      <c r="B8" s="86"/>
      <c r="C8" s="86"/>
      <c r="D8" s="86"/>
      <c r="E8" s="86"/>
      <c r="F8" s="86"/>
      <c r="G8" s="86"/>
      <c r="H8" s="2">
        <f>SUM(F9:H19)</f>
        <v>445916.19999999995</v>
      </c>
    </row>
    <row r="9" spans="1:9" ht="15" customHeight="1" x14ac:dyDescent="0.25">
      <c r="A9" s="92" t="s">
        <v>1</v>
      </c>
      <c r="B9" s="90"/>
      <c r="C9" s="90"/>
      <c r="D9" s="90"/>
      <c r="E9" s="91"/>
      <c r="F9" s="64">
        <f>143910.87+1962.37+1363.72+4723</f>
        <v>151959.96</v>
      </c>
      <c r="G9" s="65"/>
      <c r="H9" s="66"/>
      <c r="I9" s="7"/>
    </row>
    <row r="10" spans="1:9" ht="15" customHeight="1" x14ac:dyDescent="0.25">
      <c r="A10" s="89" t="s">
        <v>2</v>
      </c>
      <c r="B10" s="90"/>
      <c r="C10" s="90"/>
      <c r="D10" s="90"/>
      <c r="E10" s="91"/>
      <c r="F10" s="64">
        <v>33687.1</v>
      </c>
      <c r="G10" s="65"/>
      <c r="H10" s="66"/>
    </row>
    <row r="11" spans="1:9" ht="15" customHeight="1" x14ac:dyDescent="0.25">
      <c r="A11" s="61" t="s">
        <v>3</v>
      </c>
      <c r="B11" s="84"/>
      <c r="C11" s="84"/>
      <c r="D11" s="84"/>
      <c r="E11" s="84"/>
      <c r="F11" s="64">
        <v>23925.37</v>
      </c>
      <c r="G11" s="65"/>
      <c r="H11" s="66"/>
    </row>
    <row r="12" spans="1:9" ht="15" customHeight="1" x14ac:dyDescent="0.25">
      <c r="A12" s="61" t="s">
        <v>4</v>
      </c>
      <c r="B12" s="84"/>
      <c r="C12" s="84"/>
      <c r="D12" s="84"/>
      <c r="E12" s="84"/>
      <c r="F12" s="64">
        <f>27509.92</f>
        <v>27509.919999999998</v>
      </c>
      <c r="G12" s="65"/>
      <c r="H12" s="66"/>
    </row>
    <row r="13" spans="1:9" ht="15" customHeight="1" x14ac:dyDescent="0.25">
      <c r="A13" s="61" t="s">
        <v>5</v>
      </c>
      <c r="B13" s="84"/>
      <c r="C13" s="84"/>
      <c r="D13" s="84"/>
      <c r="E13" s="84"/>
      <c r="F13" s="64">
        <v>30273.8</v>
      </c>
      <c r="G13" s="65"/>
      <c r="H13" s="66"/>
    </row>
    <row r="14" spans="1:9" ht="15" customHeight="1" x14ac:dyDescent="0.25">
      <c r="A14" s="61" t="s">
        <v>6</v>
      </c>
      <c r="B14" s="84"/>
      <c r="C14" s="84"/>
      <c r="D14" s="84"/>
      <c r="E14" s="84"/>
      <c r="F14" s="64">
        <v>2975.99</v>
      </c>
      <c r="G14" s="65"/>
      <c r="H14" s="66"/>
    </row>
    <row r="15" spans="1:9" ht="15" customHeight="1" x14ac:dyDescent="0.25">
      <c r="A15" s="61" t="s">
        <v>7</v>
      </c>
      <c r="B15" s="84"/>
      <c r="C15" s="84"/>
      <c r="D15" s="84"/>
      <c r="E15" s="84"/>
      <c r="F15" s="64"/>
      <c r="G15" s="65"/>
      <c r="H15" s="66"/>
    </row>
    <row r="16" spans="1:9" ht="15" customHeight="1" x14ac:dyDescent="0.25">
      <c r="A16" s="61" t="s">
        <v>9</v>
      </c>
      <c r="B16" s="84"/>
      <c r="C16" s="84"/>
      <c r="D16" s="84"/>
      <c r="E16" s="84"/>
      <c r="F16" s="64">
        <v>2240.83</v>
      </c>
      <c r="G16" s="65"/>
      <c r="H16" s="66"/>
    </row>
    <row r="17" spans="1:9" ht="15" customHeight="1" x14ac:dyDescent="0.25">
      <c r="A17" s="61" t="s">
        <v>10</v>
      </c>
      <c r="B17" s="87"/>
      <c r="C17" s="87"/>
      <c r="D17" s="87"/>
      <c r="E17" s="88"/>
      <c r="F17" s="64">
        <v>28347.62</v>
      </c>
      <c r="G17" s="65"/>
      <c r="H17" s="66"/>
    </row>
    <row r="18" spans="1:9" ht="15" customHeight="1" x14ac:dyDescent="0.25">
      <c r="A18" s="61" t="s">
        <v>11</v>
      </c>
      <c r="B18" s="87"/>
      <c r="C18" s="87"/>
      <c r="D18" s="87"/>
      <c r="E18" s="88"/>
      <c r="F18" s="64"/>
      <c r="G18" s="65"/>
      <c r="H18" s="66"/>
    </row>
    <row r="19" spans="1:9" ht="15" customHeight="1" x14ac:dyDescent="0.25">
      <c r="A19" s="61" t="s">
        <v>8</v>
      </c>
      <c r="B19" s="84"/>
      <c r="C19" s="84"/>
      <c r="D19" s="84"/>
      <c r="E19" s="84"/>
      <c r="F19" s="64">
        <v>144995.60999999999</v>
      </c>
      <c r="G19" s="65"/>
      <c r="H19" s="66"/>
      <c r="I19" s="7"/>
    </row>
    <row r="20" spans="1:9" ht="15" customHeight="1" x14ac:dyDescent="0.2">
      <c r="A20" s="85"/>
      <c r="B20" s="86"/>
      <c r="C20" s="86"/>
      <c r="D20" s="86"/>
      <c r="E20" s="86"/>
      <c r="F20" s="86"/>
      <c r="G20" s="86"/>
      <c r="H20" s="2"/>
      <c r="I20" s="7"/>
    </row>
    <row r="21" spans="1:9" ht="15" customHeight="1" x14ac:dyDescent="0.25">
      <c r="A21" s="17"/>
      <c r="B21" s="18"/>
      <c r="C21" s="18"/>
      <c r="D21" s="18"/>
      <c r="E21" s="18"/>
      <c r="F21" s="3"/>
      <c r="G21" s="3"/>
      <c r="H21" s="2"/>
    </row>
    <row r="22" spans="1:9" ht="15" customHeight="1" x14ac:dyDescent="0.2">
      <c r="A22" s="69"/>
      <c r="B22" s="70"/>
      <c r="C22" s="70"/>
      <c r="D22" s="70"/>
      <c r="E22" s="70"/>
      <c r="F22" s="70"/>
      <c r="G22" s="70"/>
      <c r="H22" s="2"/>
    </row>
    <row r="23" spans="1:9" ht="15" customHeight="1" x14ac:dyDescent="0.3">
      <c r="A23" s="71" t="s">
        <v>34</v>
      </c>
      <c r="B23" s="72"/>
      <c r="C23" s="72"/>
      <c r="D23" s="72"/>
      <c r="E23" s="72"/>
      <c r="F23" s="72"/>
      <c r="G23" s="72"/>
      <c r="H23" s="4">
        <f>1108217.74-H7</f>
        <v>555632.26</v>
      </c>
    </row>
    <row r="24" spans="1:9" ht="15" customHeight="1" x14ac:dyDescent="0.2">
      <c r="A24" s="1"/>
      <c r="B24" s="1"/>
      <c r="C24" s="1"/>
      <c r="D24" s="1"/>
      <c r="E24" s="1"/>
      <c r="F24" s="1"/>
      <c r="G24" s="5"/>
      <c r="H24" s="5"/>
    </row>
    <row r="25" spans="1:9" ht="36.75" customHeight="1" x14ac:dyDescent="0.25">
      <c r="A25" s="73" t="s">
        <v>26</v>
      </c>
      <c r="B25" s="73"/>
      <c r="C25" s="73"/>
      <c r="D25" s="73"/>
      <c r="E25" s="73"/>
      <c r="F25" s="73"/>
      <c r="G25" s="73"/>
      <c r="H25" s="73"/>
    </row>
    <row r="26" spans="1:9" ht="15" customHeight="1" x14ac:dyDescent="0.25">
      <c r="A26" s="73"/>
      <c r="B26" s="73"/>
      <c r="C26" s="73"/>
      <c r="D26" s="73"/>
      <c r="E26" s="73"/>
      <c r="F26" s="73"/>
      <c r="G26" s="73"/>
      <c r="H26" s="73"/>
    </row>
    <row r="27" spans="1:9" ht="21" customHeight="1" x14ac:dyDescent="0.25">
      <c r="A27" s="59"/>
      <c r="B27" s="59"/>
      <c r="C27" s="59"/>
      <c r="D27" s="59"/>
      <c r="E27" s="59"/>
      <c r="F27" s="59"/>
      <c r="G27" s="59"/>
      <c r="H27" s="59"/>
    </row>
    <row r="28" spans="1:9" ht="22.5" customHeight="1" x14ac:dyDescent="0.25">
      <c r="A28" s="60" t="s">
        <v>12</v>
      </c>
      <c r="B28" s="60"/>
      <c r="C28" s="60"/>
      <c r="D28" s="60"/>
      <c r="E28" s="60"/>
      <c r="F28" s="60"/>
      <c r="G28" s="60"/>
      <c r="H28" s="60"/>
    </row>
    <row r="29" spans="1:9" ht="15" customHeight="1" x14ac:dyDescent="0.25">
      <c r="A29" s="60"/>
      <c r="B29" s="60"/>
      <c r="C29" s="60"/>
      <c r="D29" s="60"/>
      <c r="E29" s="60"/>
      <c r="F29" s="60"/>
      <c r="G29" s="60"/>
      <c r="H29" s="60"/>
    </row>
    <row r="30" spans="1:9" ht="43.5" customHeight="1" x14ac:dyDescent="0.25"/>
    <row r="31" spans="1:9" ht="10.35" customHeight="1" x14ac:dyDescent="0.25"/>
    <row r="32" spans="1:9" ht="84" hidden="1" customHeight="1" x14ac:dyDescent="0.2"/>
  </sheetData>
  <mergeCells count="32">
    <mergeCell ref="A2:H3"/>
    <mergeCell ref="A4:G4"/>
    <mergeCell ref="A7:G7"/>
    <mergeCell ref="A8:G8"/>
    <mergeCell ref="A9:E9"/>
    <mergeCell ref="F9:H9"/>
    <mergeCell ref="A10:E10"/>
    <mergeCell ref="F10:H10"/>
    <mergeCell ref="A11:E11"/>
    <mergeCell ref="F11:H11"/>
    <mergeCell ref="A12:E12"/>
    <mergeCell ref="F12:H12"/>
    <mergeCell ref="A13:E13"/>
    <mergeCell ref="F13:H13"/>
    <mergeCell ref="A14:E14"/>
    <mergeCell ref="F14:H14"/>
    <mergeCell ref="A15:E15"/>
    <mergeCell ref="F15:H15"/>
    <mergeCell ref="A16:E16"/>
    <mergeCell ref="F16:H16"/>
    <mergeCell ref="A17:E17"/>
    <mergeCell ref="F17:H17"/>
    <mergeCell ref="A18:E18"/>
    <mergeCell ref="F18:H18"/>
    <mergeCell ref="A27:H27"/>
    <mergeCell ref="A28:H29"/>
    <mergeCell ref="A19:E19"/>
    <mergeCell ref="F19:H19"/>
    <mergeCell ref="A20:G20"/>
    <mergeCell ref="A22:G22"/>
    <mergeCell ref="A23:G23"/>
    <mergeCell ref="A25:H26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2"/>
  <sheetViews>
    <sheetView workbookViewId="0">
      <selection activeCell="N9" sqref="N9"/>
    </sheetView>
  </sheetViews>
  <sheetFormatPr defaultColWidth="8.85546875" defaultRowHeight="15" x14ac:dyDescent="0.25"/>
  <cols>
    <col min="7" max="7" width="13.85546875" customWidth="1"/>
    <col min="8" max="8" width="25.42578125" customWidth="1"/>
    <col min="9" max="9" width="10.42578125" bestFit="1" customWidth="1"/>
  </cols>
  <sheetData>
    <row r="2" spans="1:9" x14ac:dyDescent="0.25">
      <c r="A2" s="75" t="s">
        <v>27</v>
      </c>
      <c r="B2" s="75"/>
      <c r="C2" s="75"/>
      <c r="D2" s="75"/>
      <c r="E2" s="75"/>
      <c r="F2" s="75"/>
      <c r="G2" s="75"/>
      <c r="H2" s="75"/>
    </row>
    <row r="3" spans="1:9" ht="58.5" customHeight="1" x14ac:dyDescent="0.25">
      <c r="A3" s="76"/>
      <c r="B3" s="76"/>
      <c r="C3" s="76"/>
      <c r="D3" s="76"/>
      <c r="E3" s="76"/>
      <c r="F3" s="76"/>
      <c r="G3" s="76"/>
      <c r="H3" s="76"/>
    </row>
    <row r="4" spans="1:9" ht="27.75" customHeight="1" x14ac:dyDescent="0.3">
      <c r="A4" s="77" t="s">
        <v>28</v>
      </c>
      <c r="B4" s="78"/>
      <c r="C4" s="78"/>
      <c r="D4" s="78"/>
      <c r="E4" s="78"/>
      <c r="F4" s="78"/>
      <c r="G4" s="78"/>
      <c r="H4" s="8">
        <f>'февраль 2017'!H23</f>
        <v>528962.19999999995</v>
      </c>
    </row>
    <row r="5" spans="1:9" ht="18" x14ac:dyDescent="0.2">
      <c r="A5" s="15"/>
      <c r="B5" s="16"/>
      <c r="C5" s="16"/>
      <c r="D5" s="16"/>
      <c r="E5" s="16"/>
      <c r="F5" s="16"/>
      <c r="G5" s="16"/>
      <c r="H5" s="6"/>
    </row>
    <row r="6" spans="1:9" ht="26.25" customHeight="1" x14ac:dyDescent="0.2">
      <c r="A6" s="15"/>
      <c r="B6" s="16"/>
      <c r="C6" s="16"/>
      <c r="D6" s="16"/>
      <c r="E6" s="16"/>
      <c r="F6" s="16"/>
      <c r="G6" s="16"/>
      <c r="H6" s="6"/>
    </row>
    <row r="7" spans="1:9" ht="15" customHeight="1" x14ac:dyDescent="0.3">
      <c r="A7" s="69" t="s">
        <v>29</v>
      </c>
      <c r="B7" s="70"/>
      <c r="C7" s="70"/>
      <c r="D7" s="70"/>
      <c r="E7" s="70"/>
      <c r="F7" s="70"/>
      <c r="G7" s="70"/>
      <c r="H7" s="2">
        <v>582537.93000000005</v>
      </c>
    </row>
    <row r="8" spans="1:9" ht="39" customHeight="1" x14ac:dyDescent="0.3">
      <c r="A8" s="85" t="s">
        <v>0</v>
      </c>
      <c r="B8" s="86"/>
      <c r="C8" s="86"/>
      <c r="D8" s="86"/>
      <c r="E8" s="86"/>
      <c r="F8" s="86"/>
      <c r="G8" s="86"/>
      <c r="H8" s="2">
        <f>SUM(F9:H19)</f>
        <v>679822.48</v>
      </c>
    </row>
    <row r="9" spans="1:9" ht="15" customHeight="1" x14ac:dyDescent="0.25">
      <c r="A9" s="92" t="s">
        <v>1</v>
      </c>
      <c r="B9" s="90"/>
      <c r="C9" s="90"/>
      <c r="D9" s="90"/>
      <c r="E9" s="91"/>
      <c r="F9" s="64">
        <f>232974.17+2700.27+6498.89+1876.56</f>
        <v>244049.89</v>
      </c>
      <c r="G9" s="65"/>
      <c r="H9" s="66"/>
      <c r="I9" s="7"/>
    </row>
    <row r="10" spans="1:9" ht="15" customHeight="1" x14ac:dyDescent="0.25">
      <c r="A10" s="89" t="s">
        <v>2</v>
      </c>
      <c r="B10" s="90"/>
      <c r="C10" s="90"/>
      <c r="D10" s="90"/>
      <c r="E10" s="91"/>
      <c r="F10" s="64">
        <v>50170.47</v>
      </c>
      <c r="G10" s="65"/>
      <c r="H10" s="66"/>
    </row>
    <row r="11" spans="1:9" ht="15" customHeight="1" x14ac:dyDescent="0.25">
      <c r="A11" s="61" t="s">
        <v>3</v>
      </c>
      <c r="B11" s="84"/>
      <c r="C11" s="84"/>
      <c r="D11" s="84"/>
      <c r="E11" s="84"/>
      <c r="F11" s="64">
        <v>33495.64</v>
      </c>
      <c r="G11" s="65"/>
      <c r="H11" s="66"/>
    </row>
    <row r="12" spans="1:9" ht="15" customHeight="1" x14ac:dyDescent="0.25">
      <c r="A12" s="61" t="s">
        <v>4</v>
      </c>
      <c r="B12" s="84"/>
      <c r="C12" s="84"/>
      <c r="D12" s="84"/>
      <c r="E12" s="84"/>
      <c r="F12" s="64">
        <v>39495.870000000003</v>
      </c>
      <c r="G12" s="65"/>
      <c r="H12" s="66"/>
    </row>
    <row r="13" spans="1:9" ht="15" customHeight="1" x14ac:dyDescent="0.25">
      <c r="A13" s="61" t="s">
        <v>5</v>
      </c>
      <c r="B13" s="84"/>
      <c r="C13" s="84"/>
      <c r="D13" s="84"/>
      <c r="E13" s="84"/>
      <c r="F13" s="64"/>
      <c r="G13" s="65"/>
      <c r="H13" s="66"/>
    </row>
    <row r="14" spans="1:9" ht="15" customHeight="1" x14ac:dyDescent="0.25">
      <c r="A14" s="61" t="s">
        <v>6</v>
      </c>
      <c r="B14" s="84"/>
      <c r="C14" s="84"/>
      <c r="D14" s="84"/>
      <c r="E14" s="84"/>
      <c r="F14" s="64">
        <v>5078.91</v>
      </c>
      <c r="G14" s="65"/>
      <c r="H14" s="66"/>
    </row>
    <row r="15" spans="1:9" ht="15" customHeight="1" x14ac:dyDescent="0.25">
      <c r="A15" s="61" t="s">
        <v>7</v>
      </c>
      <c r="B15" s="84"/>
      <c r="C15" s="84"/>
      <c r="D15" s="84"/>
      <c r="E15" s="84"/>
      <c r="F15" s="64">
        <v>741.52</v>
      </c>
      <c r="G15" s="65"/>
      <c r="H15" s="66"/>
    </row>
    <row r="16" spans="1:9" ht="15" customHeight="1" x14ac:dyDescent="0.25">
      <c r="A16" s="61" t="s">
        <v>9</v>
      </c>
      <c r="B16" s="84"/>
      <c r="C16" s="84"/>
      <c r="D16" s="84"/>
      <c r="E16" s="84"/>
      <c r="F16" s="64">
        <v>4559.28</v>
      </c>
      <c r="G16" s="65"/>
      <c r="H16" s="66"/>
    </row>
    <row r="17" spans="1:9" ht="15" customHeight="1" x14ac:dyDescent="0.25">
      <c r="A17" s="61" t="s">
        <v>10</v>
      </c>
      <c r="B17" s="87"/>
      <c r="C17" s="87"/>
      <c r="D17" s="87"/>
      <c r="E17" s="88"/>
      <c r="F17" s="64">
        <v>43874.11</v>
      </c>
      <c r="G17" s="65"/>
      <c r="H17" s="66"/>
    </row>
    <row r="18" spans="1:9" ht="15" customHeight="1" x14ac:dyDescent="0.25">
      <c r="A18" s="61" t="s">
        <v>11</v>
      </c>
      <c r="B18" s="87"/>
      <c r="C18" s="87"/>
      <c r="D18" s="87"/>
      <c r="E18" s="88"/>
      <c r="F18" s="64"/>
      <c r="G18" s="65"/>
      <c r="H18" s="66"/>
    </row>
    <row r="19" spans="1:9" ht="15" customHeight="1" x14ac:dyDescent="0.25">
      <c r="A19" s="61" t="s">
        <v>8</v>
      </c>
      <c r="B19" s="84"/>
      <c r="C19" s="84"/>
      <c r="D19" s="84"/>
      <c r="E19" s="84"/>
      <c r="F19" s="64">
        <v>258356.79</v>
      </c>
      <c r="G19" s="65"/>
      <c r="H19" s="66"/>
      <c r="I19" s="7"/>
    </row>
    <row r="20" spans="1:9" ht="15" customHeight="1" x14ac:dyDescent="0.2">
      <c r="A20" s="85"/>
      <c r="B20" s="86"/>
      <c r="C20" s="86"/>
      <c r="D20" s="86"/>
      <c r="E20" s="86"/>
      <c r="F20" s="86"/>
      <c r="G20" s="86"/>
      <c r="H20" s="2"/>
      <c r="I20" s="7"/>
    </row>
    <row r="21" spans="1:9" ht="15" customHeight="1" x14ac:dyDescent="0.25">
      <c r="A21" s="15"/>
      <c r="B21" s="16"/>
      <c r="C21" s="16"/>
      <c r="D21" s="16"/>
      <c r="E21" s="16"/>
      <c r="F21" s="3"/>
      <c r="G21" s="3"/>
      <c r="H21" s="2"/>
    </row>
    <row r="22" spans="1:9" ht="15" customHeight="1" x14ac:dyDescent="0.2">
      <c r="A22" s="69"/>
      <c r="B22" s="70"/>
      <c r="C22" s="70"/>
      <c r="D22" s="70"/>
      <c r="E22" s="70"/>
      <c r="F22" s="70"/>
      <c r="G22" s="70"/>
      <c r="H22" s="2"/>
    </row>
    <row r="23" spans="1:9" ht="15" customHeight="1" x14ac:dyDescent="0.3">
      <c r="A23" s="71" t="s">
        <v>30</v>
      </c>
      <c r="B23" s="72"/>
      <c r="C23" s="72"/>
      <c r="D23" s="72"/>
      <c r="E23" s="72"/>
      <c r="F23" s="72"/>
      <c r="G23" s="72"/>
      <c r="H23" s="4">
        <f>1005453.2-H7</f>
        <v>422915.2699999999</v>
      </c>
    </row>
    <row r="24" spans="1:9" ht="15" customHeight="1" x14ac:dyDescent="0.2">
      <c r="A24" s="1"/>
      <c r="B24" s="1"/>
      <c r="C24" s="1"/>
      <c r="D24" s="1"/>
      <c r="E24" s="1"/>
      <c r="F24" s="1"/>
      <c r="G24" s="5"/>
      <c r="H24" s="5"/>
    </row>
    <row r="25" spans="1:9" ht="36.75" customHeight="1" x14ac:dyDescent="0.25">
      <c r="A25" s="73" t="s">
        <v>26</v>
      </c>
      <c r="B25" s="73"/>
      <c r="C25" s="73"/>
      <c r="D25" s="73"/>
      <c r="E25" s="73"/>
      <c r="F25" s="73"/>
      <c r="G25" s="73"/>
      <c r="H25" s="73"/>
    </row>
    <row r="26" spans="1:9" ht="15" customHeight="1" x14ac:dyDescent="0.25">
      <c r="A26" s="73"/>
      <c r="B26" s="73"/>
      <c r="C26" s="73"/>
      <c r="D26" s="73"/>
      <c r="E26" s="73"/>
      <c r="F26" s="73"/>
      <c r="G26" s="73"/>
      <c r="H26" s="73"/>
    </row>
    <row r="27" spans="1:9" ht="21" customHeight="1" x14ac:dyDescent="0.25">
      <c r="A27" s="59"/>
      <c r="B27" s="59"/>
      <c r="C27" s="59"/>
      <c r="D27" s="59"/>
      <c r="E27" s="59"/>
      <c r="F27" s="59"/>
      <c r="G27" s="59"/>
      <c r="H27" s="59"/>
    </row>
    <row r="28" spans="1:9" ht="22.5" customHeight="1" x14ac:dyDescent="0.25">
      <c r="A28" s="60" t="s">
        <v>12</v>
      </c>
      <c r="B28" s="60"/>
      <c r="C28" s="60"/>
      <c r="D28" s="60"/>
      <c r="E28" s="60"/>
      <c r="F28" s="60"/>
      <c r="G28" s="60"/>
      <c r="H28" s="60"/>
    </row>
    <row r="29" spans="1:9" ht="15" customHeight="1" x14ac:dyDescent="0.25">
      <c r="A29" s="60"/>
      <c r="B29" s="60"/>
      <c r="C29" s="60"/>
      <c r="D29" s="60"/>
      <c r="E29" s="60"/>
      <c r="F29" s="60"/>
      <c r="G29" s="60"/>
      <c r="H29" s="60"/>
    </row>
    <row r="30" spans="1:9" ht="43.5" customHeight="1" x14ac:dyDescent="0.25"/>
    <row r="31" spans="1:9" ht="10.35" customHeight="1" x14ac:dyDescent="0.25"/>
    <row r="32" spans="1:9" ht="84" hidden="1" customHeight="1" x14ac:dyDescent="0.2"/>
  </sheetData>
  <mergeCells count="32">
    <mergeCell ref="A2:H3"/>
    <mergeCell ref="A4:G4"/>
    <mergeCell ref="A7:G7"/>
    <mergeCell ref="A8:G8"/>
    <mergeCell ref="A9:E9"/>
    <mergeCell ref="F9:H9"/>
    <mergeCell ref="A10:E10"/>
    <mergeCell ref="F10:H10"/>
    <mergeCell ref="A11:E11"/>
    <mergeCell ref="F11:H11"/>
    <mergeCell ref="A12:E12"/>
    <mergeCell ref="F12:H12"/>
    <mergeCell ref="A13:E13"/>
    <mergeCell ref="F13:H13"/>
    <mergeCell ref="A14:E14"/>
    <mergeCell ref="F14:H14"/>
    <mergeCell ref="A15:E15"/>
    <mergeCell ref="F15:H15"/>
    <mergeCell ref="A16:E16"/>
    <mergeCell ref="F16:H16"/>
    <mergeCell ref="A17:E17"/>
    <mergeCell ref="F17:H17"/>
    <mergeCell ref="A18:E18"/>
    <mergeCell ref="F18:H18"/>
    <mergeCell ref="A27:H27"/>
    <mergeCell ref="A28:H29"/>
    <mergeCell ref="A19:E19"/>
    <mergeCell ref="F19:H19"/>
    <mergeCell ref="A20:G20"/>
    <mergeCell ref="A22:G22"/>
    <mergeCell ref="A23:G23"/>
    <mergeCell ref="A25:H26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2"/>
  <sheetViews>
    <sheetView workbookViewId="0">
      <selection activeCell="A25" sqref="A25:H26"/>
    </sheetView>
  </sheetViews>
  <sheetFormatPr defaultColWidth="8.85546875" defaultRowHeight="15" x14ac:dyDescent="0.25"/>
  <cols>
    <col min="7" max="7" width="13.85546875" customWidth="1"/>
    <col min="8" max="8" width="25.42578125" customWidth="1"/>
    <col min="9" max="9" width="10.42578125" bestFit="1" customWidth="1"/>
  </cols>
  <sheetData>
    <row r="2" spans="1:9" x14ac:dyDescent="0.25">
      <c r="A2" s="75" t="s">
        <v>22</v>
      </c>
      <c r="B2" s="75"/>
      <c r="C2" s="75"/>
      <c r="D2" s="75"/>
      <c r="E2" s="75"/>
      <c r="F2" s="75"/>
      <c r="G2" s="75"/>
      <c r="H2" s="75"/>
    </row>
    <row r="3" spans="1:9" ht="58.5" customHeight="1" x14ac:dyDescent="0.25">
      <c r="A3" s="76"/>
      <c r="B3" s="76"/>
      <c r="C3" s="76"/>
      <c r="D3" s="76"/>
      <c r="E3" s="76"/>
      <c r="F3" s="76"/>
      <c r="G3" s="76"/>
      <c r="H3" s="76"/>
    </row>
    <row r="4" spans="1:9" ht="27.75" customHeight="1" x14ac:dyDescent="0.3">
      <c r="A4" s="77" t="s">
        <v>23</v>
      </c>
      <c r="B4" s="78"/>
      <c r="C4" s="78"/>
      <c r="D4" s="78"/>
      <c r="E4" s="78"/>
      <c r="F4" s="78"/>
      <c r="G4" s="78"/>
      <c r="H4" s="8">
        <f>'январь 2017'!H23</f>
        <v>421182.41000000003</v>
      </c>
    </row>
    <row r="5" spans="1:9" ht="18" x14ac:dyDescent="0.2">
      <c r="A5" s="13"/>
      <c r="B5" s="14"/>
      <c r="C5" s="14"/>
      <c r="D5" s="14"/>
      <c r="E5" s="14"/>
      <c r="F5" s="14"/>
      <c r="G5" s="14"/>
      <c r="H5" s="6"/>
    </row>
    <row r="6" spans="1:9" ht="26.25" customHeight="1" x14ac:dyDescent="0.2">
      <c r="A6" s="13"/>
      <c r="B6" s="14"/>
      <c r="C6" s="14"/>
      <c r="D6" s="14"/>
      <c r="E6" s="14"/>
      <c r="F6" s="14"/>
      <c r="G6" s="14"/>
      <c r="H6" s="6"/>
    </row>
    <row r="7" spans="1:9" ht="15" customHeight="1" x14ac:dyDescent="0.3">
      <c r="A7" s="69" t="s">
        <v>24</v>
      </c>
      <c r="B7" s="70"/>
      <c r="C7" s="70"/>
      <c r="D7" s="70"/>
      <c r="E7" s="70"/>
      <c r="F7" s="70"/>
      <c r="G7" s="70"/>
      <c r="H7" s="2">
        <v>573775.55000000005</v>
      </c>
    </row>
    <row r="8" spans="1:9" ht="39" customHeight="1" x14ac:dyDescent="0.3">
      <c r="A8" s="85" t="s">
        <v>0</v>
      </c>
      <c r="B8" s="86"/>
      <c r="C8" s="86"/>
      <c r="D8" s="86"/>
      <c r="E8" s="86"/>
      <c r="F8" s="86"/>
      <c r="G8" s="86"/>
      <c r="H8" s="2">
        <f>SUM(F9:H19)</f>
        <v>497597.11</v>
      </c>
    </row>
    <row r="9" spans="1:9" ht="15" customHeight="1" x14ac:dyDescent="0.25">
      <c r="A9" s="92" t="s">
        <v>1</v>
      </c>
      <c r="B9" s="90"/>
      <c r="C9" s="90"/>
      <c r="D9" s="90"/>
      <c r="E9" s="91"/>
      <c r="F9" s="64">
        <f>161571.52+1800.34+1251.08+4333.01+199.88</f>
        <v>169155.83</v>
      </c>
      <c r="G9" s="65"/>
      <c r="H9" s="66"/>
      <c r="I9" s="7"/>
    </row>
    <row r="10" spans="1:9" ht="15" customHeight="1" x14ac:dyDescent="0.25">
      <c r="A10" s="89" t="s">
        <v>2</v>
      </c>
      <c r="B10" s="90"/>
      <c r="C10" s="90"/>
      <c r="D10" s="90"/>
      <c r="E10" s="91"/>
      <c r="F10" s="64">
        <v>35849.79</v>
      </c>
      <c r="G10" s="65"/>
      <c r="H10" s="66"/>
    </row>
    <row r="11" spans="1:9" ht="15" customHeight="1" x14ac:dyDescent="0.25">
      <c r="A11" s="61" t="s">
        <v>3</v>
      </c>
      <c r="B11" s="84"/>
      <c r="C11" s="84"/>
      <c r="D11" s="84"/>
      <c r="E11" s="84"/>
      <c r="F11" s="64">
        <v>25471.82</v>
      </c>
      <c r="G11" s="65"/>
      <c r="H11" s="66"/>
    </row>
    <row r="12" spans="1:9" ht="15" customHeight="1" x14ac:dyDescent="0.25">
      <c r="A12" s="61" t="s">
        <v>4</v>
      </c>
      <c r="B12" s="84"/>
      <c r="C12" s="84"/>
      <c r="D12" s="84"/>
      <c r="E12" s="84"/>
      <c r="F12" s="64">
        <v>29013.51</v>
      </c>
      <c r="G12" s="65"/>
      <c r="H12" s="66"/>
    </row>
    <row r="13" spans="1:9" ht="15" customHeight="1" x14ac:dyDescent="0.25">
      <c r="A13" s="61" t="s">
        <v>5</v>
      </c>
      <c r="B13" s="84"/>
      <c r="C13" s="84"/>
      <c r="D13" s="84"/>
      <c r="E13" s="84"/>
      <c r="F13" s="64"/>
      <c r="G13" s="65"/>
      <c r="H13" s="66"/>
    </row>
    <row r="14" spans="1:9" ht="15" customHeight="1" x14ac:dyDescent="0.25">
      <c r="A14" s="61" t="s">
        <v>6</v>
      </c>
      <c r="B14" s="84"/>
      <c r="C14" s="84"/>
      <c r="D14" s="84"/>
      <c r="E14" s="84"/>
      <c r="F14" s="64">
        <v>3376.36</v>
      </c>
      <c r="G14" s="65"/>
      <c r="H14" s="66"/>
    </row>
    <row r="15" spans="1:9" ht="15" customHeight="1" x14ac:dyDescent="0.25">
      <c r="A15" s="61" t="s">
        <v>7</v>
      </c>
      <c r="B15" s="84"/>
      <c r="C15" s="84"/>
      <c r="D15" s="84"/>
      <c r="E15" s="84"/>
      <c r="F15" s="64">
        <v>104.7</v>
      </c>
      <c r="G15" s="65"/>
      <c r="H15" s="66"/>
    </row>
    <row r="16" spans="1:9" ht="15" customHeight="1" x14ac:dyDescent="0.25">
      <c r="A16" s="61" t="s">
        <v>9</v>
      </c>
      <c r="B16" s="84"/>
      <c r="C16" s="84"/>
      <c r="D16" s="84"/>
      <c r="E16" s="84"/>
      <c r="F16" s="64">
        <v>2141.12</v>
      </c>
      <c r="G16" s="65"/>
      <c r="H16" s="66"/>
    </row>
    <row r="17" spans="1:9" ht="15" customHeight="1" x14ac:dyDescent="0.25">
      <c r="A17" s="61" t="s">
        <v>10</v>
      </c>
      <c r="B17" s="87"/>
      <c r="C17" s="87"/>
      <c r="D17" s="87"/>
      <c r="E17" s="88"/>
      <c r="F17" s="64">
        <v>27838.6</v>
      </c>
      <c r="G17" s="65"/>
      <c r="H17" s="66"/>
    </row>
    <row r="18" spans="1:9" ht="15" customHeight="1" x14ac:dyDescent="0.25">
      <c r="A18" s="61" t="s">
        <v>11</v>
      </c>
      <c r="B18" s="87"/>
      <c r="C18" s="87"/>
      <c r="D18" s="87"/>
      <c r="E18" s="88"/>
      <c r="F18" s="64"/>
      <c r="G18" s="65"/>
      <c r="H18" s="66"/>
    </row>
    <row r="19" spans="1:9" ht="15" customHeight="1" x14ac:dyDescent="0.25">
      <c r="A19" s="61" t="s">
        <v>8</v>
      </c>
      <c r="B19" s="84"/>
      <c r="C19" s="84"/>
      <c r="D19" s="84"/>
      <c r="E19" s="84"/>
      <c r="F19" s="64">
        <v>204645.38</v>
      </c>
      <c r="G19" s="65"/>
      <c r="H19" s="66"/>
      <c r="I19" s="7"/>
    </row>
    <row r="20" spans="1:9" ht="15" customHeight="1" x14ac:dyDescent="0.2">
      <c r="A20" s="85"/>
      <c r="B20" s="86"/>
      <c r="C20" s="86"/>
      <c r="D20" s="86"/>
      <c r="E20" s="86"/>
      <c r="F20" s="86"/>
      <c r="G20" s="86"/>
      <c r="H20" s="2"/>
      <c r="I20" s="7"/>
    </row>
    <row r="21" spans="1:9" ht="15" customHeight="1" x14ac:dyDescent="0.25">
      <c r="A21" s="13"/>
      <c r="B21" s="14"/>
      <c r="C21" s="14"/>
      <c r="D21" s="14"/>
      <c r="E21" s="14"/>
      <c r="F21" s="3"/>
      <c r="G21" s="3"/>
      <c r="H21" s="2"/>
    </row>
    <row r="22" spans="1:9" ht="15" customHeight="1" x14ac:dyDescent="0.2">
      <c r="A22" s="69"/>
      <c r="B22" s="70"/>
      <c r="C22" s="70"/>
      <c r="D22" s="70"/>
      <c r="E22" s="70"/>
      <c r="F22" s="70"/>
      <c r="G22" s="70"/>
      <c r="H22" s="2"/>
    </row>
    <row r="23" spans="1:9" ht="15" customHeight="1" x14ac:dyDescent="0.3">
      <c r="A23" s="71" t="s">
        <v>25</v>
      </c>
      <c r="B23" s="72"/>
      <c r="C23" s="72"/>
      <c r="D23" s="72"/>
      <c r="E23" s="72"/>
      <c r="F23" s="72"/>
      <c r="G23" s="72"/>
      <c r="H23" s="4">
        <f>1102737.75-H7</f>
        <v>528962.19999999995</v>
      </c>
    </row>
    <row r="24" spans="1:9" ht="15" customHeight="1" x14ac:dyDescent="0.2">
      <c r="A24" s="1"/>
      <c r="B24" s="1"/>
      <c r="C24" s="1"/>
      <c r="D24" s="1"/>
      <c r="E24" s="1"/>
      <c r="F24" s="1"/>
      <c r="G24" s="5"/>
      <c r="H24" s="5"/>
    </row>
    <row r="25" spans="1:9" ht="36.75" customHeight="1" x14ac:dyDescent="0.25">
      <c r="A25" s="73" t="s">
        <v>26</v>
      </c>
      <c r="B25" s="73"/>
      <c r="C25" s="73"/>
      <c r="D25" s="73"/>
      <c r="E25" s="73"/>
      <c r="F25" s="73"/>
      <c r="G25" s="73"/>
      <c r="H25" s="73"/>
    </row>
    <row r="26" spans="1:9" ht="15" customHeight="1" x14ac:dyDescent="0.25">
      <c r="A26" s="73"/>
      <c r="B26" s="73"/>
      <c r="C26" s="73"/>
      <c r="D26" s="73"/>
      <c r="E26" s="73"/>
      <c r="F26" s="73"/>
      <c r="G26" s="73"/>
      <c r="H26" s="73"/>
    </row>
    <row r="27" spans="1:9" ht="21" customHeight="1" x14ac:dyDescent="0.25">
      <c r="A27" s="59"/>
      <c r="B27" s="59"/>
      <c r="C27" s="59"/>
      <c r="D27" s="59"/>
      <c r="E27" s="59"/>
      <c r="F27" s="59"/>
      <c r="G27" s="59"/>
      <c r="H27" s="59"/>
    </row>
    <row r="28" spans="1:9" ht="22.5" customHeight="1" x14ac:dyDescent="0.25">
      <c r="A28" s="60" t="s">
        <v>12</v>
      </c>
      <c r="B28" s="60"/>
      <c r="C28" s="60"/>
      <c r="D28" s="60"/>
      <c r="E28" s="60"/>
      <c r="F28" s="60"/>
      <c r="G28" s="60"/>
      <c r="H28" s="60"/>
    </row>
    <row r="29" spans="1:9" ht="15" customHeight="1" x14ac:dyDescent="0.25">
      <c r="A29" s="60"/>
      <c r="B29" s="60"/>
      <c r="C29" s="60"/>
      <c r="D29" s="60"/>
      <c r="E29" s="60"/>
      <c r="F29" s="60"/>
      <c r="G29" s="60"/>
      <c r="H29" s="60"/>
    </row>
    <row r="30" spans="1:9" ht="43.5" customHeight="1" x14ac:dyDescent="0.25"/>
    <row r="31" spans="1:9" ht="10.35" customHeight="1" x14ac:dyDescent="0.25"/>
    <row r="32" spans="1:9" ht="84" hidden="1" customHeight="1" x14ac:dyDescent="0.2"/>
  </sheetData>
  <mergeCells count="32">
    <mergeCell ref="A2:H3"/>
    <mergeCell ref="A4:G4"/>
    <mergeCell ref="A7:G7"/>
    <mergeCell ref="A8:G8"/>
    <mergeCell ref="A9:E9"/>
    <mergeCell ref="F9:H9"/>
    <mergeCell ref="A10:E10"/>
    <mergeCell ref="F10:H10"/>
    <mergeCell ref="A11:E11"/>
    <mergeCell ref="F11:H11"/>
    <mergeCell ref="A12:E12"/>
    <mergeCell ref="F12:H12"/>
    <mergeCell ref="A13:E13"/>
    <mergeCell ref="F13:H13"/>
    <mergeCell ref="A14:E14"/>
    <mergeCell ref="F14:H14"/>
    <mergeCell ref="A15:E15"/>
    <mergeCell ref="F15:H15"/>
    <mergeCell ref="A16:E16"/>
    <mergeCell ref="F16:H16"/>
    <mergeCell ref="A17:E17"/>
    <mergeCell ref="F17:H17"/>
    <mergeCell ref="A18:E18"/>
    <mergeCell ref="F18:H18"/>
    <mergeCell ref="A27:H27"/>
    <mergeCell ref="A28:H29"/>
    <mergeCell ref="A19:E19"/>
    <mergeCell ref="F19:H19"/>
    <mergeCell ref="A20:G20"/>
    <mergeCell ref="A22:G22"/>
    <mergeCell ref="A23:G23"/>
    <mergeCell ref="A25:H26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2"/>
  <sheetViews>
    <sheetView workbookViewId="0">
      <selection activeCell="H24" sqref="H24"/>
    </sheetView>
  </sheetViews>
  <sheetFormatPr defaultColWidth="8.85546875" defaultRowHeight="15" x14ac:dyDescent="0.25"/>
  <cols>
    <col min="7" max="7" width="13.85546875" customWidth="1"/>
    <col min="8" max="8" width="25.42578125" customWidth="1"/>
    <col min="9" max="9" width="10.42578125" bestFit="1" customWidth="1"/>
  </cols>
  <sheetData>
    <row r="2" spans="1:9" x14ac:dyDescent="0.25">
      <c r="A2" s="75" t="s">
        <v>20</v>
      </c>
      <c r="B2" s="75"/>
      <c r="C2" s="75"/>
      <c r="D2" s="75"/>
      <c r="E2" s="75"/>
      <c r="F2" s="75"/>
      <c r="G2" s="75"/>
      <c r="H2" s="75"/>
    </row>
    <row r="3" spans="1:9" ht="58.5" customHeight="1" x14ac:dyDescent="0.25">
      <c r="A3" s="76"/>
      <c r="B3" s="76"/>
      <c r="C3" s="76"/>
      <c r="D3" s="76"/>
      <c r="E3" s="76"/>
      <c r="F3" s="76"/>
      <c r="G3" s="76"/>
      <c r="H3" s="76"/>
    </row>
    <row r="4" spans="1:9" ht="27.75" customHeight="1" x14ac:dyDescent="0.3">
      <c r="A4" s="77" t="s">
        <v>18</v>
      </c>
      <c r="B4" s="78"/>
      <c r="C4" s="78"/>
      <c r="D4" s="78"/>
      <c r="E4" s="78"/>
      <c r="F4" s="78"/>
      <c r="G4" s="78"/>
      <c r="H4" s="8">
        <f>'декабрь 2016'!H23</f>
        <v>404529.08999999997</v>
      </c>
    </row>
    <row r="5" spans="1:9" ht="18" x14ac:dyDescent="0.2">
      <c r="A5" s="11"/>
      <c r="B5" s="12"/>
      <c r="C5" s="12"/>
      <c r="D5" s="12"/>
      <c r="E5" s="12"/>
      <c r="F5" s="12"/>
      <c r="G5" s="12"/>
      <c r="H5" s="6"/>
    </row>
    <row r="6" spans="1:9" ht="26.25" customHeight="1" x14ac:dyDescent="0.2">
      <c r="A6" s="11"/>
      <c r="B6" s="12"/>
      <c r="C6" s="12"/>
      <c r="D6" s="12"/>
      <c r="E6" s="12"/>
      <c r="F6" s="12"/>
      <c r="G6" s="12"/>
      <c r="H6" s="6"/>
    </row>
    <row r="7" spans="1:9" ht="15" customHeight="1" x14ac:dyDescent="0.3">
      <c r="A7" s="69" t="s">
        <v>19</v>
      </c>
      <c r="B7" s="70"/>
      <c r="C7" s="70"/>
      <c r="D7" s="70"/>
      <c r="E7" s="70"/>
      <c r="F7" s="70"/>
      <c r="G7" s="70"/>
      <c r="H7" s="2">
        <f>605376.9</f>
        <v>605376.9</v>
      </c>
    </row>
    <row r="8" spans="1:9" ht="39" customHeight="1" x14ac:dyDescent="0.3">
      <c r="A8" s="85" t="s">
        <v>0</v>
      </c>
      <c r="B8" s="86"/>
      <c r="C8" s="86"/>
      <c r="D8" s="86"/>
      <c r="E8" s="86"/>
      <c r="F8" s="86"/>
      <c r="G8" s="86"/>
      <c r="H8" s="2">
        <f>SUM(F9:H19)</f>
        <v>539471.66</v>
      </c>
    </row>
    <row r="9" spans="1:9" ht="15" customHeight="1" x14ac:dyDescent="0.25">
      <c r="A9" s="92" t="s">
        <v>1</v>
      </c>
      <c r="B9" s="90"/>
      <c r="C9" s="90"/>
      <c r="D9" s="90"/>
      <c r="E9" s="91"/>
      <c r="F9" s="64">
        <v>180565.53</v>
      </c>
      <c r="G9" s="65"/>
      <c r="H9" s="66"/>
      <c r="I9" s="7"/>
    </row>
    <row r="10" spans="1:9" ht="15" customHeight="1" x14ac:dyDescent="0.25">
      <c r="A10" s="89" t="s">
        <v>2</v>
      </c>
      <c r="B10" s="90"/>
      <c r="C10" s="90"/>
      <c r="D10" s="90"/>
      <c r="E10" s="91"/>
      <c r="F10" s="64">
        <v>38554.47</v>
      </c>
      <c r="G10" s="65"/>
      <c r="H10" s="66"/>
    </row>
    <row r="11" spans="1:9" ht="15" customHeight="1" x14ac:dyDescent="0.25">
      <c r="A11" s="61" t="s">
        <v>3</v>
      </c>
      <c r="B11" s="84"/>
      <c r="C11" s="84"/>
      <c r="D11" s="84"/>
      <c r="E11" s="84"/>
      <c r="F11" s="64">
        <v>31743.65</v>
      </c>
      <c r="G11" s="65"/>
      <c r="H11" s="66"/>
    </row>
    <row r="12" spans="1:9" ht="15" customHeight="1" x14ac:dyDescent="0.25">
      <c r="A12" s="61" t="s">
        <v>4</v>
      </c>
      <c r="B12" s="84"/>
      <c r="C12" s="84"/>
      <c r="D12" s="84"/>
      <c r="E12" s="84"/>
      <c r="F12" s="64">
        <v>35132.18</v>
      </c>
      <c r="G12" s="65"/>
      <c r="H12" s="66"/>
    </row>
    <row r="13" spans="1:9" ht="15" customHeight="1" x14ac:dyDescent="0.25">
      <c r="A13" s="61" t="s">
        <v>5</v>
      </c>
      <c r="B13" s="84"/>
      <c r="C13" s="84"/>
      <c r="D13" s="84"/>
      <c r="E13" s="84"/>
      <c r="F13" s="64"/>
      <c r="G13" s="65"/>
      <c r="H13" s="66"/>
    </row>
    <row r="14" spans="1:9" ht="15" customHeight="1" x14ac:dyDescent="0.25">
      <c r="A14" s="61" t="s">
        <v>6</v>
      </c>
      <c r="B14" s="84"/>
      <c r="C14" s="84"/>
      <c r="D14" s="84"/>
      <c r="E14" s="84"/>
      <c r="F14" s="64">
        <v>3673.73</v>
      </c>
      <c r="G14" s="65"/>
      <c r="H14" s="66"/>
    </row>
    <row r="15" spans="1:9" ht="15" customHeight="1" x14ac:dyDescent="0.25">
      <c r="A15" s="61" t="s">
        <v>7</v>
      </c>
      <c r="B15" s="84"/>
      <c r="C15" s="84"/>
      <c r="D15" s="84"/>
      <c r="E15" s="84"/>
      <c r="F15" s="64"/>
      <c r="G15" s="65"/>
      <c r="H15" s="66"/>
    </row>
    <row r="16" spans="1:9" ht="15" customHeight="1" x14ac:dyDescent="0.25">
      <c r="A16" s="61" t="s">
        <v>9</v>
      </c>
      <c r="B16" s="84"/>
      <c r="C16" s="84"/>
      <c r="D16" s="84"/>
      <c r="E16" s="84"/>
      <c r="F16" s="64">
        <v>3167.26</v>
      </c>
      <c r="G16" s="65"/>
      <c r="H16" s="66"/>
    </row>
    <row r="17" spans="1:9" ht="15" customHeight="1" x14ac:dyDescent="0.25">
      <c r="A17" s="61" t="s">
        <v>10</v>
      </c>
      <c r="B17" s="87"/>
      <c r="C17" s="87"/>
      <c r="D17" s="87"/>
      <c r="E17" s="88"/>
      <c r="F17" s="64">
        <v>30459.06</v>
      </c>
      <c r="G17" s="65"/>
      <c r="H17" s="66"/>
    </row>
    <row r="18" spans="1:9" ht="15" customHeight="1" x14ac:dyDescent="0.25">
      <c r="A18" s="61" t="s">
        <v>11</v>
      </c>
      <c r="B18" s="87"/>
      <c r="C18" s="87"/>
      <c r="D18" s="87"/>
      <c r="E18" s="88"/>
      <c r="F18" s="64"/>
      <c r="G18" s="65"/>
      <c r="H18" s="66"/>
    </row>
    <row r="19" spans="1:9" ht="15" customHeight="1" x14ac:dyDescent="0.25">
      <c r="A19" s="61" t="s">
        <v>8</v>
      </c>
      <c r="B19" s="84"/>
      <c r="C19" s="84"/>
      <c r="D19" s="84"/>
      <c r="E19" s="84"/>
      <c r="F19" s="64">
        <v>216175.78</v>
      </c>
      <c r="G19" s="65"/>
      <c r="H19" s="66"/>
      <c r="I19" s="7"/>
    </row>
    <row r="20" spans="1:9" ht="15" customHeight="1" x14ac:dyDescent="0.2">
      <c r="A20" s="85"/>
      <c r="B20" s="86"/>
      <c r="C20" s="86"/>
      <c r="D20" s="86"/>
      <c r="E20" s="86"/>
      <c r="F20" s="86"/>
      <c r="G20" s="86"/>
      <c r="H20" s="2"/>
      <c r="I20" s="7"/>
    </row>
    <row r="21" spans="1:9" ht="15" customHeight="1" x14ac:dyDescent="0.25">
      <c r="A21" s="11"/>
      <c r="B21" s="12"/>
      <c r="C21" s="12"/>
      <c r="D21" s="12"/>
      <c r="E21" s="12"/>
      <c r="F21" s="3"/>
      <c r="G21" s="3"/>
      <c r="H21" s="2"/>
    </row>
    <row r="22" spans="1:9" ht="15" customHeight="1" x14ac:dyDescent="0.2">
      <c r="A22" s="69"/>
      <c r="B22" s="70"/>
      <c r="C22" s="70"/>
      <c r="D22" s="70"/>
      <c r="E22" s="70"/>
      <c r="F22" s="70"/>
      <c r="G22" s="70"/>
      <c r="H22" s="2"/>
    </row>
    <row r="23" spans="1:9" ht="15" customHeight="1" x14ac:dyDescent="0.3">
      <c r="A23" s="71" t="s">
        <v>21</v>
      </c>
      <c r="B23" s="72"/>
      <c r="C23" s="72"/>
      <c r="D23" s="72"/>
      <c r="E23" s="72"/>
      <c r="F23" s="72"/>
      <c r="G23" s="72"/>
      <c r="H23" s="4">
        <f>1026559.31-H7</f>
        <v>421182.41000000003</v>
      </c>
    </row>
    <row r="24" spans="1:9" ht="15" customHeight="1" x14ac:dyDescent="0.2">
      <c r="A24" s="1"/>
      <c r="B24" s="1"/>
      <c r="C24" s="1"/>
      <c r="D24" s="1"/>
      <c r="E24" s="1"/>
      <c r="F24" s="1"/>
      <c r="G24" s="5"/>
      <c r="H24" s="5"/>
    </row>
    <row r="25" spans="1:9" ht="36.75" customHeight="1" x14ac:dyDescent="0.25">
      <c r="A25" s="73" t="s">
        <v>17</v>
      </c>
      <c r="B25" s="73"/>
      <c r="C25" s="73"/>
      <c r="D25" s="73"/>
      <c r="E25" s="73"/>
      <c r="F25" s="73"/>
      <c r="G25" s="73"/>
      <c r="H25" s="73"/>
    </row>
    <row r="26" spans="1:9" ht="15" customHeight="1" x14ac:dyDescent="0.25">
      <c r="A26" s="73"/>
      <c r="B26" s="73"/>
      <c r="C26" s="73"/>
      <c r="D26" s="73"/>
      <c r="E26" s="73"/>
      <c r="F26" s="73"/>
      <c r="G26" s="73"/>
      <c r="H26" s="73"/>
    </row>
    <row r="27" spans="1:9" ht="21" customHeight="1" x14ac:dyDescent="0.25">
      <c r="A27" s="59"/>
      <c r="B27" s="59"/>
      <c r="C27" s="59"/>
      <c r="D27" s="59"/>
      <c r="E27" s="59"/>
      <c r="F27" s="59"/>
      <c r="G27" s="59"/>
      <c r="H27" s="59"/>
    </row>
    <row r="28" spans="1:9" ht="22.5" customHeight="1" x14ac:dyDescent="0.25">
      <c r="A28" s="60" t="s">
        <v>12</v>
      </c>
      <c r="B28" s="60"/>
      <c r="C28" s="60"/>
      <c r="D28" s="60"/>
      <c r="E28" s="60"/>
      <c r="F28" s="60"/>
      <c r="G28" s="60"/>
      <c r="H28" s="60"/>
    </row>
    <row r="29" spans="1:9" ht="15" customHeight="1" x14ac:dyDescent="0.25">
      <c r="A29" s="60"/>
      <c r="B29" s="60"/>
      <c r="C29" s="60"/>
      <c r="D29" s="60"/>
      <c r="E29" s="60"/>
      <c r="F29" s="60"/>
      <c r="G29" s="60"/>
      <c r="H29" s="60"/>
    </row>
    <row r="30" spans="1:9" ht="43.5" customHeight="1" x14ac:dyDescent="0.25"/>
    <row r="31" spans="1:9" ht="10.35" customHeight="1" x14ac:dyDescent="0.25"/>
    <row r="32" spans="1:9" ht="84" hidden="1" customHeight="1" x14ac:dyDescent="0.2"/>
  </sheetData>
  <mergeCells count="32">
    <mergeCell ref="A2:H3"/>
    <mergeCell ref="A4:G4"/>
    <mergeCell ref="A7:G7"/>
    <mergeCell ref="A8:G8"/>
    <mergeCell ref="A9:E9"/>
    <mergeCell ref="F9:H9"/>
    <mergeCell ref="A10:E10"/>
    <mergeCell ref="F10:H10"/>
    <mergeCell ref="A11:E11"/>
    <mergeCell ref="F11:H11"/>
    <mergeCell ref="A12:E12"/>
    <mergeCell ref="F12:H12"/>
    <mergeCell ref="A13:E13"/>
    <mergeCell ref="F13:H13"/>
    <mergeCell ref="A14:E14"/>
    <mergeCell ref="F14:H14"/>
    <mergeCell ref="A15:E15"/>
    <mergeCell ref="F15:H15"/>
    <mergeCell ref="A16:E16"/>
    <mergeCell ref="F16:H16"/>
    <mergeCell ref="A17:E17"/>
    <mergeCell ref="F17:H17"/>
    <mergeCell ref="A18:E18"/>
    <mergeCell ref="F18:H18"/>
    <mergeCell ref="A27:H27"/>
    <mergeCell ref="A28:H29"/>
    <mergeCell ref="A19:E19"/>
    <mergeCell ref="F19:H19"/>
    <mergeCell ref="A20:G20"/>
    <mergeCell ref="A22:G22"/>
    <mergeCell ref="A23:G23"/>
    <mergeCell ref="A25:H26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2"/>
  <sheetViews>
    <sheetView workbookViewId="0">
      <selection activeCell="K22" sqref="K22"/>
    </sheetView>
  </sheetViews>
  <sheetFormatPr defaultColWidth="8.85546875" defaultRowHeight="15" x14ac:dyDescent="0.25"/>
  <cols>
    <col min="7" max="7" width="13.85546875" customWidth="1"/>
    <col min="8" max="8" width="25.42578125" customWidth="1"/>
    <col min="9" max="9" width="10.42578125" bestFit="1" customWidth="1"/>
  </cols>
  <sheetData>
    <row r="2" spans="1:9" x14ac:dyDescent="0.25">
      <c r="A2" s="75" t="s">
        <v>13</v>
      </c>
      <c r="B2" s="75"/>
      <c r="C2" s="75"/>
      <c r="D2" s="75"/>
      <c r="E2" s="75"/>
      <c r="F2" s="75"/>
      <c r="G2" s="75"/>
      <c r="H2" s="75"/>
    </row>
    <row r="3" spans="1:9" ht="58.5" customHeight="1" x14ac:dyDescent="0.25">
      <c r="A3" s="76"/>
      <c r="B3" s="76"/>
      <c r="C3" s="76"/>
      <c r="D3" s="76"/>
      <c r="E3" s="76"/>
      <c r="F3" s="76"/>
      <c r="G3" s="76"/>
      <c r="H3" s="76"/>
    </row>
    <row r="4" spans="1:9" ht="27.75" customHeight="1" x14ac:dyDescent="0.3">
      <c r="A4" s="77" t="s">
        <v>14</v>
      </c>
      <c r="B4" s="78"/>
      <c r="C4" s="78"/>
      <c r="D4" s="78"/>
      <c r="E4" s="78"/>
      <c r="F4" s="78"/>
      <c r="G4" s="78"/>
      <c r="H4" s="8"/>
    </row>
    <row r="5" spans="1:9" ht="18" x14ac:dyDescent="0.2">
      <c r="A5" s="9"/>
      <c r="B5" s="10"/>
      <c r="C5" s="10"/>
      <c r="D5" s="10"/>
      <c r="E5" s="10"/>
      <c r="F5" s="10"/>
      <c r="G5" s="10"/>
      <c r="H5" s="6"/>
    </row>
    <row r="6" spans="1:9" ht="26.25" customHeight="1" x14ac:dyDescent="0.2">
      <c r="A6" s="9"/>
      <c r="B6" s="10"/>
      <c r="C6" s="10"/>
      <c r="D6" s="10"/>
      <c r="E6" s="10"/>
      <c r="F6" s="10"/>
      <c r="G6" s="10"/>
      <c r="H6" s="6"/>
    </row>
    <row r="7" spans="1:9" ht="15" customHeight="1" x14ac:dyDescent="0.3">
      <c r="A7" s="69" t="s">
        <v>15</v>
      </c>
      <c r="B7" s="70"/>
      <c r="C7" s="70"/>
      <c r="D7" s="70"/>
      <c r="E7" s="70"/>
      <c r="F7" s="70"/>
      <c r="G7" s="70"/>
      <c r="H7" s="2">
        <f>556124.98</f>
        <v>556124.98</v>
      </c>
    </row>
    <row r="8" spans="1:9" ht="39" customHeight="1" x14ac:dyDescent="0.3">
      <c r="A8" s="85" t="s">
        <v>0</v>
      </c>
      <c r="B8" s="86"/>
      <c r="C8" s="86"/>
      <c r="D8" s="86"/>
      <c r="E8" s="86"/>
      <c r="F8" s="86"/>
      <c r="G8" s="86"/>
      <c r="H8" s="2">
        <f>SUM(F9:H19)</f>
        <v>541088.79999999993</v>
      </c>
    </row>
    <row r="9" spans="1:9" ht="15" customHeight="1" x14ac:dyDescent="0.25">
      <c r="A9" s="92" t="s">
        <v>1</v>
      </c>
      <c r="B9" s="90"/>
      <c r="C9" s="90"/>
      <c r="D9" s="90"/>
      <c r="E9" s="91"/>
      <c r="F9" s="64">
        <v>204027.2</v>
      </c>
      <c r="G9" s="65"/>
      <c r="H9" s="66"/>
      <c r="I9" s="7"/>
    </row>
    <row r="10" spans="1:9" ht="15" customHeight="1" x14ac:dyDescent="0.25">
      <c r="A10" s="89" t="s">
        <v>2</v>
      </c>
      <c r="B10" s="90"/>
      <c r="C10" s="90"/>
      <c r="D10" s="90"/>
      <c r="E10" s="91"/>
      <c r="F10" s="64">
        <v>44843.19</v>
      </c>
      <c r="G10" s="65"/>
      <c r="H10" s="66"/>
    </row>
    <row r="11" spans="1:9" ht="15" customHeight="1" x14ac:dyDescent="0.25">
      <c r="A11" s="61" t="s">
        <v>3</v>
      </c>
      <c r="B11" s="84"/>
      <c r="C11" s="84"/>
      <c r="D11" s="84"/>
      <c r="E11" s="84"/>
      <c r="F11" s="64">
        <v>30338.35</v>
      </c>
      <c r="G11" s="65"/>
      <c r="H11" s="66"/>
    </row>
    <row r="12" spans="1:9" ht="15" customHeight="1" x14ac:dyDescent="0.25">
      <c r="A12" s="61" t="s">
        <v>4</v>
      </c>
      <c r="B12" s="84"/>
      <c r="C12" s="84"/>
      <c r="D12" s="84"/>
      <c r="E12" s="84"/>
      <c r="F12" s="64">
        <v>35918.550000000003</v>
      </c>
      <c r="G12" s="65"/>
      <c r="H12" s="66"/>
    </row>
    <row r="13" spans="1:9" ht="15" customHeight="1" x14ac:dyDescent="0.25">
      <c r="A13" s="61" t="s">
        <v>5</v>
      </c>
      <c r="B13" s="84"/>
      <c r="C13" s="84"/>
      <c r="D13" s="84"/>
      <c r="E13" s="84"/>
      <c r="F13" s="64"/>
      <c r="G13" s="65"/>
      <c r="H13" s="66"/>
    </row>
    <row r="14" spans="1:9" ht="15" customHeight="1" x14ac:dyDescent="0.25">
      <c r="A14" s="61" t="s">
        <v>6</v>
      </c>
      <c r="B14" s="84"/>
      <c r="C14" s="84"/>
      <c r="D14" s="84"/>
      <c r="E14" s="84"/>
      <c r="F14" s="64">
        <v>4117.6000000000004</v>
      </c>
      <c r="G14" s="65"/>
      <c r="H14" s="66"/>
    </row>
    <row r="15" spans="1:9" ht="15" customHeight="1" x14ac:dyDescent="0.25">
      <c r="A15" s="61" t="s">
        <v>7</v>
      </c>
      <c r="B15" s="84"/>
      <c r="C15" s="84"/>
      <c r="D15" s="84"/>
      <c r="E15" s="84"/>
      <c r="F15" s="64">
        <v>134.65</v>
      </c>
      <c r="G15" s="65"/>
      <c r="H15" s="66"/>
    </row>
    <row r="16" spans="1:9" ht="15" customHeight="1" x14ac:dyDescent="0.25">
      <c r="A16" s="61" t="s">
        <v>9</v>
      </c>
      <c r="B16" s="84"/>
      <c r="C16" s="84"/>
      <c r="D16" s="84"/>
      <c r="E16" s="84"/>
      <c r="F16" s="64">
        <v>3857.17</v>
      </c>
      <c r="G16" s="65"/>
      <c r="H16" s="66"/>
    </row>
    <row r="17" spans="1:9" ht="15" customHeight="1" x14ac:dyDescent="0.25">
      <c r="A17" s="61" t="s">
        <v>10</v>
      </c>
      <c r="B17" s="87"/>
      <c r="C17" s="87"/>
      <c r="D17" s="87"/>
      <c r="E17" s="88"/>
      <c r="F17" s="64">
        <v>35620.25</v>
      </c>
      <c r="G17" s="65"/>
      <c r="H17" s="66"/>
    </row>
    <row r="18" spans="1:9" ht="15" customHeight="1" x14ac:dyDescent="0.25">
      <c r="A18" s="61" t="s">
        <v>11</v>
      </c>
      <c r="B18" s="87"/>
      <c r="C18" s="87"/>
      <c r="D18" s="87"/>
      <c r="E18" s="88"/>
      <c r="F18" s="64"/>
      <c r="G18" s="65"/>
      <c r="H18" s="66"/>
    </row>
    <row r="19" spans="1:9" ht="15" customHeight="1" x14ac:dyDescent="0.25">
      <c r="A19" s="61" t="s">
        <v>8</v>
      </c>
      <c r="B19" s="84"/>
      <c r="C19" s="84"/>
      <c r="D19" s="84"/>
      <c r="E19" s="84"/>
      <c r="F19" s="64">
        <v>182231.84</v>
      </c>
      <c r="G19" s="65"/>
      <c r="H19" s="66"/>
      <c r="I19" s="7"/>
    </row>
    <row r="20" spans="1:9" ht="15" customHeight="1" x14ac:dyDescent="0.2">
      <c r="A20" s="85"/>
      <c r="B20" s="86"/>
      <c r="C20" s="86"/>
      <c r="D20" s="86"/>
      <c r="E20" s="86"/>
      <c r="F20" s="86"/>
      <c r="G20" s="86"/>
      <c r="H20" s="2"/>
      <c r="I20" s="7"/>
    </row>
    <row r="21" spans="1:9" ht="15" customHeight="1" x14ac:dyDescent="0.25">
      <c r="A21" s="9"/>
      <c r="B21" s="10"/>
      <c r="C21" s="10"/>
      <c r="D21" s="10"/>
      <c r="E21" s="10"/>
      <c r="F21" s="3"/>
      <c r="G21" s="3"/>
      <c r="H21" s="2"/>
    </row>
    <row r="22" spans="1:9" ht="15" customHeight="1" x14ac:dyDescent="0.2">
      <c r="A22" s="69"/>
      <c r="B22" s="70"/>
      <c r="C22" s="70"/>
      <c r="D22" s="70"/>
      <c r="E22" s="70"/>
      <c r="F22" s="70"/>
      <c r="G22" s="70"/>
      <c r="H22" s="2"/>
    </row>
    <row r="23" spans="1:9" ht="15" customHeight="1" x14ac:dyDescent="0.3">
      <c r="A23" s="71" t="s">
        <v>16</v>
      </c>
      <c r="B23" s="72"/>
      <c r="C23" s="72"/>
      <c r="D23" s="72"/>
      <c r="E23" s="72"/>
      <c r="F23" s="72"/>
      <c r="G23" s="72"/>
      <c r="H23" s="4">
        <f>960654.07-H7</f>
        <v>404529.08999999997</v>
      </c>
    </row>
    <row r="24" spans="1:9" ht="15" customHeight="1" x14ac:dyDescent="0.2">
      <c r="A24" s="1"/>
      <c r="B24" s="1"/>
      <c r="C24" s="1"/>
      <c r="D24" s="1"/>
      <c r="E24" s="1"/>
      <c r="F24" s="1"/>
      <c r="G24" s="5"/>
      <c r="H24" s="5"/>
    </row>
    <row r="25" spans="1:9" ht="36.75" customHeight="1" x14ac:dyDescent="0.25">
      <c r="A25" s="73" t="s">
        <v>17</v>
      </c>
      <c r="B25" s="73"/>
      <c r="C25" s="73"/>
      <c r="D25" s="73"/>
      <c r="E25" s="73"/>
      <c r="F25" s="73"/>
      <c r="G25" s="73"/>
      <c r="H25" s="73"/>
    </row>
    <row r="26" spans="1:9" ht="15" customHeight="1" x14ac:dyDescent="0.25">
      <c r="A26" s="73"/>
      <c r="B26" s="73"/>
      <c r="C26" s="73"/>
      <c r="D26" s="73"/>
      <c r="E26" s="73"/>
      <c r="F26" s="73"/>
      <c r="G26" s="73"/>
      <c r="H26" s="73"/>
    </row>
    <row r="27" spans="1:9" ht="21" customHeight="1" x14ac:dyDescent="0.25">
      <c r="A27" s="59"/>
      <c r="B27" s="59"/>
      <c r="C27" s="59"/>
      <c r="D27" s="59"/>
      <c r="E27" s="59"/>
      <c r="F27" s="59"/>
      <c r="G27" s="59"/>
      <c r="H27" s="59"/>
    </row>
    <row r="28" spans="1:9" ht="22.5" customHeight="1" x14ac:dyDescent="0.25">
      <c r="A28" s="60" t="s">
        <v>12</v>
      </c>
      <c r="B28" s="60"/>
      <c r="C28" s="60"/>
      <c r="D28" s="60"/>
      <c r="E28" s="60"/>
      <c r="F28" s="60"/>
      <c r="G28" s="60"/>
      <c r="H28" s="60"/>
    </row>
    <row r="29" spans="1:9" ht="15" customHeight="1" x14ac:dyDescent="0.25">
      <c r="A29" s="60"/>
      <c r="B29" s="60"/>
      <c r="C29" s="60"/>
      <c r="D29" s="60"/>
      <c r="E29" s="60"/>
      <c r="F29" s="60"/>
      <c r="G29" s="60"/>
      <c r="H29" s="60"/>
    </row>
    <row r="30" spans="1:9" ht="43.5" customHeight="1" x14ac:dyDescent="0.25"/>
    <row r="31" spans="1:9" ht="10.35" customHeight="1" x14ac:dyDescent="0.25"/>
    <row r="32" spans="1:9" ht="84" hidden="1" customHeight="1" x14ac:dyDescent="0.2"/>
  </sheetData>
  <mergeCells count="32">
    <mergeCell ref="A2:H3"/>
    <mergeCell ref="A4:G4"/>
    <mergeCell ref="A7:G7"/>
    <mergeCell ref="A8:G8"/>
    <mergeCell ref="A9:E9"/>
    <mergeCell ref="F9:H9"/>
    <mergeCell ref="A10:E10"/>
    <mergeCell ref="F10:H10"/>
    <mergeCell ref="A11:E11"/>
    <mergeCell ref="F11:H11"/>
    <mergeCell ref="A12:E12"/>
    <mergeCell ref="F12:H12"/>
    <mergeCell ref="A13:E13"/>
    <mergeCell ref="F13:H13"/>
    <mergeCell ref="A14:E14"/>
    <mergeCell ref="F14:H14"/>
    <mergeCell ref="A15:E15"/>
    <mergeCell ref="F15:H15"/>
    <mergeCell ref="A16:E16"/>
    <mergeCell ref="F16:H16"/>
    <mergeCell ref="A17:E17"/>
    <mergeCell ref="F17:H17"/>
    <mergeCell ref="A18:E18"/>
    <mergeCell ref="F18:H18"/>
    <mergeCell ref="A27:H27"/>
    <mergeCell ref="A28:H29"/>
    <mergeCell ref="A19:E19"/>
    <mergeCell ref="F19:H19"/>
    <mergeCell ref="A20:G20"/>
    <mergeCell ref="A22:G22"/>
    <mergeCell ref="A23:G23"/>
    <mergeCell ref="A25:H2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2"/>
  <sheetViews>
    <sheetView workbookViewId="0">
      <selection activeCell="H23" sqref="H23"/>
    </sheetView>
  </sheetViews>
  <sheetFormatPr defaultColWidth="8.85546875" defaultRowHeight="15" x14ac:dyDescent="0.25"/>
  <cols>
    <col min="7" max="7" width="13.85546875" customWidth="1"/>
    <col min="8" max="8" width="25.42578125" customWidth="1"/>
    <col min="9" max="9" width="10.42578125" bestFit="1" customWidth="1"/>
  </cols>
  <sheetData>
    <row r="2" spans="1:9" ht="15" customHeight="1" x14ac:dyDescent="0.25">
      <c r="A2" s="75" t="s">
        <v>111</v>
      </c>
      <c r="B2" s="75"/>
      <c r="C2" s="75"/>
      <c r="D2" s="75"/>
      <c r="E2" s="75"/>
      <c r="F2" s="75"/>
      <c r="G2" s="75"/>
      <c r="H2" s="75"/>
    </row>
    <row r="3" spans="1:9" ht="58.5" customHeight="1" x14ac:dyDescent="0.25">
      <c r="A3" s="76"/>
      <c r="B3" s="76"/>
      <c r="C3" s="76"/>
      <c r="D3" s="76"/>
      <c r="E3" s="76"/>
      <c r="F3" s="76"/>
      <c r="G3" s="76"/>
      <c r="H3" s="76"/>
    </row>
    <row r="4" spans="1:9" ht="27.75" customHeight="1" x14ac:dyDescent="0.3">
      <c r="A4" s="77" t="s">
        <v>110</v>
      </c>
      <c r="B4" s="78"/>
      <c r="C4" s="78"/>
      <c r="D4" s="78"/>
      <c r="E4" s="78"/>
      <c r="F4" s="78"/>
      <c r="G4" s="78"/>
      <c r="H4" s="8">
        <f>'сентябрь 2018'!H23</f>
        <v>367550.47</v>
      </c>
    </row>
    <row r="5" spans="1:9" ht="18" x14ac:dyDescent="0.2">
      <c r="A5" s="53"/>
      <c r="B5" s="54"/>
      <c r="C5" s="54"/>
      <c r="D5" s="54"/>
      <c r="E5" s="54"/>
      <c r="F5" s="54"/>
      <c r="G5" s="54"/>
      <c r="H5" s="6"/>
    </row>
    <row r="6" spans="1:9" ht="26.25" customHeight="1" x14ac:dyDescent="0.2">
      <c r="A6" s="53"/>
      <c r="B6" s="54"/>
      <c r="C6" s="54"/>
      <c r="D6" s="54"/>
      <c r="E6" s="54"/>
      <c r="F6" s="54"/>
      <c r="G6" s="54"/>
      <c r="H6" s="6"/>
    </row>
    <row r="7" spans="1:9" ht="15" customHeight="1" x14ac:dyDescent="0.3">
      <c r="A7" s="69" t="s">
        <v>112</v>
      </c>
      <c r="B7" s="70"/>
      <c r="C7" s="70"/>
      <c r="D7" s="70"/>
      <c r="E7" s="70"/>
      <c r="F7" s="70"/>
      <c r="G7" s="70"/>
      <c r="H7" s="2">
        <f>512534.29</f>
        <v>512534.29</v>
      </c>
    </row>
    <row r="8" spans="1:9" ht="39" customHeight="1" x14ac:dyDescent="0.3">
      <c r="A8" s="79" t="s">
        <v>0</v>
      </c>
      <c r="B8" s="80"/>
      <c r="C8" s="80"/>
      <c r="D8" s="80"/>
      <c r="E8" s="80"/>
      <c r="F8" s="80"/>
      <c r="G8" s="80"/>
      <c r="H8" s="2">
        <f>SUM(F9:H19)</f>
        <v>435577.0400000001</v>
      </c>
    </row>
    <row r="9" spans="1:9" ht="15" customHeight="1" x14ac:dyDescent="0.25">
      <c r="A9" s="81" t="s">
        <v>1</v>
      </c>
      <c r="B9" s="82"/>
      <c r="C9" s="82"/>
      <c r="D9" s="82"/>
      <c r="E9" s="83"/>
      <c r="F9" s="64">
        <f>193440.55+0.72+2898.09+1486.64+919.47+6256.57</f>
        <v>205002.04</v>
      </c>
      <c r="G9" s="65"/>
      <c r="H9" s="66"/>
      <c r="I9" s="7"/>
    </row>
    <row r="10" spans="1:9" ht="15" customHeight="1" x14ac:dyDescent="0.25">
      <c r="A10" s="74" t="s">
        <v>2</v>
      </c>
      <c r="B10" s="62"/>
      <c r="C10" s="62"/>
      <c r="D10" s="62"/>
      <c r="E10" s="63"/>
      <c r="F10" s="64">
        <f>41627.04</f>
        <v>41627.040000000001</v>
      </c>
      <c r="G10" s="65"/>
      <c r="H10" s="66"/>
    </row>
    <row r="11" spans="1:9" ht="15" customHeight="1" x14ac:dyDescent="0.25">
      <c r="A11" s="61" t="s">
        <v>3</v>
      </c>
      <c r="B11" s="62"/>
      <c r="C11" s="62"/>
      <c r="D11" s="62"/>
      <c r="E11" s="63"/>
      <c r="F11" s="64">
        <f>42167.18</f>
        <v>42167.18</v>
      </c>
      <c r="G11" s="65"/>
      <c r="H11" s="66"/>
    </row>
    <row r="12" spans="1:9" ht="15" customHeight="1" x14ac:dyDescent="0.25">
      <c r="A12" s="61" t="s">
        <v>4</v>
      </c>
      <c r="B12" s="62"/>
      <c r="C12" s="62"/>
      <c r="D12" s="62"/>
      <c r="E12" s="63"/>
      <c r="F12" s="64">
        <f>42225.96</f>
        <v>42225.96</v>
      </c>
      <c r="G12" s="65"/>
      <c r="H12" s="66"/>
    </row>
    <row r="13" spans="1:9" ht="15" customHeight="1" x14ac:dyDescent="0.25">
      <c r="A13" s="61" t="s">
        <v>5</v>
      </c>
      <c r="B13" s="62"/>
      <c r="C13" s="62"/>
      <c r="D13" s="62"/>
      <c r="E13" s="63"/>
      <c r="F13" s="64">
        <f>61026.71</f>
        <v>61026.71</v>
      </c>
      <c r="G13" s="65"/>
      <c r="H13" s="66"/>
    </row>
    <row r="14" spans="1:9" ht="15" customHeight="1" x14ac:dyDescent="0.25">
      <c r="A14" s="61" t="s">
        <v>6</v>
      </c>
      <c r="B14" s="62"/>
      <c r="C14" s="62"/>
      <c r="D14" s="62"/>
      <c r="E14" s="63"/>
      <c r="F14" s="64">
        <f>3895.08</f>
        <v>3895.08</v>
      </c>
      <c r="G14" s="65"/>
      <c r="H14" s="66"/>
    </row>
    <row r="15" spans="1:9" ht="15" customHeight="1" x14ac:dyDescent="0.25">
      <c r="A15" s="61" t="s">
        <v>7</v>
      </c>
      <c r="B15" s="62"/>
      <c r="C15" s="62"/>
      <c r="D15" s="62"/>
      <c r="E15" s="63"/>
      <c r="F15" s="64"/>
      <c r="G15" s="65"/>
      <c r="H15" s="66"/>
    </row>
    <row r="16" spans="1:9" ht="15" customHeight="1" x14ac:dyDescent="0.25">
      <c r="A16" s="61" t="s">
        <v>9</v>
      </c>
      <c r="B16" s="62"/>
      <c r="C16" s="62"/>
      <c r="D16" s="62"/>
      <c r="E16" s="63"/>
      <c r="F16" s="64">
        <f>3487</f>
        <v>3487</v>
      </c>
      <c r="G16" s="65"/>
      <c r="H16" s="66"/>
    </row>
    <row r="17" spans="1:9" ht="15" customHeight="1" x14ac:dyDescent="0.25">
      <c r="A17" s="61" t="s">
        <v>10</v>
      </c>
      <c r="B17" s="62"/>
      <c r="C17" s="62"/>
      <c r="D17" s="62"/>
      <c r="E17" s="63"/>
      <c r="F17" s="64">
        <f>34773.83</f>
        <v>34773.83</v>
      </c>
      <c r="G17" s="65"/>
      <c r="H17" s="66"/>
    </row>
    <row r="18" spans="1:9" ht="15" customHeight="1" x14ac:dyDescent="0.25">
      <c r="A18" s="61" t="s">
        <v>11</v>
      </c>
      <c r="B18" s="62"/>
      <c r="C18" s="62"/>
      <c r="D18" s="62"/>
      <c r="E18" s="63"/>
      <c r="F18" s="64"/>
      <c r="G18" s="65"/>
      <c r="H18" s="66"/>
    </row>
    <row r="19" spans="1:9" ht="15" customHeight="1" x14ac:dyDescent="0.25">
      <c r="A19" s="61" t="s">
        <v>8</v>
      </c>
      <c r="B19" s="62"/>
      <c r="C19" s="62"/>
      <c r="D19" s="62"/>
      <c r="E19" s="63"/>
      <c r="F19" s="64">
        <f>1372.2</f>
        <v>1372.2</v>
      </c>
      <c r="G19" s="65"/>
      <c r="H19" s="66"/>
      <c r="I19" s="7"/>
    </row>
    <row r="20" spans="1:9" ht="15" customHeight="1" x14ac:dyDescent="0.2">
      <c r="A20" s="67"/>
      <c r="B20" s="68"/>
      <c r="C20" s="68"/>
      <c r="D20" s="68"/>
      <c r="E20" s="68"/>
      <c r="F20" s="68"/>
      <c r="G20" s="68"/>
      <c r="H20" s="2"/>
      <c r="I20" s="7"/>
    </row>
    <row r="21" spans="1:9" ht="15" customHeight="1" x14ac:dyDescent="0.25">
      <c r="A21" s="53"/>
      <c r="B21" s="54"/>
      <c r="C21" s="54"/>
      <c r="D21" s="54"/>
      <c r="E21" s="54"/>
      <c r="F21" s="3"/>
      <c r="G21" s="3"/>
      <c r="H21" s="2"/>
    </row>
    <row r="22" spans="1:9" ht="15" customHeight="1" x14ac:dyDescent="0.2">
      <c r="A22" s="69"/>
      <c r="B22" s="70"/>
      <c r="C22" s="70"/>
      <c r="D22" s="70"/>
      <c r="E22" s="70"/>
      <c r="F22" s="70"/>
      <c r="G22" s="70"/>
      <c r="H22" s="2"/>
    </row>
    <row r="23" spans="1:9" ht="15" customHeight="1" x14ac:dyDescent="0.3">
      <c r="A23" s="71" t="s">
        <v>113</v>
      </c>
      <c r="B23" s="72"/>
      <c r="C23" s="72"/>
      <c r="D23" s="72"/>
      <c r="E23" s="72"/>
      <c r="F23" s="72"/>
      <c r="G23" s="72"/>
      <c r="H23" s="4">
        <f>880637.64-H7</f>
        <v>368103.35000000003</v>
      </c>
    </row>
    <row r="24" spans="1:9" ht="15" customHeight="1" x14ac:dyDescent="0.2">
      <c r="A24" s="1"/>
      <c r="B24" s="1"/>
      <c r="C24" s="1"/>
      <c r="D24" s="1"/>
      <c r="E24" s="1"/>
      <c r="F24" s="1"/>
      <c r="G24" s="5"/>
      <c r="H24" s="5"/>
    </row>
    <row r="25" spans="1:9" ht="36.75" customHeight="1" x14ac:dyDescent="0.25">
      <c r="A25" s="73" t="s">
        <v>26</v>
      </c>
      <c r="B25" s="73"/>
      <c r="C25" s="73"/>
      <c r="D25" s="73"/>
      <c r="E25" s="73"/>
      <c r="F25" s="73"/>
      <c r="G25" s="73"/>
      <c r="H25" s="73"/>
    </row>
    <row r="26" spans="1:9" ht="15" customHeight="1" x14ac:dyDescent="0.25">
      <c r="A26" s="73"/>
      <c r="B26" s="73"/>
      <c r="C26" s="73"/>
      <c r="D26" s="73"/>
      <c r="E26" s="73"/>
      <c r="F26" s="73"/>
      <c r="G26" s="73"/>
      <c r="H26" s="73"/>
    </row>
    <row r="27" spans="1:9" ht="21" customHeight="1" x14ac:dyDescent="0.25">
      <c r="A27" s="59"/>
      <c r="B27" s="59"/>
      <c r="C27" s="59"/>
      <c r="D27" s="59"/>
      <c r="E27" s="59"/>
      <c r="F27" s="59"/>
      <c r="G27" s="59"/>
      <c r="H27" s="59"/>
    </row>
    <row r="28" spans="1:9" ht="22.5" customHeight="1" x14ac:dyDescent="0.25">
      <c r="A28" s="60" t="s">
        <v>101</v>
      </c>
      <c r="B28" s="60"/>
      <c r="C28" s="60"/>
      <c r="D28" s="60"/>
      <c r="E28" s="60"/>
      <c r="F28" s="60"/>
      <c r="G28" s="60"/>
      <c r="H28" s="60"/>
    </row>
    <row r="29" spans="1:9" ht="15" customHeight="1" x14ac:dyDescent="0.25">
      <c r="A29" s="60"/>
      <c r="B29" s="60"/>
      <c r="C29" s="60"/>
      <c r="D29" s="60"/>
      <c r="E29" s="60"/>
      <c r="F29" s="60"/>
      <c r="G29" s="60"/>
      <c r="H29" s="60"/>
    </row>
    <row r="30" spans="1:9" ht="43.5" customHeight="1" x14ac:dyDescent="0.25"/>
    <row r="31" spans="1:9" ht="10.35" customHeight="1" x14ac:dyDescent="0.25"/>
    <row r="32" spans="1:9" ht="84" hidden="1" customHeight="1" x14ac:dyDescent="0.2"/>
  </sheetData>
  <mergeCells count="32">
    <mergeCell ref="A27:H27"/>
    <mergeCell ref="A28:H29"/>
    <mergeCell ref="A19:E19"/>
    <mergeCell ref="F19:H19"/>
    <mergeCell ref="A20:G20"/>
    <mergeCell ref="A22:G22"/>
    <mergeCell ref="A23:G23"/>
    <mergeCell ref="A25:H26"/>
    <mergeCell ref="A16:E16"/>
    <mergeCell ref="F16:H16"/>
    <mergeCell ref="A17:E17"/>
    <mergeCell ref="F17:H17"/>
    <mergeCell ref="A18:E18"/>
    <mergeCell ref="F18:H18"/>
    <mergeCell ref="A13:E13"/>
    <mergeCell ref="F13:H13"/>
    <mergeCell ref="A14:E14"/>
    <mergeCell ref="F14:H14"/>
    <mergeCell ref="A15:E15"/>
    <mergeCell ref="F15:H15"/>
    <mergeCell ref="A10:E10"/>
    <mergeCell ref="F10:H10"/>
    <mergeCell ref="A11:E11"/>
    <mergeCell ref="F11:H11"/>
    <mergeCell ref="A12:E12"/>
    <mergeCell ref="F12:H12"/>
    <mergeCell ref="A2:H3"/>
    <mergeCell ref="A4:G4"/>
    <mergeCell ref="A7:G7"/>
    <mergeCell ref="A8:G8"/>
    <mergeCell ref="A9:E9"/>
    <mergeCell ref="F9:H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2"/>
  <sheetViews>
    <sheetView workbookViewId="0">
      <selection activeCell="H24" sqref="H24"/>
    </sheetView>
  </sheetViews>
  <sheetFormatPr defaultColWidth="8.85546875" defaultRowHeight="15" x14ac:dyDescent="0.25"/>
  <cols>
    <col min="7" max="7" width="13.85546875" customWidth="1"/>
    <col min="8" max="8" width="25.42578125" customWidth="1"/>
    <col min="9" max="9" width="10.42578125" bestFit="1" customWidth="1"/>
  </cols>
  <sheetData>
    <row r="2" spans="1:9" ht="15" customHeight="1" x14ac:dyDescent="0.25">
      <c r="A2" s="75" t="s">
        <v>106</v>
      </c>
      <c r="B2" s="75"/>
      <c r="C2" s="75"/>
      <c r="D2" s="75"/>
      <c r="E2" s="75"/>
      <c r="F2" s="75"/>
      <c r="G2" s="75"/>
      <c r="H2" s="75"/>
    </row>
    <row r="3" spans="1:9" ht="58.5" customHeight="1" x14ac:dyDescent="0.25">
      <c r="A3" s="76"/>
      <c r="B3" s="76"/>
      <c r="C3" s="76"/>
      <c r="D3" s="76"/>
      <c r="E3" s="76"/>
      <c r="F3" s="76"/>
      <c r="G3" s="76"/>
      <c r="H3" s="76"/>
    </row>
    <row r="4" spans="1:9" ht="27.75" customHeight="1" x14ac:dyDescent="0.3">
      <c r="A4" s="77" t="s">
        <v>107</v>
      </c>
      <c r="B4" s="78"/>
      <c r="C4" s="78"/>
      <c r="D4" s="78"/>
      <c r="E4" s="78"/>
      <c r="F4" s="78"/>
      <c r="G4" s="78"/>
      <c r="H4" s="8">
        <f>'август 2018'!H23</f>
        <v>417029.72000000003</v>
      </c>
    </row>
    <row r="5" spans="1:9" ht="18" x14ac:dyDescent="0.2">
      <c r="A5" s="51"/>
      <c r="B5" s="52"/>
      <c r="C5" s="52"/>
      <c r="D5" s="52"/>
      <c r="E5" s="52"/>
      <c r="F5" s="52"/>
      <c r="G5" s="52"/>
      <c r="H5" s="6"/>
    </row>
    <row r="6" spans="1:9" ht="26.25" customHeight="1" x14ac:dyDescent="0.2">
      <c r="A6" s="51"/>
      <c r="B6" s="52"/>
      <c r="C6" s="52"/>
      <c r="D6" s="52"/>
      <c r="E6" s="52"/>
      <c r="F6" s="52"/>
      <c r="G6" s="52"/>
      <c r="H6" s="6"/>
    </row>
    <row r="7" spans="1:9" ht="15" customHeight="1" x14ac:dyDescent="0.3">
      <c r="A7" s="69" t="s">
        <v>108</v>
      </c>
      <c r="B7" s="70"/>
      <c r="C7" s="70"/>
      <c r="D7" s="70"/>
      <c r="E7" s="70"/>
      <c r="F7" s="70"/>
      <c r="G7" s="70"/>
      <c r="H7" s="2">
        <v>445695.39</v>
      </c>
    </row>
    <row r="8" spans="1:9" ht="39" customHeight="1" x14ac:dyDescent="0.3">
      <c r="A8" s="79" t="s">
        <v>0</v>
      </c>
      <c r="B8" s="80"/>
      <c r="C8" s="80"/>
      <c r="D8" s="80"/>
      <c r="E8" s="80"/>
      <c r="F8" s="80"/>
      <c r="G8" s="80"/>
      <c r="H8" s="2">
        <f>SUM(F9:H19)</f>
        <v>442664.41999999993</v>
      </c>
    </row>
    <row r="9" spans="1:9" ht="15" customHeight="1" x14ac:dyDescent="0.25">
      <c r="A9" s="81" t="s">
        <v>1</v>
      </c>
      <c r="B9" s="82"/>
      <c r="C9" s="82"/>
      <c r="D9" s="82"/>
      <c r="E9" s="83"/>
      <c r="F9" s="64">
        <f>190238.13+10.71+2750.55+1444.16+889.48+5957.36</f>
        <v>201290.38999999998</v>
      </c>
      <c r="G9" s="65"/>
      <c r="H9" s="66"/>
      <c r="I9" s="7"/>
    </row>
    <row r="10" spans="1:9" ht="15" customHeight="1" x14ac:dyDescent="0.25">
      <c r="A10" s="74" t="s">
        <v>2</v>
      </c>
      <c r="B10" s="62"/>
      <c r="C10" s="62"/>
      <c r="D10" s="62"/>
      <c r="E10" s="63"/>
      <c r="F10" s="64">
        <f>44160.12</f>
        <v>44160.12</v>
      </c>
      <c r="G10" s="65"/>
      <c r="H10" s="66"/>
    </row>
    <row r="11" spans="1:9" ht="15" customHeight="1" x14ac:dyDescent="0.25">
      <c r="A11" s="61" t="s">
        <v>3</v>
      </c>
      <c r="B11" s="62"/>
      <c r="C11" s="62"/>
      <c r="D11" s="62"/>
      <c r="E11" s="63"/>
      <c r="F11" s="64">
        <f>36291.92</f>
        <v>36291.919999999998</v>
      </c>
      <c r="G11" s="65"/>
      <c r="H11" s="66"/>
    </row>
    <row r="12" spans="1:9" ht="15" customHeight="1" x14ac:dyDescent="0.25">
      <c r="A12" s="61" t="s">
        <v>4</v>
      </c>
      <c r="B12" s="62"/>
      <c r="C12" s="62"/>
      <c r="D12" s="62"/>
      <c r="E12" s="63"/>
      <c r="F12" s="64">
        <f>35904.04</f>
        <v>35904.04</v>
      </c>
      <c r="G12" s="65"/>
      <c r="H12" s="66"/>
    </row>
    <row r="13" spans="1:9" ht="15" customHeight="1" x14ac:dyDescent="0.25">
      <c r="A13" s="61" t="s">
        <v>5</v>
      </c>
      <c r="B13" s="62"/>
      <c r="C13" s="62"/>
      <c r="D13" s="62"/>
      <c r="E13" s="63"/>
      <c r="F13" s="64">
        <f>74672.55</f>
        <v>74672.55</v>
      </c>
      <c r="G13" s="65"/>
      <c r="H13" s="66"/>
    </row>
    <row r="14" spans="1:9" ht="15" customHeight="1" x14ac:dyDescent="0.25">
      <c r="A14" s="61" t="s">
        <v>6</v>
      </c>
      <c r="B14" s="62"/>
      <c r="C14" s="62"/>
      <c r="D14" s="62"/>
      <c r="E14" s="63"/>
      <c r="F14" s="64">
        <f>3801.86</f>
        <v>3801.86</v>
      </c>
      <c r="G14" s="65"/>
      <c r="H14" s="66"/>
    </row>
    <row r="15" spans="1:9" ht="15" customHeight="1" x14ac:dyDescent="0.25">
      <c r="A15" s="61" t="s">
        <v>7</v>
      </c>
      <c r="B15" s="62"/>
      <c r="C15" s="62"/>
      <c r="D15" s="62"/>
      <c r="E15" s="63"/>
      <c r="F15" s="64"/>
      <c r="G15" s="65"/>
      <c r="H15" s="66"/>
    </row>
    <row r="16" spans="1:9" ht="15" customHeight="1" x14ac:dyDescent="0.25">
      <c r="A16" s="61" t="s">
        <v>9</v>
      </c>
      <c r="B16" s="62"/>
      <c r="C16" s="62"/>
      <c r="D16" s="62"/>
      <c r="E16" s="63"/>
      <c r="F16" s="64">
        <f>3589.63</f>
        <v>3589.63</v>
      </c>
      <c r="G16" s="65"/>
      <c r="H16" s="66"/>
    </row>
    <row r="17" spans="1:9" ht="15" customHeight="1" x14ac:dyDescent="0.25">
      <c r="A17" s="61" t="s">
        <v>10</v>
      </c>
      <c r="B17" s="62"/>
      <c r="C17" s="62"/>
      <c r="D17" s="62"/>
      <c r="E17" s="63"/>
      <c r="F17" s="64">
        <f>33927.62</f>
        <v>33927.620000000003</v>
      </c>
      <c r="G17" s="65"/>
      <c r="H17" s="66"/>
    </row>
    <row r="18" spans="1:9" ht="15" customHeight="1" x14ac:dyDescent="0.25">
      <c r="A18" s="61" t="s">
        <v>11</v>
      </c>
      <c r="B18" s="62"/>
      <c r="C18" s="62"/>
      <c r="D18" s="62"/>
      <c r="E18" s="63"/>
      <c r="F18" s="64"/>
      <c r="G18" s="65"/>
      <c r="H18" s="66"/>
    </row>
    <row r="19" spans="1:9" ht="15" customHeight="1" x14ac:dyDescent="0.25">
      <c r="A19" s="61" t="s">
        <v>8</v>
      </c>
      <c r="B19" s="62"/>
      <c r="C19" s="62"/>
      <c r="D19" s="62"/>
      <c r="E19" s="63"/>
      <c r="F19" s="64">
        <f>9026.29</f>
        <v>9026.2900000000009</v>
      </c>
      <c r="G19" s="65"/>
      <c r="H19" s="66"/>
      <c r="I19" s="7"/>
    </row>
    <row r="20" spans="1:9" ht="15" customHeight="1" x14ac:dyDescent="0.2">
      <c r="A20" s="67"/>
      <c r="B20" s="68"/>
      <c r="C20" s="68"/>
      <c r="D20" s="68"/>
      <c r="E20" s="68"/>
      <c r="F20" s="68"/>
      <c r="G20" s="68"/>
      <c r="H20" s="2"/>
      <c r="I20" s="7"/>
    </row>
    <row r="21" spans="1:9" ht="15" customHeight="1" x14ac:dyDescent="0.25">
      <c r="A21" s="51"/>
      <c r="B21" s="52"/>
      <c r="C21" s="52"/>
      <c r="D21" s="52"/>
      <c r="E21" s="52"/>
      <c r="F21" s="3"/>
      <c r="G21" s="3"/>
      <c r="H21" s="2"/>
    </row>
    <row r="22" spans="1:9" ht="15" customHeight="1" x14ac:dyDescent="0.2">
      <c r="A22" s="69"/>
      <c r="B22" s="70"/>
      <c r="C22" s="70"/>
      <c r="D22" s="70"/>
      <c r="E22" s="70"/>
      <c r="F22" s="70"/>
      <c r="G22" s="70"/>
      <c r="H22" s="2"/>
    </row>
    <row r="23" spans="1:9" ht="15" customHeight="1" x14ac:dyDescent="0.3">
      <c r="A23" s="71" t="s">
        <v>109</v>
      </c>
      <c r="B23" s="72"/>
      <c r="C23" s="72"/>
      <c r="D23" s="72"/>
      <c r="E23" s="72"/>
      <c r="F23" s="72"/>
      <c r="G23" s="72"/>
      <c r="H23" s="4">
        <f>813245.86-H7</f>
        <v>367550.47</v>
      </c>
    </row>
    <row r="24" spans="1:9" ht="15" customHeight="1" x14ac:dyDescent="0.2">
      <c r="A24" s="1"/>
      <c r="B24" s="1"/>
      <c r="C24" s="1"/>
      <c r="D24" s="1"/>
      <c r="E24" s="1"/>
      <c r="F24" s="1"/>
      <c r="G24" s="5"/>
      <c r="H24" s="5"/>
    </row>
    <row r="25" spans="1:9" ht="36.75" customHeight="1" x14ac:dyDescent="0.25">
      <c r="A25" s="73" t="s">
        <v>26</v>
      </c>
      <c r="B25" s="73"/>
      <c r="C25" s="73"/>
      <c r="D25" s="73"/>
      <c r="E25" s="73"/>
      <c r="F25" s="73"/>
      <c r="G25" s="73"/>
      <c r="H25" s="73"/>
    </row>
    <row r="26" spans="1:9" ht="15" customHeight="1" x14ac:dyDescent="0.25">
      <c r="A26" s="73"/>
      <c r="B26" s="73"/>
      <c r="C26" s="73"/>
      <c r="D26" s="73"/>
      <c r="E26" s="73"/>
      <c r="F26" s="73"/>
      <c r="G26" s="73"/>
      <c r="H26" s="73"/>
    </row>
    <row r="27" spans="1:9" ht="21" customHeight="1" x14ac:dyDescent="0.25">
      <c r="A27" s="59"/>
      <c r="B27" s="59"/>
      <c r="C27" s="59"/>
      <c r="D27" s="59"/>
      <c r="E27" s="59"/>
      <c r="F27" s="59"/>
      <c r="G27" s="59"/>
      <c r="H27" s="59"/>
    </row>
    <row r="28" spans="1:9" ht="22.5" customHeight="1" x14ac:dyDescent="0.25">
      <c r="A28" s="60" t="s">
        <v>101</v>
      </c>
      <c r="B28" s="60"/>
      <c r="C28" s="60"/>
      <c r="D28" s="60"/>
      <c r="E28" s="60"/>
      <c r="F28" s="60"/>
      <c r="G28" s="60"/>
      <c r="H28" s="60"/>
    </row>
    <row r="29" spans="1:9" ht="15" customHeight="1" x14ac:dyDescent="0.25">
      <c r="A29" s="60"/>
      <c r="B29" s="60"/>
      <c r="C29" s="60"/>
      <c r="D29" s="60"/>
      <c r="E29" s="60"/>
      <c r="F29" s="60"/>
      <c r="G29" s="60"/>
      <c r="H29" s="60"/>
    </row>
    <row r="30" spans="1:9" ht="43.5" customHeight="1" x14ac:dyDescent="0.25"/>
    <row r="31" spans="1:9" ht="10.35" customHeight="1" x14ac:dyDescent="0.25"/>
    <row r="32" spans="1:9" ht="84" hidden="1" customHeight="1" x14ac:dyDescent="0.2"/>
  </sheetData>
  <mergeCells count="32">
    <mergeCell ref="A2:H3"/>
    <mergeCell ref="A4:G4"/>
    <mergeCell ref="A7:G7"/>
    <mergeCell ref="A8:G8"/>
    <mergeCell ref="A9:E9"/>
    <mergeCell ref="F9:H9"/>
    <mergeCell ref="A10:E10"/>
    <mergeCell ref="F10:H10"/>
    <mergeCell ref="A11:E11"/>
    <mergeCell ref="F11:H11"/>
    <mergeCell ref="A12:E12"/>
    <mergeCell ref="F12:H12"/>
    <mergeCell ref="A13:E13"/>
    <mergeCell ref="F13:H13"/>
    <mergeCell ref="A14:E14"/>
    <mergeCell ref="F14:H14"/>
    <mergeCell ref="A15:E15"/>
    <mergeCell ref="F15:H15"/>
    <mergeCell ref="A16:E16"/>
    <mergeCell ref="F16:H16"/>
    <mergeCell ref="A17:E17"/>
    <mergeCell ref="F17:H17"/>
    <mergeCell ref="A18:E18"/>
    <mergeCell ref="F18:H18"/>
    <mergeCell ref="A27:H27"/>
    <mergeCell ref="A28:H29"/>
    <mergeCell ref="A19:E19"/>
    <mergeCell ref="F19:H19"/>
    <mergeCell ref="A20:G20"/>
    <mergeCell ref="A22:G22"/>
    <mergeCell ref="A23:G23"/>
    <mergeCell ref="A25:H2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2"/>
  <sheetViews>
    <sheetView workbookViewId="0">
      <selection activeCell="A20" sqref="A20:G20"/>
    </sheetView>
  </sheetViews>
  <sheetFormatPr defaultColWidth="8.85546875" defaultRowHeight="15" x14ac:dyDescent="0.25"/>
  <cols>
    <col min="7" max="7" width="13.85546875" customWidth="1"/>
    <col min="8" max="8" width="25.42578125" customWidth="1"/>
    <col min="9" max="9" width="10.42578125" bestFit="1" customWidth="1"/>
  </cols>
  <sheetData>
    <row r="2" spans="1:9" ht="15" customHeight="1" x14ac:dyDescent="0.25">
      <c r="A2" s="75" t="s">
        <v>102</v>
      </c>
      <c r="B2" s="75"/>
      <c r="C2" s="75"/>
      <c r="D2" s="75"/>
      <c r="E2" s="75"/>
      <c r="F2" s="75"/>
      <c r="G2" s="75"/>
      <c r="H2" s="75"/>
    </row>
    <row r="3" spans="1:9" ht="58.5" customHeight="1" x14ac:dyDescent="0.25">
      <c r="A3" s="76"/>
      <c r="B3" s="76"/>
      <c r="C3" s="76"/>
      <c r="D3" s="76"/>
      <c r="E3" s="76"/>
      <c r="F3" s="76"/>
      <c r="G3" s="76"/>
      <c r="H3" s="76"/>
    </row>
    <row r="4" spans="1:9" ht="27.75" customHeight="1" x14ac:dyDescent="0.3">
      <c r="A4" s="77" t="s">
        <v>103</v>
      </c>
      <c r="B4" s="78"/>
      <c r="C4" s="78"/>
      <c r="D4" s="78"/>
      <c r="E4" s="78"/>
      <c r="F4" s="78"/>
      <c r="G4" s="78"/>
      <c r="H4" s="8">
        <f>'июль 2018 '!H23</f>
        <v>393838.54000000004</v>
      </c>
    </row>
    <row r="5" spans="1:9" ht="18" x14ac:dyDescent="0.2">
      <c r="A5" s="49"/>
      <c r="B5" s="50"/>
      <c r="C5" s="50"/>
      <c r="D5" s="50"/>
      <c r="E5" s="50"/>
      <c r="F5" s="50"/>
      <c r="G5" s="50"/>
      <c r="H5" s="6"/>
    </row>
    <row r="6" spans="1:9" ht="26.25" customHeight="1" x14ac:dyDescent="0.2">
      <c r="A6" s="49"/>
      <c r="B6" s="50"/>
      <c r="C6" s="50"/>
      <c r="D6" s="50"/>
      <c r="E6" s="50"/>
      <c r="F6" s="50"/>
      <c r="G6" s="50"/>
      <c r="H6" s="6"/>
    </row>
    <row r="7" spans="1:9" ht="15" customHeight="1" x14ac:dyDescent="0.3">
      <c r="A7" s="69" t="s">
        <v>104</v>
      </c>
      <c r="B7" s="70"/>
      <c r="C7" s="70"/>
      <c r="D7" s="70"/>
      <c r="E7" s="70"/>
      <c r="F7" s="70"/>
      <c r="G7" s="70"/>
      <c r="H7" s="2">
        <v>393185.17</v>
      </c>
    </row>
    <row r="8" spans="1:9" ht="39" customHeight="1" x14ac:dyDescent="0.3">
      <c r="A8" s="79" t="s">
        <v>0</v>
      </c>
      <c r="B8" s="80"/>
      <c r="C8" s="80"/>
      <c r="D8" s="80"/>
      <c r="E8" s="80"/>
      <c r="F8" s="80"/>
      <c r="G8" s="80"/>
      <c r="H8" s="2">
        <f>SUM(F9:H19)</f>
        <v>399778.43</v>
      </c>
    </row>
    <row r="9" spans="1:9" ht="15" customHeight="1" x14ac:dyDescent="0.25">
      <c r="A9" s="81" t="s">
        <v>1</v>
      </c>
      <c r="B9" s="82"/>
      <c r="C9" s="82"/>
      <c r="D9" s="82"/>
      <c r="E9" s="83"/>
      <c r="F9" s="64">
        <f>182004.72+2663.52+1314.7+816.81+5573.67</f>
        <v>192373.42</v>
      </c>
      <c r="G9" s="65"/>
      <c r="H9" s="66"/>
      <c r="I9" s="7"/>
    </row>
    <row r="10" spans="1:9" ht="15" customHeight="1" x14ac:dyDescent="0.25">
      <c r="A10" s="74" t="s">
        <v>2</v>
      </c>
      <c r="B10" s="62"/>
      <c r="C10" s="62"/>
      <c r="D10" s="62"/>
      <c r="E10" s="63"/>
      <c r="F10" s="64">
        <f>36417.19</f>
        <v>36417.19</v>
      </c>
      <c r="G10" s="65"/>
      <c r="H10" s="66"/>
    </row>
    <row r="11" spans="1:9" ht="15" customHeight="1" x14ac:dyDescent="0.25">
      <c r="A11" s="61" t="s">
        <v>3</v>
      </c>
      <c r="B11" s="62"/>
      <c r="C11" s="62"/>
      <c r="D11" s="62"/>
      <c r="E11" s="63"/>
      <c r="F11" s="64">
        <f>32763.45</f>
        <v>32763.45</v>
      </c>
      <c r="G11" s="65"/>
      <c r="H11" s="66"/>
    </row>
    <row r="12" spans="1:9" ht="15" customHeight="1" x14ac:dyDescent="0.25">
      <c r="A12" s="61" t="s">
        <v>4</v>
      </c>
      <c r="B12" s="62"/>
      <c r="C12" s="62"/>
      <c r="D12" s="62"/>
      <c r="E12" s="63"/>
      <c r="F12" s="64">
        <f>34196.41</f>
        <v>34196.410000000003</v>
      </c>
      <c r="G12" s="65"/>
      <c r="H12" s="66"/>
    </row>
    <row r="13" spans="1:9" ht="15" customHeight="1" x14ac:dyDescent="0.25">
      <c r="A13" s="61" t="s">
        <v>5</v>
      </c>
      <c r="B13" s="62"/>
      <c r="C13" s="62"/>
      <c r="D13" s="62"/>
      <c r="E13" s="63"/>
      <c r="F13" s="64">
        <f>57490.16</f>
        <v>57490.16</v>
      </c>
      <c r="G13" s="65"/>
      <c r="H13" s="66"/>
    </row>
    <row r="14" spans="1:9" ht="15" customHeight="1" x14ac:dyDescent="0.25">
      <c r="A14" s="61" t="s">
        <v>6</v>
      </c>
      <c r="B14" s="62"/>
      <c r="C14" s="62"/>
      <c r="D14" s="62"/>
      <c r="E14" s="63"/>
      <c r="F14" s="64">
        <f>3599.04</f>
        <v>3599.04</v>
      </c>
      <c r="G14" s="65"/>
      <c r="H14" s="66"/>
    </row>
    <row r="15" spans="1:9" ht="15" customHeight="1" x14ac:dyDescent="0.25">
      <c r="A15" s="61" t="s">
        <v>7</v>
      </c>
      <c r="B15" s="62"/>
      <c r="C15" s="62"/>
      <c r="D15" s="62"/>
      <c r="E15" s="63"/>
      <c r="F15" s="64"/>
      <c r="G15" s="65"/>
      <c r="H15" s="66"/>
    </row>
    <row r="16" spans="1:9" ht="15" customHeight="1" x14ac:dyDescent="0.25">
      <c r="A16" s="61" t="s">
        <v>9</v>
      </c>
      <c r="B16" s="62"/>
      <c r="C16" s="62"/>
      <c r="D16" s="62"/>
      <c r="E16" s="63"/>
      <c r="F16" s="64">
        <f>3111.04</f>
        <v>3111.04</v>
      </c>
      <c r="G16" s="65"/>
      <c r="H16" s="66"/>
    </row>
    <row r="17" spans="1:9" ht="15" customHeight="1" x14ac:dyDescent="0.25">
      <c r="A17" s="61" t="s">
        <v>10</v>
      </c>
      <c r="B17" s="62"/>
      <c r="C17" s="62"/>
      <c r="D17" s="62"/>
      <c r="E17" s="63"/>
      <c r="F17" s="64">
        <f>32155.21</f>
        <v>32155.21</v>
      </c>
      <c r="G17" s="65"/>
      <c r="H17" s="66"/>
    </row>
    <row r="18" spans="1:9" ht="15" customHeight="1" x14ac:dyDescent="0.25">
      <c r="A18" s="61" t="s">
        <v>11</v>
      </c>
      <c r="B18" s="62"/>
      <c r="C18" s="62"/>
      <c r="D18" s="62"/>
      <c r="E18" s="63"/>
      <c r="F18" s="64"/>
      <c r="G18" s="65"/>
      <c r="H18" s="66"/>
    </row>
    <row r="19" spans="1:9" ht="15" customHeight="1" x14ac:dyDescent="0.25">
      <c r="A19" s="61" t="s">
        <v>8</v>
      </c>
      <c r="B19" s="62"/>
      <c r="C19" s="62"/>
      <c r="D19" s="62"/>
      <c r="E19" s="63"/>
      <c r="F19" s="64">
        <v>7672.51</v>
      </c>
      <c r="G19" s="65"/>
      <c r="H19" s="66"/>
      <c r="I19" s="7"/>
    </row>
    <row r="20" spans="1:9" ht="15" customHeight="1" x14ac:dyDescent="0.2">
      <c r="A20" s="67"/>
      <c r="B20" s="68"/>
      <c r="C20" s="68"/>
      <c r="D20" s="68"/>
      <c r="E20" s="68"/>
      <c r="F20" s="68"/>
      <c r="G20" s="68"/>
      <c r="H20" s="2"/>
      <c r="I20" s="7"/>
    </row>
    <row r="21" spans="1:9" ht="15" customHeight="1" x14ac:dyDescent="0.25">
      <c r="A21" s="49"/>
      <c r="B21" s="50"/>
      <c r="C21" s="50"/>
      <c r="D21" s="50"/>
      <c r="E21" s="50"/>
      <c r="F21" s="3"/>
      <c r="G21" s="3"/>
      <c r="H21" s="2"/>
    </row>
    <row r="22" spans="1:9" ht="15" customHeight="1" x14ac:dyDescent="0.2">
      <c r="A22" s="69"/>
      <c r="B22" s="70"/>
      <c r="C22" s="70"/>
      <c r="D22" s="70"/>
      <c r="E22" s="70"/>
      <c r="F22" s="70"/>
      <c r="G22" s="70"/>
      <c r="H22" s="2"/>
    </row>
    <row r="23" spans="1:9" ht="15" customHeight="1" x14ac:dyDescent="0.3">
      <c r="A23" s="71" t="s">
        <v>105</v>
      </c>
      <c r="B23" s="72"/>
      <c r="C23" s="72"/>
      <c r="D23" s="72"/>
      <c r="E23" s="72"/>
      <c r="F23" s="72"/>
      <c r="G23" s="72"/>
      <c r="H23" s="4">
        <f>810214.89-H7</f>
        <v>417029.72000000003</v>
      </c>
    </row>
    <row r="24" spans="1:9" ht="15" customHeight="1" x14ac:dyDescent="0.2">
      <c r="A24" s="1"/>
      <c r="B24" s="1"/>
      <c r="C24" s="1"/>
      <c r="D24" s="1"/>
      <c r="E24" s="1"/>
      <c r="F24" s="1"/>
      <c r="G24" s="5"/>
      <c r="H24" s="5"/>
    </row>
    <row r="25" spans="1:9" ht="36.75" customHeight="1" x14ac:dyDescent="0.25">
      <c r="A25" s="73" t="s">
        <v>26</v>
      </c>
      <c r="B25" s="73"/>
      <c r="C25" s="73"/>
      <c r="D25" s="73"/>
      <c r="E25" s="73"/>
      <c r="F25" s="73"/>
      <c r="G25" s="73"/>
      <c r="H25" s="73"/>
    </row>
    <row r="26" spans="1:9" ht="15" customHeight="1" x14ac:dyDescent="0.25">
      <c r="A26" s="73"/>
      <c r="B26" s="73"/>
      <c r="C26" s="73"/>
      <c r="D26" s="73"/>
      <c r="E26" s="73"/>
      <c r="F26" s="73"/>
      <c r="G26" s="73"/>
      <c r="H26" s="73"/>
    </row>
    <row r="27" spans="1:9" ht="21" customHeight="1" x14ac:dyDescent="0.25">
      <c r="A27" s="59"/>
      <c r="B27" s="59"/>
      <c r="C27" s="59"/>
      <c r="D27" s="59"/>
      <c r="E27" s="59"/>
      <c r="F27" s="59"/>
      <c r="G27" s="59"/>
      <c r="H27" s="59"/>
    </row>
    <row r="28" spans="1:9" ht="22.5" customHeight="1" x14ac:dyDescent="0.25">
      <c r="A28" s="60" t="s">
        <v>101</v>
      </c>
      <c r="B28" s="60"/>
      <c r="C28" s="60"/>
      <c r="D28" s="60"/>
      <c r="E28" s="60"/>
      <c r="F28" s="60"/>
      <c r="G28" s="60"/>
      <c r="H28" s="60"/>
    </row>
    <row r="29" spans="1:9" ht="15" customHeight="1" x14ac:dyDescent="0.25">
      <c r="A29" s="60"/>
      <c r="B29" s="60"/>
      <c r="C29" s="60"/>
      <c r="D29" s="60"/>
      <c r="E29" s="60"/>
      <c r="F29" s="60"/>
      <c r="G29" s="60"/>
      <c r="H29" s="60"/>
    </row>
    <row r="30" spans="1:9" ht="43.5" customHeight="1" x14ac:dyDescent="0.25"/>
    <row r="31" spans="1:9" ht="10.35" customHeight="1" x14ac:dyDescent="0.25"/>
    <row r="32" spans="1:9" ht="84" hidden="1" customHeight="1" x14ac:dyDescent="0.2"/>
  </sheetData>
  <mergeCells count="32">
    <mergeCell ref="A27:H27"/>
    <mergeCell ref="A28:H29"/>
    <mergeCell ref="A19:E19"/>
    <mergeCell ref="F19:H19"/>
    <mergeCell ref="A20:G20"/>
    <mergeCell ref="A22:G22"/>
    <mergeCell ref="A23:G23"/>
    <mergeCell ref="A25:H26"/>
    <mergeCell ref="A16:E16"/>
    <mergeCell ref="F16:H16"/>
    <mergeCell ref="A17:E17"/>
    <mergeCell ref="F17:H17"/>
    <mergeCell ref="A18:E18"/>
    <mergeCell ref="F18:H18"/>
    <mergeCell ref="A13:E13"/>
    <mergeCell ref="F13:H13"/>
    <mergeCell ref="A14:E14"/>
    <mergeCell ref="F14:H14"/>
    <mergeCell ref="A15:E15"/>
    <mergeCell ref="F15:H15"/>
    <mergeCell ref="A10:E10"/>
    <mergeCell ref="F10:H10"/>
    <mergeCell ref="A11:E11"/>
    <mergeCell ref="F11:H11"/>
    <mergeCell ref="A12:E12"/>
    <mergeCell ref="F12:H12"/>
    <mergeCell ref="A2:H3"/>
    <mergeCell ref="A4:G4"/>
    <mergeCell ref="A7:G7"/>
    <mergeCell ref="A8:G8"/>
    <mergeCell ref="A9:E9"/>
    <mergeCell ref="F9:H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2"/>
  <sheetViews>
    <sheetView workbookViewId="0">
      <selection activeCell="A25" sqref="A25:H26"/>
    </sheetView>
  </sheetViews>
  <sheetFormatPr defaultColWidth="8.85546875" defaultRowHeight="15" x14ac:dyDescent="0.25"/>
  <cols>
    <col min="7" max="7" width="13.85546875" customWidth="1"/>
    <col min="8" max="8" width="25.42578125" customWidth="1"/>
    <col min="9" max="9" width="10.42578125" bestFit="1" customWidth="1"/>
  </cols>
  <sheetData>
    <row r="2" spans="1:9" ht="15" customHeight="1" x14ac:dyDescent="0.25">
      <c r="A2" s="75" t="s">
        <v>96</v>
      </c>
      <c r="B2" s="75"/>
      <c r="C2" s="75"/>
      <c r="D2" s="75"/>
      <c r="E2" s="75"/>
      <c r="F2" s="75"/>
      <c r="G2" s="75"/>
      <c r="H2" s="75"/>
    </row>
    <row r="3" spans="1:9" ht="58.5" customHeight="1" x14ac:dyDescent="0.25">
      <c r="A3" s="76"/>
      <c r="B3" s="76"/>
      <c r="C3" s="76"/>
      <c r="D3" s="76"/>
      <c r="E3" s="76"/>
      <c r="F3" s="76"/>
      <c r="G3" s="76"/>
      <c r="H3" s="76"/>
    </row>
    <row r="4" spans="1:9" ht="27.75" customHeight="1" x14ac:dyDescent="0.3">
      <c r="A4" s="77" t="s">
        <v>97</v>
      </c>
      <c r="B4" s="78"/>
      <c r="C4" s="78"/>
      <c r="D4" s="78"/>
      <c r="E4" s="78"/>
      <c r="F4" s="78"/>
      <c r="G4" s="78"/>
      <c r="H4" s="8">
        <f>'июнь 2018'!H23</f>
        <v>407578.97</v>
      </c>
    </row>
    <row r="5" spans="1:9" ht="18" x14ac:dyDescent="0.2">
      <c r="A5" s="47"/>
      <c r="B5" s="48"/>
      <c r="C5" s="48"/>
      <c r="D5" s="48"/>
      <c r="E5" s="48"/>
      <c r="F5" s="48"/>
      <c r="G5" s="48"/>
      <c r="H5" s="6"/>
    </row>
    <row r="6" spans="1:9" ht="26.25" customHeight="1" x14ac:dyDescent="0.2">
      <c r="A6" s="47"/>
      <c r="B6" s="48"/>
      <c r="C6" s="48"/>
      <c r="D6" s="48"/>
      <c r="E6" s="48"/>
      <c r="F6" s="48"/>
      <c r="G6" s="48"/>
      <c r="H6" s="6"/>
    </row>
    <row r="7" spans="1:9" ht="15" customHeight="1" x14ac:dyDescent="0.3">
      <c r="A7" s="69" t="s">
        <v>98</v>
      </c>
      <c r="B7" s="70"/>
      <c r="C7" s="70"/>
      <c r="D7" s="70"/>
      <c r="E7" s="70"/>
      <c r="F7" s="70"/>
      <c r="G7" s="70"/>
      <c r="H7" s="2">
        <v>422969.61</v>
      </c>
    </row>
    <row r="8" spans="1:9" ht="39" customHeight="1" x14ac:dyDescent="0.3">
      <c r="A8" s="79" t="s">
        <v>0</v>
      </c>
      <c r="B8" s="80"/>
      <c r="C8" s="80"/>
      <c r="D8" s="80"/>
      <c r="E8" s="80"/>
      <c r="F8" s="80"/>
      <c r="G8" s="80"/>
      <c r="H8" s="2">
        <f>SUM(F9:H19)</f>
        <v>413761.78999999986</v>
      </c>
    </row>
    <row r="9" spans="1:9" ht="15" customHeight="1" x14ac:dyDescent="0.25">
      <c r="A9" s="81" t="s">
        <v>1</v>
      </c>
      <c r="B9" s="82"/>
      <c r="C9" s="82"/>
      <c r="D9" s="82"/>
      <c r="E9" s="83"/>
      <c r="F9" s="64">
        <f>1.95+2602.8+1365.49+185095.74+814.72+5585.51</f>
        <v>195466.21</v>
      </c>
      <c r="G9" s="65"/>
      <c r="H9" s="66"/>
      <c r="I9" s="7"/>
    </row>
    <row r="10" spans="1:9" ht="15" customHeight="1" x14ac:dyDescent="0.25">
      <c r="A10" s="74" t="s">
        <v>2</v>
      </c>
      <c r="B10" s="62"/>
      <c r="C10" s="62"/>
      <c r="D10" s="62"/>
      <c r="E10" s="63"/>
      <c r="F10" s="64">
        <f>40582.57</f>
        <v>40582.57</v>
      </c>
      <c r="G10" s="65"/>
      <c r="H10" s="66"/>
    </row>
    <row r="11" spans="1:9" ht="15" customHeight="1" x14ac:dyDescent="0.25">
      <c r="A11" s="61" t="s">
        <v>3</v>
      </c>
      <c r="B11" s="62"/>
      <c r="C11" s="62"/>
      <c r="D11" s="62"/>
      <c r="E11" s="63"/>
      <c r="F11" s="64">
        <f>28978.09</f>
        <v>28978.09</v>
      </c>
      <c r="G11" s="65"/>
      <c r="H11" s="66"/>
    </row>
    <row r="12" spans="1:9" ht="15" customHeight="1" x14ac:dyDescent="0.25">
      <c r="A12" s="61" t="s">
        <v>4</v>
      </c>
      <c r="B12" s="62"/>
      <c r="C12" s="62"/>
      <c r="D12" s="62"/>
      <c r="E12" s="63"/>
      <c r="F12" s="64">
        <v>31816.41</v>
      </c>
      <c r="G12" s="65"/>
      <c r="H12" s="66"/>
    </row>
    <row r="13" spans="1:9" ht="15" customHeight="1" x14ac:dyDescent="0.25">
      <c r="A13" s="61" t="s">
        <v>5</v>
      </c>
      <c r="B13" s="62"/>
      <c r="C13" s="62"/>
      <c r="D13" s="62"/>
      <c r="E13" s="63"/>
      <c r="F13" s="64">
        <f>57846.91</f>
        <v>57846.91</v>
      </c>
      <c r="G13" s="65"/>
      <c r="H13" s="66"/>
    </row>
    <row r="14" spans="1:9" ht="15" customHeight="1" x14ac:dyDescent="0.25">
      <c r="A14" s="61" t="s">
        <v>6</v>
      </c>
      <c r="B14" s="62"/>
      <c r="C14" s="62"/>
      <c r="D14" s="62"/>
      <c r="E14" s="63"/>
      <c r="F14" s="64">
        <f>3593.16</f>
        <v>3593.16</v>
      </c>
      <c r="G14" s="65"/>
      <c r="H14" s="66"/>
    </row>
    <row r="15" spans="1:9" ht="15" customHeight="1" x14ac:dyDescent="0.25">
      <c r="A15" s="61" t="s">
        <v>7</v>
      </c>
      <c r="B15" s="62"/>
      <c r="C15" s="62"/>
      <c r="D15" s="62"/>
      <c r="E15" s="63"/>
      <c r="F15" s="64"/>
      <c r="G15" s="65"/>
      <c r="H15" s="66"/>
    </row>
    <row r="16" spans="1:9" ht="15" customHeight="1" x14ac:dyDescent="0.25">
      <c r="A16" s="61" t="s">
        <v>9</v>
      </c>
      <c r="B16" s="62"/>
      <c r="C16" s="62"/>
      <c r="D16" s="62"/>
      <c r="E16" s="63"/>
      <c r="F16" s="64">
        <v>3181.72</v>
      </c>
      <c r="G16" s="65"/>
      <c r="H16" s="66"/>
    </row>
    <row r="17" spans="1:9" ht="15" customHeight="1" x14ac:dyDescent="0.25">
      <c r="A17" s="61" t="s">
        <v>10</v>
      </c>
      <c r="B17" s="62"/>
      <c r="C17" s="62"/>
      <c r="D17" s="62"/>
      <c r="E17" s="63"/>
      <c r="F17" s="64">
        <f>32597.85</f>
        <v>32597.85</v>
      </c>
      <c r="G17" s="65"/>
      <c r="H17" s="66"/>
    </row>
    <row r="18" spans="1:9" ht="15" customHeight="1" x14ac:dyDescent="0.25">
      <c r="A18" s="61" t="s">
        <v>11</v>
      </c>
      <c r="B18" s="62"/>
      <c r="C18" s="62"/>
      <c r="D18" s="62"/>
      <c r="E18" s="63"/>
      <c r="F18" s="64"/>
      <c r="G18" s="65"/>
      <c r="H18" s="66"/>
    </row>
    <row r="19" spans="1:9" ht="15" customHeight="1" x14ac:dyDescent="0.25">
      <c r="A19" s="61" t="s">
        <v>8</v>
      </c>
      <c r="B19" s="62"/>
      <c r="C19" s="62"/>
      <c r="D19" s="62"/>
      <c r="E19" s="63"/>
      <c r="F19" s="64">
        <f>19698.87</f>
        <v>19698.87</v>
      </c>
      <c r="G19" s="65"/>
      <c r="H19" s="66"/>
      <c r="I19" s="7"/>
    </row>
    <row r="20" spans="1:9" ht="15" customHeight="1" x14ac:dyDescent="0.2">
      <c r="A20" s="67"/>
      <c r="B20" s="68"/>
      <c r="C20" s="68"/>
      <c r="D20" s="68"/>
      <c r="E20" s="68"/>
      <c r="F20" s="68"/>
      <c r="G20" s="68"/>
      <c r="H20" s="2"/>
      <c r="I20" s="7"/>
    </row>
    <row r="21" spans="1:9" ht="15" customHeight="1" x14ac:dyDescent="0.25">
      <c r="A21" s="47"/>
      <c r="B21" s="48"/>
      <c r="C21" s="48"/>
      <c r="D21" s="48"/>
      <c r="E21" s="48"/>
      <c r="F21" s="3"/>
      <c r="G21" s="3"/>
      <c r="H21" s="2"/>
    </row>
    <row r="22" spans="1:9" ht="15" customHeight="1" x14ac:dyDescent="0.2">
      <c r="A22" s="69"/>
      <c r="B22" s="70"/>
      <c r="C22" s="70"/>
      <c r="D22" s="70"/>
      <c r="E22" s="70"/>
      <c r="F22" s="70"/>
      <c r="G22" s="70"/>
      <c r="H22" s="2"/>
    </row>
    <row r="23" spans="1:9" ht="15" customHeight="1" x14ac:dyDescent="0.3">
      <c r="A23" s="71" t="s">
        <v>99</v>
      </c>
      <c r="B23" s="72"/>
      <c r="C23" s="72"/>
      <c r="D23" s="72"/>
      <c r="E23" s="72"/>
      <c r="F23" s="72"/>
      <c r="G23" s="72"/>
      <c r="H23" s="4">
        <f>816808.15-H7</f>
        <v>393838.54000000004</v>
      </c>
    </row>
    <row r="24" spans="1:9" ht="15" customHeight="1" x14ac:dyDescent="0.2">
      <c r="A24" s="1"/>
      <c r="B24" s="1"/>
      <c r="C24" s="1"/>
      <c r="D24" s="1"/>
      <c r="E24" s="1"/>
      <c r="F24" s="1"/>
      <c r="G24" s="5"/>
      <c r="H24" s="5"/>
    </row>
    <row r="25" spans="1:9" ht="36.75" customHeight="1" x14ac:dyDescent="0.25">
      <c r="A25" s="73" t="s">
        <v>26</v>
      </c>
      <c r="B25" s="73"/>
      <c r="C25" s="73"/>
      <c r="D25" s="73"/>
      <c r="E25" s="73"/>
      <c r="F25" s="73"/>
      <c r="G25" s="73"/>
      <c r="H25" s="73"/>
    </row>
    <row r="26" spans="1:9" ht="15" customHeight="1" x14ac:dyDescent="0.25">
      <c r="A26" s="73"/>
      <c r="B26" s="73"/>
      <c r="C26" s="73"/>
      <c r="D26" s="73"/>
      <c r="E26" s="73"/>
      <c r="F26" s="73"/>
      <c r="G26" s="73"/>
      <c r="H26" s="73"/>
    </row>
    <row r="27" spans="1:9" ht="21" customHeight="1" x14ac:dyDescent="0.25">
      <c r="A27" s="59"/>
      <c r="B27" s="59"/>
      <c r="C27" s="59"/>
      <c r="D27" s="59"/>
      <c r="E27" s="59"/>
      <c r="F27" s="59"/>
      <c r="G27" s="59"/>
      <c r="H27" s="59"/>
    </row>
    <row r="28" spans="1:9" ht="22.5" customHeight="1" x14ac:dyDescent="0.25">
      <c r="A28" s="60" t="s">
        <v>101</v>
      </c>
      <c r="B28" s="60"/>
      <c r="C28" s="60"/>
      <c r="D28" s="60"/>
      <c r="E28" s="60"/>
      <c r="F28" s="60"/>
      <c r="G28" s="60"/>
      <c r="H28" s="60"/>
    </row>
    <row r="29" spans="1:9" ht="15" customHeight="1" x14ac:dyDescent="0.25">
      <c r="A29" s="60"/>
      <c r="B29" s="60"/>
      <c r="C29" s="60"/>
      <c r="D29" s="60"/>
      <c r="E29" s="60"/>
      <c r="F29" s="60"/>
      <c r="G29" s="60"/>
      <c r="H29" s="60"/>
    </row>
    <row r="30" spans="1:9" ht="43.5" customHeight="1" x14ac:dyDescent="0.25"/>
    <row r="31" spans="1:9" ht="10.35" customHeight="1" x14ac:dyDescent="0.25"/>
    <row r="32" spans="1:9" ht="84" hidden="1" customHeight="1" x14ac:dyDescent="0.2"/>
  </sheetData>
  <mergeCells count="32">
    <mergeCell ref="A2:H3"/>
    <mergeCell ref="A4:G4"/>
    <mergeCell ref="A7:G7"/>
    <mergeCell ref="A8:G8"/>
    <mergeCell ref="A9:E9"/>
    <mergeCell ref="F9:H9"/>
    <mergeCell ref="A10:E10"/>
    <mergeCell ref="F10:H10"/>
    <mergeCell ref="A11:E11"/>
    <mergeCell ref="F11:H11"/>
    <mergeCell ref="A12:E12"/>
    <mergeCell ref="F12:H12"/>
    <mergeCell ref="A13:E13"/>
    <mergeCell ref="F13:H13"/>
    <mergeCell ref="A14:E14"/>
    <mergeCell ref="F14:H14"/>
    <mergeCell ref="A15:E15"/>
    <mergeCell ref="F15:H15"/>
    <mergeCell ref="A16:E16"/>
    <mergeCell ref="F16:H16"/>
    <mergeCell ref="A17:E17"/>
    <mergeCell ref="F17:H17"/>
    <mergeCell ref="A18:E18"/>
    <mergeCell ref="F18:H18"/>
    <mergeCell ref="A27:H27"/>
    <mergeCell ref="A28:H29"/>
    <mergeCell ref="A19:E19"/>
    <mergeCell ref="F19:H19"/>
    <mergeCell ref="A20:G20"/>
    <mergeCell ref="A22:G22"/>
    <mergeCell ref="A23:G23"/>
    <mergeCell ref="A25:H2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2"/>
  <sheetViews>
    <sheetView workbookViewId="0">
      <selection activeCell="A24" sqref="A24"/>
    </sheetView>
  </sheetViews>
  <sheetFormatPr defaultColWidth="8.85546875" defaultRowHeight="15" x14ac:dyDescent="0.25"/>
  <cols>
    <col min="7" max="7" width="13.85546875" customWidth="1"/>
    <col min="8" max="8" width="25.42578125" customWidth="1"/>
    <col min="9" max="9" width="10.42578125" bestFit="1" customWidth="1"/>
  </cols>
  <sheetData>
    <row r="2" spans="1:9" ht="15" customHeight="1" x14ac:dyDescent="0.25">
      <c r="A2" s="75" t="s">
        <v>91</v>
      </c>
      <c r="B2" s="75"/>
      <c r="C2" s="75"/>
      <c r="D2" s="75"/>
      <c r="E2" s="75"/>
      <c r="F2" s="75"/>
      <c r="G2" s="75"/>
      <c r="H2" s="75"/>
    </row>
    <row r="3" spans="1:9" ht="58.5" customHeight="1" x14ac:dyDescent="0.25">
      <c r="A3" s="76"/>
      <c r="B3" s="76"/>
      <c r="C3" s="76"/>
      <c r="D3" s="76"/>
      <c r="E3" s="76"/>
      <c r="F3" s="76"/>
      <c r="G3" s="76"/>
      <c r="H3" s="76"/>
    </row>
    <row r="4" spans="1:9" ht="27.75" customHeight="1" x14ac:dyDescent="0.3">
      <c r="A4" s="77" t="s">
        <v>92</v>
      </c>
      <c r="B4" s="78"/>
      <c r="C4" s="78"/>
      <c r="D4" s="78"/>
      <c r="E4" s="78"/>
      <c r="F4" s="78"/>
      <c r="G4" s="78"/>
      <c r="H4" s="8">
        <f>'май 2018'!H23</f>
        <v>455496.50999999995</v>
      </c>
    </row>
    <row r="5" spans="1:9" ht="18" x14ac:dyDescent="0.2">
      <c r="A5" s="45"/>
      <c r="B5" s="46"/>
      <c r="C5" s="46"/>
      <c r="D5" s="46"/>
      <c r="E5" s="46"/>
      <c r="F5" s="46"/>
      <c r="G5" s="46"/>
      <c r="H5" s="6"/>
    </row>
    <row r="6" spans="1:9" ht="26.25" customHeight="1" x14ac:dyDescent="0.2">
      <c r="A6" s="45"/>
      <c r="B6" s="46"/>
      <c r="C6" s="46"/>
      <c r="D6" s="46"/>
      <c r="E6" s="46"/>
      <c r="F6" s="46"/>
      <c r="G6" s="46"/>
      <c r="H6" s="6"/>
    </row>
    <row r="7" spans="1:9" ht="15" customHeight="1" x14ac:dyDescent="0.3">
      <c r="A7" s="69" t="s">
        <v>94</v>
      </c>
      <c r="B7" s="70"/>
      <c r="C7" s="70"/>
      <c r="D7" s="70"/>
      <c r="E7" s="70"/>
      <c r="F7" s="70"/>
      <c r="G7" s="70"/>
      <c r="H7" s="2">
        <v>400021.36</v>
      </c>
    </row>
    <row r="8" spans="1:9" ht="39" customHeight="1" x14ac:dyDescent="0.3">
      <c r="A8" s="79" t="s">
        <v>0</v>
      </c>
      <c r="B8" s="80"/>
      <c r="C8" s="80"/>
      <c r="D8" s="80"/>
      <c r="E8" s="80"/>
      <c r="F8" s="80"/>
      <c r="G8" s="80"/>
      <c r="H8" s="2">
        <f>SUM(F9:H19)</f>
        <v>486817.05999999994</v>
      </c>
    </row>
    <row r="9" spans="1:9" ht="15" customHeight="1" x14ac:dyDescent="0.25">
      <c r="A9" s="81" t="s">
        <v>1</v>
      </c>
      <c r="B9" s="82"/>
      <c r="C9" s="82"/>
      <c r="D9" s="82"/>
      <c r="E9" s="83"/>
      <c r="F9" s="64">
        <f>28.38+2767.51+1497.46+840.03+5914.28+198106.79</f>
        <v>209154.45</v>
      </c>
      <c r="G9" s="65"/>
      <c r="H9" s="66"/>
      <c r="I9" s="7"/>
    </row>
    <row r="10" spans="1:9" ht="15" customHeight="1" x14ac:dyDescent="0.25">
      <c r="A10" s="74" t="s">
        <v>2</v>
      </c>
      <c r="B10" s="62"/>
      <c r="C10" s="62"/>
      <c r="D10" s="62"/>
      <c r="E10" s="63"/>
      <c r="F10" s="64">
        <f>48345.42</f>
        <v>48345.42</v>
      </c>
      <c r="G10" s="65"/>
      <c r="H10" s="66"/>
    </row>
    <row r="11" spans="1:9" ht="15" customHeight="1" x14ac:dyDescent="0.25">
      <c r="A11" s="61" t="s">
        <v>3</v>
      </c>
      <c r="B11" s="62"/>
      <c r="C11" s="62"/>
      <c r="D11" s="62"/>
      <c r="E11" s="63"/>
      <c r="F11" s="64">
        <f>29243.82</f>
        <v>29243.82</v>
      </c>
      <c r="G11" s="65"/>
      <c r="H11" s="66"/>
    </row>
    <row r="12" spans="1:9" ht="15" customHeight="1" x14ac:dyDescent="0.25">
      <c r="A12" s="61" t="s">
        <v>4</v>
      </c>
      <c r="B12" s="62"/>
      <c r="C12" s="62"/>
      <c r="D12" s="62"/>
      <c r="E12" s="63"/>
      <c r="F12" s="64">
        <f>35047.99</f>
        <v>35047.99</v>
      </c>
      <c r="G12" s="65"/>
      <c r="H12" s="66"/>
    </row>
    <row r="13" spans="1:9" ht="15" customHeight="1" x14ac:dyDescent="0.25">
      <c r="A13" s="61" t="s">
        <v>5</v>
      </c>
      <c r="B13" s="62"/>
      <c r="C13" s="62"/>
      <c r="D13" s="62"/>
      <c r="E13" s="63"/>
      <c r="F13" s="64">
        <f>60603.99</f>
        <v>60603.99</v>
      </c>
      <c r="G13" s="65"/>
      <c r="H13" s="66"/>
    </row>
    <row r="14" spans="1:9" ht="15" customHeight="1" x14ac:dyDescent="0.25">
      <c r="A14" s="61" t="s">
        <v>6</v>
      </c>
      <c r="B14" s="62"/>
      <c r="C14" s="62"/>
      <c r="D14" s="62"/>
      <c r="E14" s="63"/>
      <c r="F14" s="64">
        <f>3970.55</f>
        <v>3970.55</v>
      </c>
      <c r="G14" s="65"/>
      <c r="H14" s="66"/>
    </row>
    <row r="15" spans="1:9" ht="15" customHeight="1" x14ac:dyDescent="0.25">
      <c r="A15" s="61" t="s">
        <v>7</v>
      </c>
      <c r="B15" s="62"/>
      <c r="C15" s="62"/>
      <c r="D15" s="62"/>
      <c r="E15" s="63"/>
      <c r="F15" s="64"/>
      <c r="G15" s="65"/>
      <c r="H15" s="66"/>
    </row>
    <row r="16" spans="1:9" ht="15" customHeight="1" x14ac:dyDescent="0.25">
      <c r="A16" s="61" t="s">
        <v>9</v>
      </c>
      <c r="B16" s="62"/>
      <c r="C16" s="62"/>
      <c r="D16" s="62"/>
      <c r="E16" s="63"/>
      <c r="F16" s="64">
        <v>3548.6</v>
      </c>
      <c r="G16" s="65"/>
      <c r="H16" s="66"/>
    </row>
    <row r="17" spans="1:9" ht="15" customHeight="1" x14ac:dyDescent="0.25">
      <c r="A17" s="61" t="s">
        <v>10</v>
      </c>
      <c r="B17" s="62"/>
      <c r="C17" s="62"/>
      <c r="D17" s="62"/>
      <c r="E17" s="63"/>
      <c r="F17" s="64">
        <f>35764.84</f>
        <v>35764.839999999997</v>
      </c>
      <c r="G17" s="65"/>
      <c r="H17" s="66"/>
    </row>
    <row r="18" spans="1:9" ht="15" customHeight="1" x14ac:dyDescent="0.25">
      <c r="A18" s="61" t="s">
        <v>11</v>
      </c>
      <c r="B18" s="62"/>
      <c r="C18" s="62"/>
      <c r="D18" s="62"/>
      <c r="E18" s="63"/>
      <c r="F18" s="64"/>
      <c r="G18" s="65"/>
      <c r="H18" s="66"/>
    </row>
    <row r="19" spans="1:9" ht="15" customHeight="1" x14ac:dyDescent="0.25">
      <c r="A19" s="61" t="s">
        <v>8</v>
      </c>
      <c r="B19" s="62"/>
      <c r="C19" s="62"/>
      <c r="D19" s="62"/>
      <c r="E19" s="63"/>
      <c r="F19" s="64">
        <f>61137.4</f>
        <v>61137.4</v>
      </c>
      <c r="G19" s="65"/>
      <c r="H19" s="66"/>
      <c r="I19" s="7"/>
    </row>
    <row r="20" spans="1:9" ht="15" customHeight="1" x14ac:dyDescent="0.2">
      <c r="A20" s="67"/>
      <c r="B20" s="68"/>
      <c r="C20" s="68"/>
      <c r="D20" s="68"/>
      <c r="E20" s="68"/>
      <c r="F20" s="68"/>
      <c r="G20" s="68"/>
      <c r="H20" s="2"/>
      <c r="I20" s="7"/>
    </row>
    <row r="21" spans="1:9" ht="15" customHeight="1" x14ac:dyDescent="0.25">
      <c r="A21" s="45"/>
      <c r="B21" s="46"/>
      <c r="C21" s="46"/>
      <c r="D21" s="46"/>
      <c r="E21" s="46"/>
      <c r="F21" s="3"/>
      <c r="G21" s="3"/>
      <c r="H21" s="2"/>
    </row>
    <row r="22" spans="1:9" ht="15" customHeight="1" x14ac:dyDescent="0.2">
      <c r="A22" s="69"/>
      <c r="B22" s="70"/>
      <c r="C22" s="70"/>
      <c r="D22" s="70"/>
      <c r="E22" s="70"/>
      <c r="F22" s="70"/>
      <c r="G22" s="70"/>
      <c r="H22" s="2"/>
    </row>
    <row r="23" spans="1:9" ht="15" customHeight="1" x14ac:dyDescent="0.3">
      <c r="A23" s="71" t="s">
        <v>100</v>
      </c>
      <c r="B23" s="72"/>
      <c r="C23" s="72"/>
      <c r="D23" s="72"/>
      <c r="E23" s="72"/>
      <c r="F23" s="72"/>
      <c r="G23" s="72"/>
      <c r="H23" s="4">
        <f>807600.33-H7</f>
        <v>407578.97</v>
      </c>
    </row>
    <row r="24" spans="1:9" ht="15" customHeight="1" x14ac:dyDescent="0.2">
      <c r="A24" s="1"/>
      <c r="B24" s="1"/>
      <c r="C24" s="1"/>
      <c r="D24" s="1"/>
      <c r="E24" s="1"/>
      <c r="F24" s="1"/>
      <c r="G24" s="5"/>
      <c r="H24" s="5"/>
    </row>
    <row r="25" spans="1:9" ht="36.75" customHeight="1" x14ac:dyDescent="0.25">
      <c r="A25" s="73" t="s">
        <v>95</v>
      </c>
      <c r="B25" s="73"/>
      <c r="C25" s="73"/>
      <c r="D25" s="73"/>
      <c r="E25" s="73"/>
      <c r="F25" s="73"/>
      <c r="G25" s="73"/>
      <c r="H25" s="73"/>
    </row>
    <row r="26" spans="1:9" ht="15" customHeight="1" x14ac:dyDescent="0.25">
      <c r="A26" s="73"/>
      <c r="B26" s="73"/>
      <c r="C26" s="73"/>
      <c r="D26" s="73"/>
      <c r="E26" s="73"/>
      <c r="F26" s="73"/>
      <c r="G26" s="73"/>
      <c r="H26" s="73"/>
    </row>
    <row r="27" spans="1:9" ht="21" customHeight="1" x14ac:dyDescent="0.25">
      <c r="A27" s="59"/>
      <c r="B27" s="59"/>
      <c r="C27" s="59"/>
      <c r="D27" s="59"/>
      <c r="E27" s="59"/>
      <c r="F27" s="59"/>
      <c r="G27" s="59"/>
      <c r="H27" s="59"/>
    </row>
    <row r="28" spans="1:9" ht="22.5" customHeight="1" x14ac:dyDescent="0.25">
      <c r="A28" s="60" t="s">
        <v>12</v>
      </c>
      <c r="B28" s="60"/>
      <c r="C28" s="60"/>
      <c r="D28" s="60"/>
      <c r="E28" s="60"/>
      <c r="F28" s="60"/>
      <c r="G28" s="60"/>
      <c r="H28" s="60"/>
    </row>
    <row r="29" spans="1:9" ht="15" customHeight="1" x14ac:dyDescent="0.25">
      <c r="A29" s="60"/>
      <c r="B29" s="60"/>
      <c r="C29" s="60"/>
      <c r="D29" s="60"/>
      <c r="E29" s="60"/>
      <c r="F29" s="60"/>
      <c r="G29" s="60"/>
      <c r="H29" s="60"/>
    </row>
    <row r="30" spans="1:9" ht="43.5" customHeight="1" x14ac:dyDescent="0.25"/>
    <row r="31" spans="1:9" ht="10.35" customHeight="1" x14ac:dyDescent="0.25"/>
    <row r="32" spans="1:9" ht="84" hidden="1" customHeight="1" x14ac:dyDescent="0.2"/>
  </sheetData>
  <mergeCells count="32">
    <mergeCell ref="A2:H3"/>
    <mergeCell ref="A4:G4"/>
    <mergeCell ref="A7:G7"/>
    <mergeCell ref="A8:G8"/>
    <mergeCell ref="A9:E9"/>
    <mergeCell ref="F9:H9"/>
    <mergeCell ref="A10:E10"/>
    <mergeCell ref="F10:H10"/>
    <mergeCell ref="A11:E11"/>
    <mergeCell ref="F11:H11"/>
    <mergeCell ref="A12:E12"/>
    <mergeCell ref="F12:H12"/>
    <mergeCell ref="A13:E13"/>
    <mergeCell ref="F13:H13"/>
    <mergeCell ref="A14:E14"/>
    <mergeCell ref="F14:H14"/>
    <mergeCell ref="A15:E15"/>
    <mergeCell ref="F15:H15"/>
    <mergeCell ref="A16:E16"/>
    <mergeCell ref="F16:H16"/>
    <mergeCell ref="A17:E17"/>
    <mergeCell ref="F17:H17"/>
    <mergeCell ref="A18:E18"/>
    <mergeCell ref="F18:H18"/>
    <mergeCell ref="A27:H27"/>
    <mergeCell ref="A28:H29"/>
    <mergeCell ref="A19:E19"/>
    <mergeCell ref="F19:H19"/>
    <mergeCell ref="A20:G20"/>
    <mergeCell ref="A22:G22"/>
    <mergeCell ref="A23:G23"/>
    <mergeCell ref="A25:H2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2"/>
  <sheetViews>
    <sheetView workbookViewId="0">
      <selection activeCell="A10" sqref="A10:E10"/>
    </sheetView>
  </sheetViews>
  <sheetFormatPr defaultColWidth="8.85546875" defaultRowHeight="15" x14ac:dyDescent="0.25"/>
  <cols>
    <col min="7" max="7" width="13.85546875" customWidth="1"/>
    <col min="8" max="8" width="25.42578125" customWidth="1"/>
    <col min="9" max="9" width="10.42578125" bestFit="1" customWidth="1"/>
  </cols>
  <sheetData>
    <row r="2" spans="1:9" ht="15" customHeight="1" x14ac:dyDescent="0.25">
      <c r="A2" s="75" t="s">
        <v>88</v>
      </c>
      <c r="B2" s="75"/>
      <c r="C2" s="75"/>
      <c r="D2" s="75"/>
      <c r="E2" s="75"/>
      <c r="F2" s="75"/>
      <c r="G2" s="75"/>
      <c r="H2" s="75"/>
    </row>
    <row r="3" spans="1:9" ht="58.5" customHeight="1" x14ac:dyDescent="0.25">
      <c r="A3" s="76"/>
      <c r="B3" s="76"/>
      <c r="C3" s="76"/>
      <c r="D3" s="76"/>
      <c r="E3" s="76"/>
      <c r="F3" s="76"/>
      <c r="G3" s="76"/>
      <c r="H3" s="76"/>
    </row>
    <row r="4" spans="1:9" ht="27.75" customHeight="1" x14ac:dyDescent="0.3">
      <c r="A4" s="77" t="s">
        <v>89</v>
      </c>
      <c r="B4" s="78"/>
      <c r="C4" s="78"/>
      <c r="D4" s="78"/>
      <c r="E4" s="78"/>
      <c r="F4" s="78"/>
      <c r="G4" s="78"/>
      <c r="H4" s="8">
        <f>'апрель 2018'!H23</f>
        <v>476925.69000000006</v>
      </c>
    </row>
    <row r="5" spans="1:9" ht="18" x14ac:dyDescent="0.2">
      <c r="A5" s="43"/>
      <c r="B5" s="44"/>
      <c r="C5" s="44"/>
      <c r="D5" s="44"/>
      <c r="E5" s="44"/>
      <c r="F5" s="44"/>
      <c r="G5" s="44"/>
      <c r="H5" s="6"/>
    </row>
    <row r="6" spans="1:9" ht="26.25" customHeight="1" x14ac:dyDescent="0.2">
      <c r="A6" s="43"/>
      <c r="B6" s="44"/>
      <c r="C6" s="44"/>
      <c r="D6" s="44"/>
      <c r="E6" s="44"/>
      <c r="F6" s="44"/>
      <c r="G6" s="44"/>
      <c r="H6" s="6"/>
    </row>
    <row r="7" spans="1:9" ht="15" customHeight="1" x14ac:dyDescent="0.3">
      <c r="A7" s="69" t="s">
        <v>93</v>
      </c>
      <c r="B7" s="70"/>
      <c r="C7" s="70"/>
      <c r="D7" s="70"/>
      <c r="E7" s="70"/>
      <c r="F7" s="70"/>
      <c r="G7" s="70"/>
      <c r="H7" s="2">
        <f>432267.2</f>
        <v>432267.2</v>
      </c>
    </row>
    <row r="8" spans="1:9" ht="39" customHeight="1" x14ac:dyDescent="0.3">
      <c r="A8" s="79" t="s">
        <v>0</v>
      </c>
      <c r="B8" s="80"/>
      <c r="C8" s="80"/>
      <c r="D8" s="80"/>
      <c r="E8" s="80"/>
      <c r="F8" s="80"/>
      <c r="G8" s="80"/>
      <c r="H8" s="2">
        <f>SUM(F9:H19)</f>
        <v>606717.05999999994</v>
      </c>
    </row>
    <row r="9" spans="1:9" ht="15" customHeight="1" x14ac:dyDescent="0.25">
      <c r="A9" s="81" t="s">
        <v>1</v>
      </c>
      <c r="B9" s="82"/>
      <c r="C9" s="82"/>
      <c r="D9" s="82"/>
      <c r="E9" s="83"/>
      <c r="F9" s="64">
        <f>197172+2.6+2838.21+1477.29+896.54+6163.35</f>
        <v>208549.99000000002</v>
      </c>
      <c r="G9" s="65"/>
      <c r="H9" s="66"/>
      <c r="I9" s="7"/>
    </row>
    <row r="10" spans="1:9" ht="15" customHeight="1" x14ac:dyDescent="0.25">
      <c r="A10" s="74" t="s">
        <v>2</v>
      </c>
      <c r="B10" s="62"/>
      <c r="C10" s="62"/>
      <c r="D10" s="62"/>
      <c r="E10" s="63"/>
      <c r="F10" s="64">
        <f>49203.49</f>
        <v>49203.49</v>
      </c>
      <c r="G10" s="65"/>
      <c r="H10" s="66"/>
    </row>
    <row r="11" spans="1:9" ht="15" customHeight="1" x14ac:dyDescent="0.25">
      <c r="A11" s="61" t="s">
        <v>3</v>
      </c>
      <c r="B11" s="62"/>
      <c r="C11" s="62"/>
      <c r="D11" s="62"/>
      <c r="E11" s="63"/>
      <c r="F11" s="64">
        <f>29333.28</f>
        <v>29333.279999999999</v>
      </c>
      <c r="G11" s="65"/>
      <c r="H11" s="66"/>
    </row>
    <row r="12" spans="1:9" ht="15" customHeight="1" x14ac:dyDescent="0.25">
      <c r="A12" s="61" t="s">
        <v>4</v>
      </c>
      <c r="B12" s="62"/>
      <c r="C12" s="62"/>
      <c r="D12" s="62"/>
      <c r="E12" s="63"/>
      <c r="F12" s="64">
        <f>35407.54</f>
        <v>35407.54</v>
      </c>
      <c r="G12" s="65"/>
      <c r="H12" s="66"/>
    </row>
    <row r="13" spans="1:9" ht="15" customHeight="1" x14ac:dyDescent="0.25">
      <c r="A13" s="61" t="s">
        <v>5</v>
      </c>
      <c r="B13" s="62"/>
      <c r="C13" s="62"/>
      <c r="D13" s="62"/>
      <c r="E13" s="63"/>
      <c r="F13" s="64">
        <f>55266.57</f>
        <v>55266.57</v>
      </c>
      <c r="G13" s="65"/>
      <c r="H13" s="66"/>
    </row>
    <row r="14" spans="1:9" ht="15" customHeight="1" x14ac:dyDescent="0.25">
      <c r="A14" s="61" t="s">
        <v>6</v>
      </c>
      <c r="B14" s="62"/>
      <c r="C14" s="62"/>
      <c r="D14" s="62"/>
      <c r="E14" s="63"/>
      <c r="F14" s="64">
        <f>3870.9</f>
        <v>3870.9</v>
      </c>
      <c r="G14" s="65"/>
      <c r="H14" s="66"/>
    </row>
    <row r="15" spans="1:9" ht="15" customHeight="1" x14ac:dyDescent="0.25">
      <c r="A15" s="61" t="s">
        <v>7</v>
      </c>
      <c r="B15" s="62"/>
      <c r="C15" s="62"/>
      <c r="D15" s="62"/>
      <c r="E15" s="63"/>
      <c r="F15" s="64"/>
      <c r="G15" s="65"/>
      <c r="H15" s="66"/>
    </row>
    <row r="16" spans="1:9" ht="15" customHeight="1" x14ac:dyDescent="0.25">
      <c r="A16" s="61" t="s">
        <v>9</v>
      </c>
      <c r="B16" s="62"/>
      <c r="C16" s="62"/>
      <c r="D16" s="62"/>
      <c r="E16" s="63"/>
      <c r="F16" s="64">
        <f>3443.23</f>
        <v>3443.23</v>
      </c>
      <c r="G16" s="65"/>
      <c r="H16" s="66"/>
    </row>
    <row r="17" spans="1:9" ht="15" customHeight="1" x14ac:dyDescent="0.25">
      <c r="A17" s="61" t="s">
        <v>10</v>
      </c>
      <c r="B17" s="62"/>
      <c r="C17" s="62"/>
      <c r="D17" s="62"/>
      <c r="E17" s="63"/>
      <c r="F17" s="64">
        <f>35043.59</f>
        <v>35043.589999999997</v>
      </c>
      <c r="G17" s="65"/>
      <c r="H17" s="66"/>
    </row>
    <row r="18" spans="1:9" ht="15" customHeight="1" x14ac:dyDescent="0.25">
      <c r="A18" s="61" t="s">
        <v>11</v>
      </c>
      <c r="B18" s="62"/>
      <c r="C18" s="62"/>
      <c r="D18" s="62"/>
      <c r="E18" s="63"/>
      <c r="F18" s="64"/>
      <c r="G18" s="65"/>
      <c r="H18" s="66"/>
    </row>
    <row r="19" spans="1:9" ht="15" customHeight="1" x14ac:dyDescent="0.25">
      <c r="A19" s="61" t="s">
        <v>8</v>
      </c>
      <c r="B19" s="62"/>
      <c r="C19" s="62"/>
      <c r="D19" s="62"/>
      <c r="E19" s="63"/>
      <c r="F19" s="64">
        <f>186598.47</f>
        <v>186598.47</v>
      </c>
      <c r="G19" s="65"/>
      <c r="H19" s="66"/>
      <c r="I19" s="7"/>
    </row>
    <row r="20" spans="1:9" ht="15" customHeight="1" x14ac:dyDescent="0.2">
      <c r="A20" s="67"/>
      <c r="B20" s="68"/>
      <c r="C20" s="68"/>
      <c r="D20" s="68"/>
      <c r="E20" s="68"/>
      <c r="F20" s="68"/>
      <c r="G20" s="68"/>
      <c r="H20" s="2"/>
      <c r="I20" s="7"/>
    </row>
    <row r="21" spans="1:9" ht="15" customHeight="1" x14ac:dyDescent="0.25">
      <c r="A21" s="43"/>
      <c r="B21" s="44"/>
      <c r="C21" s="44"/>
      <c r="D21" s="44"/>
      <c r="E21" s="44"/>
      <c r="F21" s="3"/>
      <c r="G21" s="3"/>
      <c r="H21" s="2"/>
    </row>
    <row r="22" spans="1:9" ht="15" customHeight="1" x14ac:dyDescent="0.2">
      <c r="A22" s="69"/>
      <c r="B22" s="70"/>
      <c r="C22" s="70"/>
      <c r="D22" s="70"/>
      <c r="E22" s="70"/>
      <c r="F22" s="70"/>
      <c r="G22" s="70"/>
      <c r="H22" s="2"/>
    </row>
    <row r="23" spans="1:9" ht="15" customHeight="1" x14ac:dyDescent="0.3">
      <c r="A23" s="71" t="s">
        <v>90</v>
      </c>
      <c r="B23" s="72"/>
      <c r="C23" s="72"/>
      <c r="D23" s="72"/>
      <c r="E23" s="72"/>
      <c r="F23" s="72"/>
      <c r="G23" s="72"/>
      <c r="H23" s="4">
        <f>887763.71-H7</f>
        <v>455496.50999999995</v>
      </c>
    </row>
    <row r="24" spans="1:9" ht="15" customHeight="1" x14ac:dyDescent="0.2">
      <c r="A24" s="1"/>
      <c r="B24" s="1"/>
      <c r="C24" s="1"/>
      <c r="D24" s="1"/>
      <c r="E24" s="1"/>
      <c r="F24" s="1"/>
      <c r="G24" s="5"/>
      <c r="H24" s="5"/>
    </row>
    <row r="25" spans="1:9" ht="36.75" customHeight="1" x14ac:dyDescent="0.25">
      <c r="A25" s="73" t="s">
        <v>26</v>
      </c>
      <c r="B25" s="73"/>
      <c r="C25" s="73"/>
      <c r="D25" s="73"/>
      <c r="E25" s="73"/>
      <c r="F25" s="73"/>
      <c r="G25" s="73"/>
      <c r="H25" s="73"/>
    </row>
    <row r="26" spans="1:9" ht="15" customHeight="1" x14ac:dyDescent="0.25">
      <c r="A26" s="73"/>
      <c r="B26" s="73"/>
      <c r="C26" s="73"/>
      <c r="D26" s="73"/>
      <c r="E26" s="73"/>
      <c r="F26" s="73"/>
      <c r="G26" s="73"/>
      <c r="H26" s="73"/>
    </row>
    <row r="27" spans="1:9" ht="21" customHeight="1" x14ac:dyDescent="0.25">
      <c r="A27" s="59"/>
      <c r="B27" s="59"/>
      <c r="C27" s="59"/>
      <c r="D27" s="59"/>
      <c r="E27" s="59"/>
      <c r="F27" s="59"/>
      <c r="G27" s="59"/>
      <c r="H27" s="59"/>
    </row>
    <row r="28" spans="1:9" ht="22.5" customHeight="1" x14ac:dyDescent="0.25">
      <c r="A28" s="60" t="s">
        <v>12</v>
      </c>
      <c r="B28" s="60"/>
      <c r="C28" s="60"/>
      <c r="D28" s="60"/>
      <c r="E28" s="60"/>
      <c r="F28" s="60"/>
      <c r="G28" s="60"/>
      <c r="H28" s="60"/>
    </row>
    <row r="29" spans="1:9" ht="15" customHeight="1" x14ac:dyDescent="0.25">
      <c r="A29" s="60"/>
      <c r="B29" s="60"/>
      <c r="C29" s="60"/>
      <c r="D29" s="60"/>
      <c r="E29" s="60"/>
      <c r="F29" s="60"/>
      <c r="G29" s="60"/>
      <c r="H29" s="60"/>
    </row>
    <row r="30" spans="1:9" ht="43.5" customHeight="1" x14ac:dyDescent="0.25"/>
    <row r="31" spans="1:9" ht="10.35" customHeight="1" x14ac:dyDescent="0.25"/>
    <row r="32" spans="1:9" ht="84" hidden="1" customHeight="1" x14ac:dyDescent="0.2"/>
  </sheetData>
  <mergeCells count="32">
    <mergeCell ref="A2:H3"/>
    <mergeCell ref="A4:G4"/>
    <mergeCell ref="A7:G7"/>
    <mergeCell ref="A8:G8"/>
    <mergeCell ref="A9:E9"/>
    <mergeCell ref="F9:H9"/>
    <mergeCell ref="A10:E10"/>
    <mergeCell ref="F10:H10"/>
    <mergeCell ref="A11:E11"/>
    <mergeCell ref="F11:H11"/>
    <mergeCell ref="A12:E12"/>
    <mergeCell ref="F12:H12"/>
    <mergeCell ref="A13:E13"/>
    <mergeCell ref="F13:H13"/>
    <mergeCell ref="A14:E14"/>
    <mergeCell ref="F14:H14"/>
    <mergeCell ref="A15:E15"/>
    <mergeCell ref="F15:H15"/>
    <mergeCell ref="A16:E16"/>
    <mergeCell ref="F16:H16"/>
    <mergeCell ref="A17:E17"/>
    <mergeCell ref="F17:H17"/>
    <mergeCell ref="A18:E18"/>
    <mergeCell ref="F18:H18"/>
    <mergeCell ref="A27:H27"/>
    <mergeCell ref="A28:H29"/>
    <mergeCell ref="A19:E19"/>
    <mergeCell ref="F19:H19"/>
    <mergeCell ref="A20:G20"/>
    <mergeCell ref="A22:G22"/>
    <mergeCell ref="A23:G23"/>
    <mergeCell ref="A25:H2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2"/>
  <sheetViews>
    <sheetView workbookViewId="0">
      <selection activeCell="A25" sqref="A25:H26"/>
    </sheetView>
  </sheetViews>
  <sheetFormatPr defaultColWidth="8.85546875" defaultRowHeight="15" x14ac:dyDescent="0.25"/>
  <cols>
    <col min="7" max="7" width="13.85546875" customWidth="1"/>
    <col min="8" max="8" width="25.42578125" customWidth="1"/>
    <col min="9" max="9" width="10.42578125" bestFit="1" customWidth="1"/>
  </cols>
  <sheetData>
    <row r="2" spans="1:9" ht="15" customHeight="1" x14ac:dyDescent="0.25">
      <c r="A2" s="75" t="s">
        <v>84</v>
      </c>
      <c r="B2" s="75"/>
      <c r="C2" s="75"/>
      <c r="D2" s="75"/>
      <c r="E2" s="75"/>
      <c r="F2" s="75"/>
      <c r="G2" s="75"/>
      <c r="H2" s="75"/>
    </row>
    <row r="3" spans="1:9" ht="58.5" customHeight="1" x14ac:dyDescent="0.25">
      <c r="A3" s="76"/>
      <c r="B3" s="76"/>
      <c r="C3" s="76"/>
      <c r="D3" s="76"/>
      <c r="E3" s="76"/>
      <c r="F3" s="76"/>
      <c r="G3" s="76"/>
      <c r="H3" s="76"/>
    </row>
    <row r="4" spans="1:9" ht="27.75" customHeight="1" x14ac:dyDescent="0.3">
      <c r="A4" s="77" t="s">
        <v>85</v>
      </c>
      <c r="B4" s="78"/>
      <c r="C4" s="78"/>
      <c r="D4" s="78"/>
      <c r="E4" s="78"/>
      <c r="F4" s="78"/>
      <c r="G4" s="78"/>
      <c r="H4" s="8">
        <f>'март 2018'!H23</f>
        <v>410760.79000000004</v>
      </c>
    </row>
    <row r="5" spans="1:9" ht="18" x14ac:dyDescent="0.2">
      <c r="A5" s="41"/>
      <c r="B5" s="42"/>
      <c r="C5" s="42"/>
      <c r="D5" s="42"/>
      <c r="E5" s="42"/>
      <c r="F5" s="42"/>
      <c r="G5" s="42"/>
      <c r="H5" s="6"/>
    </row>
    <row r="6" spans="1:9" ht="26.25" customHeight="1" x14ac:dyDescent="0.2">
      <c r="A6" s="41"/>
      <c r="B6" s="42"/>
      <c r="C6" s="42"/>
      <c r="D6" s="42"/>
      <c r="E6" s="42"/>
      <c r="F6" s="42"/>
      <c r="G6" s="42"/>
      <c r="H6" s="6"/>
    </row>
    <row r="7" spans="1:9" ht="15" customHeight="1" x14ac:dyDescent="0.3">
      <c r="A7" s="69" t="s">
        <v>86</v>
      </c>
      <c r="B7" s="70"/>
      <c r="C7" s="70"/>
      <c r="D7" s="70"/>
      <c r="E7" s="70"/>
      <c r="F7" s="70"/>
      <c r="G7" s="70"/>
      <c r="H7" s="2">
        <f>585287.88</f>
        <v>585287.88</v>
      </c>
    </row>
    <row r="8" spans="1:9" ht="39" customHeight="1" x14ac:dyDescent="0.3">
      <c r="A8" s="79" t="s">
        <v>0</v>
      </c>
      <c r="B8" s="80"/>
      <c r="C8" s="80"/>
      <c r="D8" s="80"/>
      <c r="E8" s="80"/>
      <c r="F8" s="80"/>
      <c r="G8" s="80"/>
      <c r="H8" s="2">
        <f>SUM(F9:H19)</f>
        <v>579861.80000000005</v>
      </c>
    </row>
    <row r="9" spans="1:9" ht="15" customHeight="1" x14ac:dyDescent="0.25">
      <c r="A9" s="81" t="s">
        <v>1</v>
      </c>
      <c r="B9" s="82"/>
      <c r="C9" s="82"/>
      <c r="D9" s="82"/>
      <c r="E9" s="83"/>
      <c r="F9" s="64">
        <f>176080.08+44.75+2470.02+1304.21+803.59+5451.53</f>
        <v>186154.17999999996</v>
      </c>
      <c r="G9" s="65"/>
      <c r="H9" s="66"/>
      <c r="I9" s="7"/>
    </row>
    <row r="10" spans="1:9" ht="15" customHeight="1" x14ac:dyDescent="0.25">
      <c r="A10" s="74" t="s">
        <v>2</v>
      </c>
      <c r="B10" s="62"/>
      <c r="C10" s="62"/>
      <c r="D10" s="62"/>
      <c r="E10" s="63"/>
      <c r="F10" s="64">
        <f>35998.65</f>
        <v>35998.65</v>
      </c>
      <c r="G10" s="65"/>
      <c r="H10" s="66"/>
    </row>
    <row r="11" spans="1:9" ht="15" customHeight="1" x14ac:dyDescent="0.25">
      <c r="A11" s="61" t="s">
        <v>3</v>
      </c>
      <c r="B11" s="62"/>
      <c r="C11" s="62"/>
      <c r="D11" s="62"/>
      <c r="E11" s="63"/>
      <c r="F11" s="64">
        <f>23700.26</f>
        <v>23700.26</v>
      </c>
      <c r="G11" s="65"/>
      <c r="H11" s="66"/>
    </row>
    <row r="12" spans="1:9" ht="15" customHeight="1" x14ac:dyDescent="0.25">
      <c r="A12" s="61" t="s">
        <v>4</v>
      </c>
      <c r="B12" s="62"/>
      <c r="C12" s="62"/>
      <c r="D12" s="62"/>
      <c r="E12" s="63"/>
      <c r="F12" s="64">
        <f>27704.44</f>
        <v>27704.44</v>
      </c>
      <c r="G12" s="65"/>
      <c r="H12" s="66"/>
    </row>
    <row r="13" spans="1:9" ht="15" customHeight="1" x14ac:dyDescent="0.25">
      <c r="A13" s="61" t="s">
        <v>5</v>
      </c>
      <c r="B13" s="62"/>
      <c r="C13" s="62"/>
      <c r="D13" s="62"/>
      <c r="E13" s="63"/>
      <c r="F13" s="64">
        <f>51481.04</f>
        <v>51481.04</v>
      </c>
      <c r="G13" s="65"/>
      <c r="H13" s="66"/>
    </row>
    <row r="14" spans="1:9" ht="15" customHeight="1" x14ac:dyDescent="0.25">
      <c r="A14" s="61" t="s">
        <v>6</v>
      </c>
      <c r="B14" s="62"/>
      <c r="C14" s="62"/>
      <c r="D14" s="62"/>
      <c r="E14" s="63"/>
      <c r="F14" s="64">
        <v>3439.26</v>
      </c>
      <c r="G14" s="65"/>
      <c r="H14" s="66"/>
    </row>
    <row r="15" spans="1:9" ht="15" customHeight="1" x14ac:dyDescent="0.25">
      <c r="A15" s="61" t="s">
        <v>7</v>
      </c>
      <c r="B15" s="62"/>
      <c r="C15" s="62"/>
      <c r="D15" s="62"/>
      <c r="E15" s="63"/>
      <c r="F15" s="64"/>
      <c r="G15" s="65"/>
      <c r="H15" s="66"/>
    </row>
    <row r="16" spans="1:9" ht="15" customHeight="1" x14ac:dyDescent="0.25">
      <c r="A16" s="61" t="s">
        <v>9</v>
      </c>
      <c r="B16" s="62"/>
      <c r="C16" s="62"/>
      <c r="D16" s="62"/>
      <c r="E16" s="63"/>
      <c r="F16" s="64">
        <f>2951.03</f>
        <v>2951.03</v>
      </c>
      <c r="G16" s="65"/>
      <c r="H16" s="66"/>
    </row>
    <row r="17" spans="1:9" ht="15" customHeight="1" x14ac:dyDescent="0.25">
      <c r="A17" s="61" t="s">
        <v>10</v>
      </c>
      <c r="B17" s="62"/>
      <c r="C17" s="62"/>
      <c r="D17" s="62"/>
      <c r="E17" s="63"/>
      <c r="F17" s="64">
        <f>30291.84</f>
        <v>30291.84</v>
      </c>
      <c r="G17" s="65"/>
      <c r="H17" s="66"/>
    </row>
    <row r="18" spans="1:9" ht="15" customHeight="1" x14ac:dyDescent="0.25">
      <c r="A18" s="61" t="s">
        <v>11</v>
      </c>
      <c r="B18" s="62"/>
      <c r="C18" s="62"/>
      <c r="D18" s="62"/>
      <c r="E18" s="63"/>
      <c r="F18" s="64"/>
      <c r="G18" s="65"/>
      <c r="H18" s="66"/>
    </row>
    <row r="19" spans="1:9" ht="15" customHeight="1" x14ac:dyDescent="0.25">
      <c r="A19" s="61" t="s">
        <v>8</v>
      </c>
      <c r="B19" s="62"/>
      <c r="C19" s="62"/>
      <c r="D19" s="62"/>
      <c r="E19" s="63"/>
      <c r="F19" s="64">
        <f>218141.1</f>
        <v>218141.1</v>
      </c>
      <c r="G19" s="65"/>
      <c r="H19" s="66"/>
      <c r="I19" s="7"/>
    </row>
    <row r="20" spans="1:9" ht="15" customHeight="1" x14ac:dyDescent="0.2">
      <c r="A20" s="67"/>
      <c r="B20" s="68"/>
      <c r="C20" s="68"/>
      <c r="D20" s="68"/>
      <c r="E20" s="68"/>
      <c r="F20" s="68"/>
      <c r="G20" s="68"/>
      <c r="H20" s="2"/>
      <c r="I20" s="7"/>
    </row>
    <row r="21" spans="1:9" ht="15" customHeight="1" x14ac:dyDescent="0.25">
      <c r="A21" s="41"/>
      <c r="B21" s="42"/>
      <c r="C21" s="42"/>
      <c r="D21" s="42"/>
      <c r="E21" s="42"/>
      <c r="F21" s="3"/>
      <c r="G21" s="3"/>
      <c r="H21" s="2"/>
    </row>
    <row r="22" spans="1:9" ht="15" customHeight="1" x14ac:dyDescent="0.2">
      <c r="A22" s="69"/>
      <c r="B22" s="70"/>
      <c r="C22" s="70"/>
      <c r="D22" s="70"/>
      <c r="E22" s="70"/>
      <c r="F22" s="70"/>
      <c r="G22" s="70"/>
      <c r="H22" s="2"/>
    </row>
    <row r="23" spans="1:9" ht="15" customHeight="1" x14ac:dyDescent="0.3">
      <c r="A23" s="71" t="s">
        <v>87</v>
      </c>
      <c r="B23" s="72"/>
      <c r="C23" s="72"/>
      <c r="D23" s="72"/>
      <c r="E23" s="72"/>
      <c r="F23" s="72"/>
      <c r="G23" s="72"/>
      <c r="H23" s="4">
        <f>1062213.57-H7</f>
        <v>476925.69000000006</v>
      </c>
    </row>
    <row r="24" spans="1:9" ht="15" customHeight="1" x14ac:dyDescent="0.2">
      <c r="A24" s="1"/>
      <c r="B24" s="1"/>
      <c r="C24" s="1"/>
      <c r="D24" s="1"/>
      <c r="E24" s="1"/>
      <c r="F24" s="1"/>
      <c r="G24" s="5"/>
      <c r="H24" s="5"/>
    </row>
    <row r="25" spans="1:9" ht="36.75" customHeight="1" x14ac:dyDescent="0.25">
      <c r="A25" s="73" t="s">
        <v>26</v>
      </c>
      <c r="B25" s="73"/>
      <c r="C25" s="73"/>
      <c r="D25" s="73"/>
      <c r="E25" s="73"/>
      <c r="F25" s="73"/>
      <c r="G25" s="73"/>
      <c r="H25" s="73"/>
    </row>
    <row r="26" spans="1:9" ht="15" customHeight="1" x14ac:dyDescent="0.25">
      <c r="A26" s="73"/>
      <c r="B26" s="73"/>
      <c r="C26" s="73"/>
      <c r="D26" s="73"/>
      <c r="E26" s="73"/>
      <c r="F26" s="73"/>
      <c r="G26" s="73"/>
      <c r="H26" s="73"/>
    </row>
    <row r="27" spans="1:9" ht="21" customHeight="1" x14ac:dyDescent="0.25">
      <c r="A27" s="59"/>
      <c r="B27" s="59"/>
      <c r="C27" s="59"/>
      <c r="D27" s="59"/>
      <c r="E27" s="59"/>
      <c r="F27" s="59"/>
      <c r="G27" s="59"/>
      <c r="H27" s="59"/>
    </row>
    <row r="28" spans="1:9" ht="22.5" customHeight="1" x14ac:dyDescent="0.25">
      <c r="A28" s="60" t="s">
        <v>12</v>
      </c>
      <c r="B28" s="60"/>
      <c r="C28" s="60"/>
      <c r="D28" s="60"/>
      <c r="E28" s="60"/>
      <c r="F28" s="60"/>
      <c r="G28" s="60"/>
      <c r="H28" s="60"/>
    </row>
    <row r="29" spans="1:9" ht="15" customHeight="1" x14ac:dyDescent="0.25">
      <c r="A29" s="60"/>
      <c r="B29" s="60"/>
      <c r="C29" s="60"/>
      <c r="D29" s="60"/>
      <c r="E29" s="60"/>
      <c r="F29" s="60"/>
      <c r="G29" s="60"/>
      <c r="H29" s="60"/>
    </row>
    <row r="30" spans="1:9" ht="43.5" customHeight="1" x14ac:dyDescent="0.25"/>
    <row r="31" spans="1:9" ht="10.35" customHeight="1" x14ac:dyDescent="0.25"/>
    <row r="32" spans="1:9" ht="84" hidden="1" customHeight="1" x14ac:dyDescent="0.2"/>
  </sheetData>
  <mergeCells count="32">
    <mergeCell ref="A2:H3"/>
    <mergeCell ref="A4:G4"/>
    <mergeCell ref="A7:G7"/>
    <mergeCell ref="A8:G8"/>
    <mergeCell ref="A9:E9"/>
    <mergeCell ref="F9:H9"/>
    <mergeCell ref="A10:E10"/>
    <mergeCell ref="F10:H10"/>
    <mergeCell ref="A11:E11"/>
    <mergeCell ref="F11:H11"/>
    <mergeCell ref="A12:E12"/>
    <mergeCell ref="F12:H12"/>
    <mergeCell ref="A13:E13"/>
    <mergeCell ref="F13:H13"/>
    <mergeCell ref="A14:E14"/>
    <mergeCell ref="F14:H14"/>
    <mergeCell ref="A15:E15"/>
    <mergeCell ref="F15:H15"/>
    <mergeCell ref="A16:E16"/>
    <mergeCell ref="F16:H16"/>
    <mergeCell ref="A17:E17"/>
    <mergeCell ref="F17:H17"/>
    <mergeCell ref="A18:E18"/>
    <mergeCell ref="F18:H18"/>
    <mergeCell ref="A27:H27"/>
    <mergeCell ref="A28:H29"/>
    <mergeCell ref="A19:E19"/>
    <mergeCell ref="F19:H19"/>
    <mergeCell ref="A20:G20"/>
    <mergeCell ref="A22:G22"/>
    <mergeCell ref="A23:G23"/>
    <mergeCell ref="A25:H2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25</vt:i4>
      </vt:variant>
    </vt:vector>
  </HeadingPairs>
  <TitlesOfParts>
    <vt:vector size="25" baseType="lpstr">
      <vt:lpstr>декабрь 2018</vt:lpstr>
      <vt:lpstr>ноябрь 2018</vt:lpstr>
      <vt:lpstr>октябрь 2018</vt:lpstr>
      <vt:lpstr>сентябрь 2018</vt:lpstr>
      <vt:lpstr>август 2018</vt:lpstr>
      <vt:lpstr>июль 2018 </vt:lpstr>
      <vt:lpstr>июнь 2018</vt:lpstr>
      <vt:lpstr>май 2018</vt:lpstr>
      <vt:lpstr>апрель 2018</vt:lpstr>
      <vt:lpstr>март 2018</vt:lpstr>
      <vt:lpstr>февраль 2018</vt:lpstr>
      <vt:lpstr>январь 2018</vt:lpstr>
      <vt:lpstr>декабрь 2017</vt:lpstr>
      <vt:lpstr>нояб.2017</vt:lpstr>
      <vt:lpstr>окт.2017</vt:lpstr>
      <vt:lpstr>сентябрь 2017</vt:lpstr>
      <vt:lpstr>август 2017</vt:lpstr>
      <vt:lpstr>июль 2017</vt:lpstr>
      <vt:lpstr>июнь 2017</vt:lpstr>
      <vt:lpstr>май 2017</vt:lpstr>
      <vt:lpstr>апрель 2017</vt:lpstr>
      <vt:lpstr>март 2017</vt:lpstr>
      <vt:lpstr>февраль 2017</vt:lpstr>
      <vt:lpstr>январь 2017</vt:lpstr>
      <vt:lpstr>декабрь 2016</vt:lpstr>
    </vt:vector>
  </TitlesOfParts>
  <Company>DNS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Оксана</dc:creator>
  <cp:lastModifiedBy>Повелитель</cp:lastModifiedBy>
  <cp:lastPrinted>2013-03-12T03:38:27Z</cp:lastPrinted>
  <dcterms:created xsi:type="dcterms:W3CDTF">2011-02-07T06:28:49Z</dcterms:created>
  <dcterms:modified xsi:type="dcterms:W3CDTF">2019-01-11T01:07:27Z</dcterms:modified>
</cp:coreProperties>
</file>