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60" windowWidth="15570" windowHeight="10770"/>
  </bookViews>
  <sheets>
    <sheet name="июнь 2018" sheetId="40" r:id="rId1"/>
    <sheet name="май 2018" sheetId="39" r:id="rId2"/>
    <sheet name="апрель 2018" sheetId="38" r:id="rId3"/>
    <sheet name="март 2018" sheetId="37" r:id="rId4"/>
    <sheet name="февраль 2018 " sheetId="36" r:id="rId5"/>
    <sheet name="январь 2018" sheetId="35" r:id="rId6"/>
    <sheet name="декабрь 2017" sheetId="34" r:id="rId7"/>
    <sheet name="ноябрь 2017" sheetId="33" r:id="rId8"/>
    <sheet name="октябрь 2017" sheetId="32" r:id="rId9"/>
    <sheet name="сентябрь 2017 " sheetId="31" r:id="rId10"/>
    <sheet name="август 2017 " sheetId="30" r:id="rId11"/>
    <sheet name="июль 2017 " sheetId="29" r:id="rId12"/>
    <sheet name="июнь 2017" sheetId="28" r:id="rId13"/>
    <sheet name="май 2017 " sheetId="27" r:id="rId14"/>
    <sheet name="апрель 2017" sheetId="26" r:id="rId15"/>
    <sheet name="март 2017 " sheetId="25" r:id="rId16"/>
    <sheet name="февраль 2017 " sheetId="24" r:id="rId17"/>
    <sheet name="январь 2017" sheetId="23" r:id="rId18"/>
    <sheet name="декабрь 2016" sheetId="22" r:id="rId19"/>
    <sheet name="ноябрь 2016" sheetId="21" r:id="rId20"/>
    <sheet name="октябрь 2016" sheetId="20" r:id="rId21"/>
    <sheet name="сентябрь 2016" sheetId="19" r:id="rId22"/>
    <sheet name="август 2016" sheetId="18" r:id="rId23"/>
    <sheet name="июль 2016" sheetId="17" r:id="rId24"/>
    <sheet name="июнь 2016" sheetId="16" r:id="rId25"/>
    <sheet name="май 2016" sheetId="15" r:id="rId26"/>
    <sheet name="апрель 2016" sheetId="14" r:id="rId27"/>
    <sheet name="март 2016" sheetId="13" r:id="rId28"/>
    <sheet name="февраль 2016" sheetId="12" r:id="rId29"/>
    <sheet name="январь 2016" sheetId="11" r:id="rId30"/>
    <sheet name="декабрь 2015" sheetId="10" r:id="rId31"/>
    <sheet name="ноябрь 2015" sheetId="9" r:id="rId32"/>
    <sheet name="октябрь 2015" sheetId="8" r:id="rId33"/>
    <sheet name="сентябрь 2015" sheetId="7" r:id="rId34"/>
    <sheet name="август 2015" sheetId="6" r:id="rId35"/>
    <sheet name="июль 2015" sheetId="5" r:id="rId36"/>
    <sheet name="июнь 2015" sheetId="4" r:id="rId37"/>
    <sheet name="май 2015" sheetId="1" r:id="rId38"/>
  </sheets>
  <definedNames>
    <definedName name="_xlnm._FilterDatabase" localSheetId="10" hidden="1">'август 2017 '!$A$2:$E$24</definedName>
    <definedName name="_xlnm._FilterDatabase" localSheetId="14" hidden="1">'апрель 2017'!$A$2:$E$24</definedName>
    <definedName name="_xlnm._FilterDatabase" localSheetId="2" hidden="1">'апрель 2018'!$A$2:$E$23</definedName>
    <definedName name="_xlnm._FilterDatabase" localSheetId="6" hidden="1">'декабрь 2017'!$A$2:$E$23</definedName>
    <definedName name="_xlnm._FilterDatabase" localSheetId="11" hidden="1">'июль 2017 '!$A$2:$E$24</definedName>
    <definedName name="_xlnm._FilterDatabase" localSheetId="12" hidden="1">'июнь 2017'!$A$2:$E$24</definedName>
    <definedName name="_xlnm._FilterDatabase" localSheetId="0" hidden="1">'июнь 2018'!$A$2:$E$23</definedName>
    <definedName name="_xlnm._FilterDatabase" localSheetId="13" hidden="1">'май 2017 '!$A$2:$E$24</definedName>
    <definedName name="_xlnm._FilterDatabase" localSheetId="1" hidden="1">'май 2018'!$A$2:$E$23</definedName>
    <definedName name="_xlnm._FilterDatabase" localSheetId="15" hidden="1">'март 2017 '!$A$2:$E$24</definedName>
    <definedName name="_xlnm._FilterDatabase" localSheetId="3" hidden="1">'март 2018'!$A$2:$E$23</definedName>
    <definedName name="_xlnm._FilterDatabase" localSheetId="7" hidden="1">'ноябрь 2017'!$A$2:$E$23</definedName>
    <definedName name="_xlnm._FilterDatabase" localSheetId="8" hidden="1">'октябрь 2017'!$A$2:$E$23</definedName>
    <definedName name="_xlnm._FilterDatabase" localSheetId="9" hidden="1">'сентябрь 2017 '!$A$2:$E$23</definedName>
    <definedName name="_xlnm._FilterDatabase" localSheetId="16" hidden="1">'февраль 2017 '!$A$2:$E$24</definedName>
    <definedName name="_xlnm._FilterDatabase" localSheetId="4" hidden="1">'февраль 2018 '!$A$2:$E$23</definedName>
    <definedName name="_xlnm._FilterDatabase" localSheetId="5" hidden="1">'январь 2018'!$A$2:$E$23</definedName>
  </definedNames>
  <calcPr calcId="145621" refMode="R1C1"/>
</workbook>
</file>

<file path=xl/calcChain.xml><?xml version="1.0" encoding="utf-8"?>
<calcChain xmlns="http://schemas.openxmlformats.org/spreadsheetml/2006/main">
  <c r="C21" i="40" l="1"/>
  <c r="C10" i="40"/>
  <c r="C11" i="40"/>
  <c r="D11" i="40"/>
  <c r="C9" i="40"/>
  <c r="C17" i="40"/>
  <c r="C13" i="40"/>
  <c r="C12" i="40"/>
  <c r="E5" i="40" l="1"/>
  <c r="E14" i="40"/>
  <c r="C24" i="40" l="1"/>
  <c r="C23" i="40"/>
  <c r="D26" i="40"/>
  <c r="C26" i="40"/>
  <c r="D3" i="40"/>
  <c r="C3" i="40"/>
  <c r="C22" i="40" l="1"/>
  <c r="C18" i="40" l="1"/>
  <c r="C19" i="40"/>
  <c r="D16" i="40" l="1"/>
  <c r="C16" i="40" s="1"/>
  <c r="C15" i="40"/>
  <c r="E26" i="40" l="1"/>
  <c r="E24" i="40"/>
  <c r="E23" i="40"/>
  <c r="E22" i="40"/>
  <c r="E21" i="40"/>
  <c r="A21" i="40"/>
  <c r="C20" i="40"/>
  <c r="D19" i="40"/>
  <c r="E19" i="40" s="1"/>
  <c r="D18" i="40"/>
  <c r="E18" i="40" s="1"/>
  <c r="A18" i="40"/>
  <c r="D17" i="40"/>
  <c r="E17" i="40" s="1"/>
  <c r="A16" i="40"/>
  <c r="E15" i="40"/>
  <c r="A15" i="40"/>
  <c r="C14" i="40"/>
  <c r="E13" i="40"/>
  <c r="E12" i="40"/>
  <c r="A12" i="40"/>
  <c r="E11" i="40"/>
  <c r="E10" i="40"/>
  <c r="A10" i="40"/>
  <c r="E9" i="40"/>
  <c r="E8" i="40"/>
  <c r="A8" i="40"/>
  <c r="E7" i="40"/>
  <c r="D6" i="40"/>
  <c r="C6" i="40" s="1"/>
  <c r="A6" i="40"/>
  <c r="C5" i="40"/>
  <c r="D4" i="40"/>
  <c r="E4" i="40" s="1"/>
  <c r="A4" i="40"/>
  <c r="E3" i="40"/>
  <c r="D4" i="37" l="1"/>
  <c r="D11" i="39"/>
  <c r="C11" i="39"/>
  <c r="C9" i="39"/>
  <c r="E9" i="39" s="1"/>
  <c r="C10" i="39"/>
  <c r="C21" i="39"/>
  <c r="C13" i="39"/>
  <c r="C12" i="39"/>
  <c r="E5" i="39" l="1"/>
  <c r="E14" i="39"/>
  <c r="C19" i="39"/>
  <c r="C24" i="39" l="1"/>
  <c r="C3" i="39"/>
  <c r="D3" i="39"/>
  <c r="D26" i="39"/>
  <c r="C26" i="39"/>
  <c r="C23" i="39"/>
  <c r="C17" i="39" l="1"/>
  <c r="C17" i="38"/>
  <c r="C17" i="37"/>
  <c r="C17" i="36"/>
  <c r="D17" i="39" l="1"/>
  <c r="C18" i="39" l="1"/>
  <c r="C22" i="39"/>
  <c r="C15" i="39" l="1"/>
  <c r="E26" i="39" l="1"/>
  <c r="E24" i="39"/>
  <c r="E23" i="39"/>
  <c r="E22" i="39"/>
  <c r="E21" i="39"/>
  <c r="A21" i="39"/>
  <c r="C20" i="39"/>
  <c r="D19" i="39"/>
  <c r="E19" i="39" s="1"/>
  <c r="D18" i="39"/>
  <c r="E18" i="39" s="1"/>
  <c r="A18" i="39"/>
  <c r="E17" i="39"/>
  <c r="D16" i="39"/>
  <c r="C16" i="39" s="1"/>
  <c r="A16" i="39"/>
  <c r="E15" i="39"/>
  <c r="A15" i="39"/>
  <c r="C14" i="39"/>
  <c r="E13" i="39"/>
  <c r="E12" i="39"/>
  <c r="A12" i="39"/>
  <c r="E10" i="39"/>
  <c r="A10" i="39"/>
  <c r="E8" i="39"/>
  <c r="A8" i="39"/>
  <c r="E7" i="39"/>
  <c r="D6" i="39"/>
  <c r="C6" i="39" s="1"/>
  <c r="A6" i="39"/>
  <c r="C5" i="39"/>
  <c r="D4" i="39"/>
  <c r="C4" i="39" s="1"/>
  <c r="A4" i="39"/>
  <c r="E3" i="39"/>
  <c r="E4" i="38"/>
  <c r="E11" i="39" l="1"/>
  <c r="D11" i="38"/>
  <c r="C11" i="38"/>
  <c r="C10" i="38"/>
  <c r="C21" i="38"/>
  <c r="C19" i="38" l="1"/>
  <c r="C18" i="38"/>
  <c r="C22" i="38"/>
  <c r="C24" i="38" l="1"/>
  <c r="C23" i="38"/>
  <c r="D26" i="38"/>
  <c r="C26" i="38"/>
  <c r="C3" i="38"/>
  <c r="E5" i="38" l="1"/>
  <c r="E14" i="38"/>
  <c r="C12" i="38"/>
  <c r="C13" i="38"/>
  <c r="C20" i="38"/>
  <c r="C15" i="38" l="1"/>
  <c r="E26" i="38" l="1"/>
  <c r="E24" i="38"/>
  <c r="E23" i="38"/>
  <c r="E22" i="38"/>
  <c r="E21" i="38"/>
  <c r="A21" i="38"/>
  <c r="D19" i="38"/>
  <c r="E19" i="38" s="1"/>
  <c r="D18" i="38"/>
  <c r="E18" i="38" s="1"/>
  <c r="A18" i="38"/>
  <c r="D17" i="38"/>
  <c r="D16" i="38"/>
  <c r="C16" i="38" s="1"/>
  <c r="A16" i="38"/>
  <c r="E15" i="38"/>
  <c r="A15" i="38"/>
  <c r="C14" i="38"/>
  <c r="E13" i="38"/>
  <c r="E12" i="38"/>
  <c r="A12" i="38"/>
  <c r="E11" i="38"/>
  <c r="E10" i="38"/>
  <c r="A10" i="38"/>
  <c r="E9" i="38"/>
  <c r="E8" i="38"/>
  <c r="A8" i="38"/>
  <c r="E7" i="38"/>
  <c r="D6" i="38"/>
  <c r="C6" i="38" s="1"/>
  <c r="A6" i="38"/>
  <c r="C5" i="38"/>
  <c r="D4" i="38"/>
  <c r="C4" i="38" s="1"/>
  <c r="A4" i="38"/>
  <c r="D3" i="38"/>
  <c r="E3" i="38" s="1"/>
  <c r="C11" i="37"/>
  <c r="E17" i="38" l="1"/>
  <c r="C23" i="37"/>
  <c r="C24" i="37"/>
  <c r="C26" i="37" l="1"/>
  <c r="D26" i="37"/>
  <c r="D3" i="37"/>
  <c r="C3" i="37"/>
  <c r="C10" i="37"/>
  <c r="C21" i="37"/>
  <c r="C12" i="37"/>
  <c r="C13" i="37"/>
  <c r="C15" i="37" l="1"/>
  <c r="C19" i="37" l="1"/>
  <c r="C18" i="37" l="1"/>
  <c r="C22" i="37"/>
  <c r="D16" i="37" l="1"/>
  <c r="C16" i="37"/>
  <c r="E5" i="37" l="1"/>
  <c r="C5" i="37" s="1"/>
  <c r="E14" i="37"/>
  <c r="C14" i="37" s="1"/>
  <c r="E26" i="37"/>
  <c r="E24" i="37"/>
  <c r="E23" i="37"/>
  <c r="E22" i="37"/>
  <c r="E21" i="37"/>
  <c r="A21" i="37"/>
  <c r="C20" i="37"/>
  <c r="D19" i="37"/>
  <c r="E19" i="37" s="1"/>
  <c r="D18" i="37"/>
  <c r="E18" i="37" s="1"/>
  <c r="A18" i="37"/>
  <c r="D17" i="37"/>
  <c r="E17" i="37" s="1"/>
  <c r="A16" i="37"/>
  <c r="E15" i="37"/>
  <c r="A15" i="37"/>
  <c r="E13" i="37"/>
  <c r="E12" i="37"/>
  <c r="A12" i="37"/>
  <c r="E11" i="37"/>
  <c r="E10" i="37"/>
  <c r="A10" i="37"/>
  <c r="E9" i="37"/>
  <c r="E8" i="37"/>
  <c r="A8" i="37"/>
  <c r="E7" i="37"/>
  <c r="D6" i="37"/>
  <c r="C6" i="37" s="1"/>
  <c r="A6" i="37"/>
  <c r="C4" i="37"/>
  <c r="A4" i="37"/>
  <c r="E3" i="37"/>
  <c r="C11" i="36"/>
  <c r="C13" i="36" l="1"/>
  <c r="C12" i="36"/>
  <c r="C19" i="36" l="1"/>
  <c r="C10" i="36"/>
  <c r="C21" i="36"/>
  <c r="C24" i="36" l="1"/>
  <c r="C26" i="36"/>
  <c r="C3" i="36"/>
  <c r="D3" i="36"/>
  <c r="C23" i="36"/>
  <c r="C18" i="36" l="1"/>
  <c r="C22" i="36"/>
  <c r="E5" i="36" l="1"/>
  <c r="E14" i="36"/>
  <c r="C15" i="36" l="1"/>
  <c r="E15" i="36" s="1"/>
  <c r="E26" i="36" l="1"/>
  <c r="E24" i="36"/>
  <c r="E23" i="36"/>
  <c r="E22" i="36"/>
  <c r="E21" i="36"/>
  <c r="A21" i="36"/>
  <c r="C20" i="36"/>
  <c r="E19" i="36"/>
  <c r="D19" i="36"/>
  <c r="D18" i="36"/>
  <c r="E18" i="36" s="1"/>
  <c r="A18" i="36"/>
  <c r="D17" i="36"/>
  <c r="E17" i="36" s="1"/>
  <c r="D16" i="36"/>
  <c r="C16" i="36" s="1"/>
  <c r="A16" i="36"/>
  <c r="A15" i="36"/>
  <c r="C14" i="36"/>
  <c r="E13" i="36"/>
  <c r="E12" i="36"/>
  <c r="A12" i="36"/>
  <c r="E11" i="36"/>
  <c r="E10" i="36"/>
  <c r="A10" i="36"/>
  <c r="E9" i="36"/>
  <c r="E8" i="36"/>
  <c r="A8" i="36"/>
  <c r="E7" i="36"/>
  <c r="D6" i="36"/>
  <c r="C6" i="36" s="1"/>
  <c r="A6" i="36"/>
  <c r="C5" i="36"/>
  <c r="D4" i="36"/>
  <c r="C4" i="36" s="1"/>
  <c r="A4" i="36"/>
  <c r="E3" i="36"/>
  <c r="C11" i="35"/>
  <c r="C21" i="35"/>
  <c r="C21" i="34"/>
  <c r="C10" i="35"/>
  <c r="C19" i="35" l="1"/>
  <c r="C18" i="35"/>
  <c r="C22" i="35"/>
  <c r="C17" i="35" l="1"/>
  <c r="C23" i="35" l="1"/>
  <c r="C24" i="35" l="1"/>
  <c r="C26" i="35"/>
  <c r="C3" i="35"/>
  <c r="D3" i="35"/>
  <c r="C12" i="35"/>
  <c r="C13" i="35"/>
  <c r="E5" i="35" l="1"/>
  <c r="E14" i="35" l="1"/>
  <c r="C15" i="35" l="1"/>
  <c r="E26" i="35" l="1"/>
  <c r="E24" i="35"/>
  <c r="E23" i="35"/>
  <c r="E22" i="35"/>
  <c r="E21" i="35"/>
  <c r="A21" i="35"/>
  <c r="C20" i="35"/>
  <c r="D19" i="35"/>
  <c r="D18" i="35"/>
  <c r="E18" i="35" s="1"/>
  <c r="A18" i="35"/>
  <c r="D17" i="35"/>
  <c r="E17" i="35" s="1"/>
  <c r="D16" i="35"/>
  <c r="C16" i="35" s="1"/>
  <c r="A16" i="35"/>
  <c r="E15" i="35"/>
  <c r="A15" i="35"/>
  <c r="C14" i="35"/>
  <c r="E13" i="35"/>
  <c r="E12" i="35"/>
  <c r="A12" i="35"/>
  <c r="E11" i="35"/>
  <c r="E10" i="35"/>
  <c r="A10" i="35"/>
  <c r="E9" i="35"/>
  <c r="E8" i="35"/>
  <c r="A8" i="35"/>
  <c r="E7" i="35"/>
  <c r="D6" i="35"/>
  <c r="C6" i="35" s="1"/>
  <c r="A6" i="35"/>
  <c r="C5" i="35"/>
  <c r="D4" i="35"/>
  <c r="C4" i="35" s="1"/>
  <c r="A4" i="35"/>
  <c r="E3" i="35" l="1"/>
  <c r="E19" i="35"/>
  <c r="C22" i="34"/>
  <c r="C18" i="34" l="1"/>
  <c r="C17" i="34"/>
  <c r="D19" i="34"/>
  <c r="C19" i="34"/>
  <c r="C23" i="34" l="1"/>
  <c r="C10" i="34"/>
  <c r="E5" i="34" l="1"/>
  <c r="E14" i="34"/>
  <c r="C24" i="34" l="1"/>
  <c r="C3" i="34"/>
  <c r="D3" i="34"/>
  <c r="C26" i="34"/>
  <c r="C20" i="34"/>
  <c r="D16" i="34" l="1"/>
  <c r="C16" i="34" s="1"/>
  <c r="C15" i="34"/>
  <c r="E15" i="34" s="1"/>
  <c r="C13" i="34"/>
  <c r="E13" i="34" s="1"/>
  <c r="C12" i="34"/>
  <c r="E12" i="34" s="1"/>
  <c r="E26" i="34"/>
  <c r="E24" i="34"/>
  <c r="E23" i="34"/>
  <c r="E22" i="34"/>
  <c r="E21" i="34"/>
  <c r="A21" i="34"/>
  <c r="E19" i="34"/>
  <c r="D18" i="34"/>
  <c r="A18" i="34"/>
  <c r="D17" i="34"/>
  <c r="A16" i="34"/>
  <c r="A15" i="34"/>
  <c r="C14" i="34"/>
  <c r="A12" i="34"/>
  <c r="E11" i="34"/>
  <c r="E10" i="34"/>
  <c r="A10" i="34"/>
  <c r="E9" i="34"/>
  <c r="E8" i="34"/>
  <c r="A8" i="34"/>
  <c r="E7" i="34"/>
  <c r="D6" i="34"/>
  <c r="C6" i="34" s="1"/>
  <c r="A6" i="34"/>
  <c r="C5" i="34"/>
  <c r="D4" i="34"/>
  <c r="C4" i="34" s="1"/>
  <c r="A4" i="34"/>
  <c r="E3" i="34"/>
  <c r="C23" i="33"/>
  <c r="C21" i="33"/>
  <c r="C11" i="33"/>
  <c r="C10" i="33"/>
  <c r="E17" i="34" l="1"/>
  <c r="E18" i="34"/>
  <c r="E14" i="33"/>
  <c r="D6" i="33"/>
  <c r="C6" i="33" s="1"/>
  <c r="E5" i="33"/>
  <c r="C12" i="33"/>
  <c r="C19" i="33" l="1"/>
  <c r="C24" i="33" l="1"/>
  <c r="C3" i="33"/>
  <c r="D3" i="33"/>
  <c r="C26" i="33"/>
  <c r="E26" i="33" s="1"/>
  <c r="C18" i="33" l="1"/>
  <c r="C17" i="33" l="1"/>
  <c r="D17" i="33"/>
  <c r="C13" i="33"/>
  <c r="C20" i="33"/>
  <c r="C15" i="33" l="1"/>
  <c r="E15" i="33" s="1"/>
  <c r="E24" i="33"/>
  <c r="E23" i="33"/>
  <c r="C22" i="33"/>
  <c r="E22" i="33" s="1"/>
  <c r="E21" i="33"/>
  <c r="A21" i="33"/>
  <c r="D19" i="33"/>
  <c r="E19" i="33" s="1"/>
  <c r="D18" i="33"/>
  <c r="E18" i="33" s="1"/>
  <c r="A18" i="33"/>
  <c r="E17" i="33"/>
  <c r="D16" i="33"/>
  <c r="C16" i="33" s="1"/>
  <c r="A16" i="33"/>
  <c r="A15" i="33"/>
  <c r="C14" i="33"/>
  <c r="E13" i="33"/>
  <c r="E12" i="33"/>
  <c r="A12" i="33"/>
  <c r="E11" i="33"/>
  <c r="E10" i="33"/>
  <c r="A10" i="33"/>
  <c r="E9" i="33"/>
  <c r="E8" i="33"/>
  <c r="A8" i="33"/>
  <c r="E7" i="33"/>
  <c r="A6" i="33"/>
  <c r="C5" i="33"/>
  <c r="D4" i="33"/>
  <c r="C4" i="33" s="1"/>
  <c r="A4" i="33"/>
  <c r="E3" i="33"/>
  <c r="C22" i="32"/>
  <c r="C11" i="32"/>
  <c r="C23" i="32" l="1"/>
  <c r="C24" i="32" l="1"/>
  <c r="D3" i="32"/>
  <c r="C3" i="32"/>
  <c r="C19" i="32" l="1"/>
  <c r="C17" i="32"/>
  <c r="C18" i="32" l="1"/>
  <c r="C21" i="32"/>
  <c r="C10" i="32"/>
  <c r="E14" i="32" l="1"/>
  <c r="E5" i="32"/>
  <c r="E15" i="32" l="1"/>
  <c r="D16" i="32" l="1"/>
  <c r="C16" i="32" s="1"/>
  <c r="A16" i="32"/>
  <c r="C20" i="32"/>
  <c r="E24" i="32"/>
  <c r="E23" i="32"/>
  <c r="E22" i="32"/>
  <c r="E21" i="32"/>
  <c r="A21" i="32"/>
  <c r="D19" i="32"/>
  <c r="D18" i="32"/>
  <c r="E18" i="32" s="1"/>
  <c r="A18" i="32"/>
  <c r="E17" i="32"/>
  <c r="A15" i="32"/>
  <c r="C14" i="32"/>
  <c r="E13" i="32"/>
  <c r="E12" i="32"/>
  <c r="A12" i="32"/>
  <c r="E11" i="32"/>
  <c r="E10" i="32"/>
  <c r="A10" i="32"/>
  <c r="E9" i="32"/>
  <c r="E8" i="32"/>
  <c r="A8" i="32"/>
  <c r="E7" i="32"/>
  <c r="D6" i="32"/>
  <c r="C6" i="32" s="1"/>
  <c r="A6" i="32"/>
  <c r="C5" i="32"/>
  <c r="D4" i="32"/>
  <c r="C4" i="32" s="1"/>
  <c r="A4" i="32"/>
  <c r="E3" i="32"/>
  <c r="C11" i="31"/>
  <c r="C22" i="31"/>
  <c r="C18" i="31"/>
  <c r="C17" i="31"/>
  <c r="C19" i="31"/>
  <c r="C10" i="31"/>
  <c r="E19" i="32" l="1"/>
  <c r="C3" i="31"/>
  <c r="D3" i="31"/>
  <c r="C23" i="31"/>
  <c r="C24" i="31"/>
  <c r="C25" i="30"/>
  <c r="E5" i="31" l="1"/>
  <c r="E14" i="31"/>
  <c r="D6" i="31"/>
  <c r="C12" i="31"/>
  <c r="C13" i="31"/>
  <c r="E15" i="31" l="1"/>
  <c r="C16" i="30"/>
  <c r="D16" i="31"/>
  <c r="C16" i="31" s="1"/>
  <c r="E24" i="31"/>
  <c r="E23" i="31"/>
  <c r="E22" i="31"/>
  <c r="C21" i="31"/>
  <c r="E21" i="31" s="1"/>
  <c r="A21" i="31"/>
  <c r="E20" i="31"/>
  <c r="D19" i="31"/>
  <c r="E19" i="31" s="1"/>
  <c r="D18" i="31"/>
  <c r="A18" i="31"/>
  <c r="E17" i="31"/>
  <c r="A16" i="31"/>
  <c r="A15" i="31"/>
  <c r="C14" i="31"/>
  <c r="E13" i="31"/>
  <c r="E12" i="31"/>
  <c r="A12" i="31"/>
  <c r="E11" i="31"/>
  <c r="E10" i="31"/>
  <c r="A10" i="31"/>
  <c r="E9" i="31"/>
  <c r="E8" i="31"/>
  <c r="A8" i="31"/>
  <c r="E7" i="31"/>
  <c r="C6" i="31"/>
  <c r="A6" i="31"/>
  <c r="C5" i="31"/>
  <c r="D4" i="31"/>
  <c r="C4" i="31" s="1"/>
  <c r="A4" i="31"/>
  <c r="E3" i="31"/>
  <c r="C22" i="30"/>
  <c r="C10" i="30"/>
  <c r="C11" i="30"/>
  <c r="C24" i="30"/>
  <c r="E18" i="31" l="1"/>
  <c r="E14" i="30"/>
  <c r="E5" i="30"/>
  <c r="E20" i="30"/>
  <c r="E21" i="30" l="1"/>
  <c r="C13" i="30"/>
  <c r="C12" i="30"/>
  <c r="C3" i="30" l="1"/>
  <c r="C18" i="30" l="1"/>
  <c r="C17" i="30"/>
  <c r="C19" i="30"/>
  <c r="D19" i="30"/>
  <c r="C23" i="30" l="1"/>
  <c r="E15" i="30" l="1"/>
  <c r="E25" i="30"/>
  <c r="E24" i="30"/>
  <c r="E23" i="30"/>
  <c r="E22" i="30"/>
  <c r="A22" i="30"/>
  <c r="C20" i="30"/>
  <c r="A20" i="30"/>
  <c r="E19" i="30"/>
  <c r="D18" i="30"/>
  <c r="E18" i="30" s="1"/>
  <c r="A18" i="30"/>
  <c r="E17" i="30"/>
  <c r="A16" i="30"/>
  <c r="A15" i="30"/>
  <c r="C14" i="30"/>
  <c r="E13" i="30"/>
  <c r="E12" i="30"/>
  <c r="A12" i="30"/>
  <c r="E11" i="30"/>
  <c r="E10" i="30"/>
  <c r="A10" i="30"/>
  <c r="E9" i="30"/>
  <c r="E8" i="30"/>
  <c r="A8" i="30"/>
  <c r="E7" i="30"/>
  <c r="D6" i="30"/>
  <c r="C6" i="30" s="1"/>
  <c r="A6" i="30"/>
  <c r="C5" i="30"/>
  <c r="D4" i="30"/>
  <c r="C4" i="30" s="1"/>
  <c r="A4" i="30"/>
  <c r="D3" i="30"/>
  <c r="E3" i="30" s="1"/>
  <c r="C13" i="29"/>
  <c r="C12" i="29"/>
  <c r="C22" i="29"/>
  <c r="C10" i="29" l="1"/>
  <c r="C24" i="29"/>
  <c r="C17" i="29" l="1"/>
  <c r="C18" i="29"/>
  <c r="C23" i="29"/>
  <c r="C19" i="29" l="1"/>
  <c r="C25" i="29" l="1"/>
  <c r="C3" i="29" l="1"/>
  <c r="C3" i="28"/>
  <c r="E14" i="29" l="1"/>
  <c r="E20" i="29"/>
  <c r="E5" i="29"/>
  <c r="C5" i="29"/>
  <c r="C16" i="29" l="1"/>
  <c r="E25" i="29"/>
  <c r="E24" i="29"/>
  <c r="E23" i="29"/>
  <c r="E22" i="29"/>
  <c r="A22" i="29"/>
  <c r="C20" i="29"/>
  <c r="A20" i="29"/>
  <c r="D19" i="29"/>
  <c r="E19" i="29" s="1"/>
  <c r="D18" i="29"/>
  <c r="E18" i="29" s="1"/>
  <c r="A18" i="29"/>
  <c r="E17" i="29"/>
  <c r="A16" i="29"/>
  <c r="E15" i="29"/>
  <c r="A15" i="29"/>
  <c r="C14" i="29"/>
  <c r="E13" i="29"/>
  <c r="E12" i="29"/>
  <c r="A12" i="29"/>
  <c r="E11" i="29"/>
  <c r="E10" i="29"/>
  <c r="A10" i="29"/>
  <c r="E9" i="29"/>
  <c r="E8" i="29"/>
  <c r="A8" i="29"/>
  <c r="E7" i="29"/>
  <c r="D6" i="29"/>
  <c r="C6" i="29" s="1"/>
  <c r="A6" i="29"/>
  <c r="D4" i="29"/>
  <c r="C4" i="29" s="1"/>
  <c r="A4" i="29"/>
  <c r="D3" i="29"/>
  <c r="E3" i="29" s="1"/>
  <c r="C13" i="28"/>
  <c r="C12" i="28"/>
  <c r="C24" i="28" l="1"/>
  <c r="C25" i="28" l="1"/>
  <c r="E14" i="28" l="1"/>
  <c r="C14" i="28" s="1"/>
  <c r="E20" i="28" l="1"/>
  <c r="C15" i="28" l="1"/>
  <c r="E16" i="28"/>
  <c r="C17" i="28" l="1"/>
  <c r="C18" i="28" l="1"/>
  <c r="C23" i="28"/>
  <c r="E23" i="28" s="1"/>
  <c r="C19" i="28"/>
  <c r="E25" i="28"/>
  <c r="E24" i="28"/>
  <c r="E22" i="28"/>
  <c r="A22" i="28"/>
  <c r="C20" i="28"/>
  <c r="A20" i="28"/>
  <c r="D19" i="28"/>
  <c r="D18" i="28"/>
  <c r="A18" i="28"/>
  <c r="E17" i="28"/>
  <c r="A16" i="28"/>
  <c r="E15" i="28"/>
  <c r="A15" i="28"/>
  <c r="E13" i="28"/>
  <c r="E12" i="28"/>
  <c r="A12" i="28"/>
  <c r="E11" i="28"/>
  <c r="E10" i="28"/>
  <c r="A10" i="28"/>
  <c r="E9" i="28"/>
  <c r="E8" i="28"/>
  <c r="A8" i="28"/>
  <c r="E7" i="28"/>
  <c r="D6" i="28"/>
  <c r="C6" i="28" s="1"/>
  <c r="A6" i="28"/>
  <c r="C5" i="28"/>
  <c r="D4" i="28"/>
  <c r="C4" i="28" s="1"/>
  <c r="A4" i="28"/>
  <c r="D3" i="28"/>
  <c r="E3" i="28" s="1"/>
  <c r="E19" i="28" l="1"/>
  <c r="E18" i="28"/>
  <c r="C17" i="27"/>
  <c r="C19" i="27" l="1"/>
  <c r="C18" i="27"/>
  <c r="C23" i="27"/>
  <c r="C24" i="27" l="1"/>
  <c r="C25" i="27"/>
  <c r="C3" i="27"/>
  <c r="C13" i="27"/>
  <c r="C12" i="27"/>
  <c r="E20" i="27" l="1"/>
  <c r="C14" i="27"/>
  <c r="E16" i="27" l="1"/>
  <c r="E25" i="27"/>
  <c r="E24" i="27"/>
  <c r="E23" i="27"/>
  <c r="E22" i="27"/>
  <c r="A22" i="27"/>
  <c r="C20" i="27"/>
  <c r="A20" i="27"/>
  <c r="D19" i="27"/>
  <c r="D18" i="27"/>
  <c r="A18" i="27"/>
  <c r="E17" i="27"/>
  <c r="A16" i="27"/>
  <c r="E15" i="27"/>
  <c r="A15" i="27"/>
  <c r="E13" i="27"/>
  <c r="E12" i="27"/>
  <c r="A12" i="27"/>
  <c r="E11" i="27"/>
  <c r="E10" i="27"/>
  <c r="A10" i="27"/>
  <c r="E9" i="27"/>
  <c r="E8" i="27"/>
  <c r="A8" i="27"/>
  <c r="E7" i="27"/>
  <c r="D6" i="27"/>
  <c r="C6" i="27" s="1"/>
  <c r="A6" i="27"/>
  <c r="C5" i="27"/>
  <c r="D4" i="27"/>
  <c r="C4" i="27" s="1"/>
  <c r="A4" i="27"/>
  <c r="D3" i="27"/>
  <c r="E3" i="27" s="1"/>
  <c r="C23" i="26"/>
  <c r="C18" i="26"/>
  <c r="E18" i="27" l="1"/>
  <c r="E19" i="27"/>
  <c r="C17" i="26"/>
  <c r="C19" i="26" l="1"/>
  <c r="C24" i="26" l="1"/>
  <c r="C25" i="26" l="1"/>
  <c r="C3" i="26"/>
  <c r="D3" i="26"/>
  <c r="E20" i="26" l="1"/>
  <c r="C12" i="26" l="1"/>
  <c r="E12" i="26" s="1"/>
  <c r="C13" i="26"/>
  <c r="E13" i="26" s="1"/>
  <c r="E25" i="26"/>
  <c r="E24" i="26"/>
  <c r="E23" i="26"/>
  <c r="E22" i="26"/>
  <c r="A22" i="26"/>
  <c r="C20" i="26"/>
  <c r="A20" i="26"/>
  <c r="D19" i="26"/>
  <c r="D18" i="26"/>
  <c r="E18" i="26" s="1"/>
  <c r="A18" i="26"/>
  <c r="E17" i="26"/>
  <c r="E16" i="26"/>
  <c r="A16" i="26"/>
  <c r="E15" i="26"/>
  <c r="A15" i="26"/>
  <c r="C14" i="26"/>
  <c r="A12" i="26"/>
  <c r="E11" i="26"/>
  <c r="E10" i="26"/>
  <c r="A10" i="26"/>
  <c r="E9" i="26"/>
  <c r="E8" i="26"/>
  <c r="A8" i="26"/>
  <c r="E7" i="26"/>
  <c r="D6" i="26"/>
  <c r="C6" i="26" s="1"/>
  <c r="A6" i="26"/>
  <c r="C5" i="26"/>
  <c r="D4" i="26"/>
  <c r="C4" i="26" s="1"/>
  <c r="A4" i="26"/>
  <c r="E3" i="26"/>
  <c r="E19" i="26" l="1"/>
  <c r="E20" i="25"/>
  <c r="C20" i="25" s="1"/>
  <c r="D6" i="25"/>
  <c r="C5" i="25"/>
  <c r="E16" i="25" l="1"/>
  <c r="C23" i="25" l="1"/>
  <c r="C17" i="25"/>
  <c r="D18" i="25"/>
  <c r="C18" i="25"/>
  <c r="C19" i="25"/>
  <c r="E25" i="25" l="1"/>
  <c r="C3" i="25"/>
  <c r="C24" i="25"/>
  <c r="E24" i="25" s="1"/>
  <c r="C12" i="25"/>
  <c r="E12" i="25" s="1"/>
  <c r="C13" i="25"/>
  <c r="E13" i="25" s="1"/>
  <c r="E23" i="25"/>
  <c r="E22" i="25"/>
  <c r="A22" i="25"/>
  <c r="A20" i="25"/>
  <c r="D19" i="25"/>
  <c r="E19" i="25" s="1"/>
  <c r="E18" i="25"/>
  <c r="A18" i="25"/>
  <c r="E17" i="25"/>
  <c r="A16" i="25"/>
  <c r="E15" i="25"/>
  <c r="A15" i="25"/>
  <c r="C14" i="25"/>
  <c r="A12" i="25"/>
  <c r="E11" i="25"/>
  <c r="E10" i="25"/>
  <c r="A10" i="25"/>
  <c r="E9" i="25"/>
  <c r="E8" i="25"/>
  <c r="A8" i="25"/>
  <c r="E7" i="25"/>
  <c r="C6" i="25"/>
  <c r="A6" i="25"/>
  <c r="D4" i="25"/>
  <c r="C4" i="25" s="1"/>
  <c r="A4" i="25"/>
  <c r="D3" i="25"/>
  <c r="E20" i="24"/>
  <c r="C24" i="24"/>
  <c r="C24" i="23"/>
  <c r="C3" i="24"/>
  <c r="E3" i="25" l="1"/>
  <c r="C13" i="24"/>
  <c r="C12" i="24"/>
  <c r="C19" i="24" l="1"/>
  <c r="D19" i="24"/>
  <c r="C18" i="24" l="1"/>
  <c r="C18" i="23"/>
  <c r="C17" i="24"/>
  <c r="E24" i="24" l="1"/>
  <c r="E23" i="24"/>
  <c r="E22" i="24"/>
  <c r="A22" i="24"/>
  <c r="A20" i="24"/>
  <c r="E19" i="24"/>
  <c r="E18" i="24"/>
  <c r="A18" i="24"/>
  <c r="E17" i="24"/>
  <c r="E16" i="24"/>
  <c r="A16" i="24"/>
  <c r="E15" i="24"/>
  <c r="A15" i="24"/>
  <c r="C14" i="24"/>
  <c r="E13" i="24"/>
  <c r="E12" i="24"/>
  <c r="A12" i="24"/>
  <c r="E11" i="24"/>
  <c r="E10" i="24"/>
  <c r="A10" i="24"/>
  <c r="E9" i="24"/>
  <c r="E8" i="24"/>
  <c r="A8" i="24"/>
  <c r="E7" i="24"/>
  <c r="C6" i="24"/>
  <c r="A6" i="24"/>
  <c r="C5" i="24"/>
  <c r="D4" i="24"/>
  <c r="C4" i="24" s="1"/>
  <c r="A4" i="24"/>
  <c r="D3" i="24"/>
  <c r="E3" i="24" s="1"/>
  <c r="C6" i="23"/>
  <c r="C13" i="23" l="1"/>
  <c r="C12" i="23"/>
  <c r="C19" i="22"/>
  <c r="C23" i="23" l="1"/>
  <c r="E23" i="23" s="1"/>
  <c r="E19" i="23"/>
  <c r="E24" i="23"/>
  <c r="C3" i="23"/>
  <c r="E22" i="23"/>
  <c r="A22" i="23"/>
  <c r="C20" i="23"/>
  <c r="A20" i="23"/>
  <c r="A18" i="23"/>
  <c r="E16" i="23"/>
  <c r="A16" i="23"/>
  <c r="E15" i="23"/>
  <c r="A15" i="23"/>
  <c r="C14" i="23"/>
  <c r="E13" i="23"/>
  <c r="E12" i="23"/>
  <c r="A12" i="23"/>
  <c r="E11" i="23"/>
  <c r="E10" i="23"/>
  <c r="A10" i="23"/>
  <c r="E9" i="23"/>
  <c r="E8" i="23"/>
  <c r="A8" i="23"/>
  <c r="E7" i="23"/>
  <c r="A6" i="23"/>
  <c r="C5" i="23"/>
  <c r="D4" i="23"/>
  <c r="C4" i="23" s="1"/>
  <c r="A4" i="23"/>
  <c r="D3" i="23"/>
  <c r="C10" i="22"/>
  <c r="E18" i="23" l="1"/>
  <c r="E3" i="23"/>
  <c r="E17" i="23"/>
  <c r="C24" i="22"/>
  <c r="C13" i="22" l="1"/>
  <c r="C12" i="22"/>
  <c r="C3" i="22" l="1"/>
  <c r="E18" i="22" l="1"/>
  <c r="C20" i="22" l="1"/>
  <c r="E24" i="22"/>
  <c r="E23" i="22"/>
  <c r="E22" i="22"/>
  <c r="A22" i="22"/>
  <c r="E21" i="22"/>
  <c r="A20" i="22"/>
  <c r="E19" i="22"/>
  <c r="A18" i="22"/>
  <c r="E17" i="22"/>
  <c r="E16" i="22"/>
  <c r="A16" i="22"/>
  <c r="E15" i="22"/>
  <c r="A15" i="22"/>
  <c r="C14" i="22"/>
  <c r="E13" i="22"/>
  <c r="E12" i="22"/>
  <c r="A12" i="22"/>
  <c r="E11" i="22"/>
  <c r="E10" i="22"/>
  <c r="A10" i="22"/>
  <c r="E9" i="22"/>
  <c r="E8" i="22"/>
  <c r="A8" i="22"/>
  <c r="E7" i="22"/>
  <c r="C6" i="22"/>
  <c r="A6" i="22"/>
  <c r="C5" i="22"/>
  <c r="D4" i="22"/>
  <c r="C4" i="22" s="1"/>
  <c r="A4" i="22"/>
  <c r="D3" i="22"/>
  <c r="E3" i="22" s="1"/>
  <c r="C13" i="21"/>
  <c r="C12" i="21"/>
  <c r="C24" i="21" l="1"/>
  <c r="C19" i="21" l="1"/>
  <c r="C23" i="21"/>
  <c r="C18" i="21"/>
  <c r="C17" i="21"/>
  <c r="C3" i="21"/>
  <c r="D4" i="21" l="1"/>
  <c r="E15" i="21" l="1"/>
  <c r="E24" i="21"/>
  <c r="E23" i="21"/>
  <c r="E22" i="21"/>
  <c r="A22" i="21"/>
  <c r="E21" i="21"/>
  <c r="C20" i="21"/>
  <c r="A20" i="21"/>
  <c r="E19" i="21"/>
  <c r="E18" i="21"/>
  <c r="A18" i="21"/>
  <c r="E17" i="21"/>
  <c r="E16" i="21"/>
  <c r="A16" i="21"/>
  <c r="A15" i="21"/>
  <c r="C14" i="21"/>
  <c r="E13" i="21"/>
  <c r="E12" i="21"/>
  <c r="A12" i="21"/>
  <c r="E11" i="21"/>
  <c r="E10" i="21"/>
  <c r="A10" i="21"/>
  <c r="E9" i="21"/>
  <c r="E8" i="21"/>
  <c r="A8" i="21"/>
  <c r="E7" i="21"/>
  <c r="C6" i="21"/>
  <c r="A6" i="21"/>
  <c r="C5" i="21"/>
  <c r="C4" i="21"/>
  <c r="A4" i="21"/>
  <c r="D3" i="21"/>
  <c r="E3" i="21" s="1"/>
  <c r="C4" i="20"/>
  <c r="C14" i="19" l="1"/>
  <c r="C20" i="20"/>
  <c r="C14" i="20"/>
  <c r="C6" i="20"/>
  <c r="C6" i="19"/>
  <c r="C6" i="18"/>
  <c r="C5" i="20"/>
  <c r="C12" i="20" l="1"/>
  <c r="C13" i="20"/>
  <c r="C24" i="20" l="1"/>
  <c r="E24" i="20" s="1"/>
  <c r="D3" i="20"/>
  <c r="C3" i="20"/>
  <c r="E23" i="20"/>
  <c r="E22" i="20"/>
  <c r="A22" i="20"/>
  <c r="E21" i="20"/>
  <c r="A20" i="20"/>
  <c r="E19" i="20"/>
  <c r="E18" i="20"/>
  <c r="A18" i="20"/>
  <c r="E17" i="20"/>
  <c r="E16" i="20"/>
  <c r="A16" i="20"/>
  <c r="E15" i="20"/>
  <c r="A15" i="20"/>
  <c r="E13" i="20"/>
  <c r="E12" i="20"/>
  <c r="A12" i="20"/>
  <c r="E11" i="20"/>
  <c r="E10" i="20"/>
  <c r="A10" i="20"/>
  <c r="E9" i="20"/>
  <c r="E8" i="20"/>
  <c r="A8" i="20"/>
  <c r="E7" i="20"/>
  <c r="A6" i="20"/>
  <c r="A4" i="20"/>
  <c r="E3" i="20" l="1"/>
  <c r="C24" i="19"/>
  <c r="E24" i="19" s="1"/>
  <c r="E20" i="19"/>
  <c r="E5" i="18"/>
  <c r="E5" i="19"/>
  <c r="E4" i="18"/>
  <c r="E4" i="19"/>
  <c r="E19" i="19" l="1"/>
  <c r="C13" i="19"/>
  <c r="E13" i="19" s="1"/>
  <c r="E12" i="19"/>
  <c r="E23" i="19"/>
  <c r="E22" i="19"/>
  <c r="A22" i="19"/>
  <c r="E21" i="19"/>
  <c r="A20" i="19"/>
  <c r="E18" i="19"/>
  <c r="A18" i="19"/>
  <c r="E17" i="19"/>
  <c r="E16" i="19"/>
  <c r="A16" i="19"/>
  <c r="E15" i="19"/>
  <c r="A15" i="19"/>
  <c r="A12" i="19"/>
  <c r="E11" i="19"/>
  <c r="E10" i="19"/>
  <c r="A10" i="19"/>
  <c r="E9" i="19"/>
  <c r="E8" i="19"/>
  <c r="A8" i="19"/>
  <c r="E7" i="19"/>
  <c r="A6" i="19"/>
  <c r="A4" i="19"/>
  <c r="E22" i="18"/>
  <c r="E3" i="19" l="1"/>
  <c r="E8" i="18"/>
  <c r="E9" i="18"/>
  <c r="E7" i="18"/>
  <c r="E20" i="18" l="1"/>
  <c r="E14" i="18"/>
  <c r="E13" i="18" l="1"/>
  <c r="E21" i="18"/>
  <c r="E20" i="17"/>
  <c r="C3" i="18" l="1"/>
  <c r="E23" i="18"/>
  <c r="A22" i="18"/>
  <c r="A20" i="18"/>
  <c r="C19" i="18"/>
  <c r="E18" i="18"/>
  <c r="A18" i="18"/>
  <c r="E17" i="18"/>
  <c r="E16" i="18"/>
  <c r="A16" i="18"/>
  <c r="E15" i="18"/>
  <c r="A15" i="18"/>
  <c r="A12" i="18"/>
  <c r="E11" i="18"/>
  <c r="E10" i="18"/>
  <c r="A10" i="18"/>
  <c r="A8" i="18"/>
  <c r="A6" i="18"/>
  <c r="A4" i="18"/>
  <c r="D3" i="18"/>
  <c r="C19" i="17"/>
  <c r="E17" i="17"/>
  <c r="E18" i="17"/>
  <c r="E3" i="18" l="1"/>
  <c r="D3" i="17"/>
  <c r="C3" i="17"/>
  <c r="E10" i="17"/>
  <c r="E3" i="17" l="1"/>
  <c r="E4" i="16"/>
  <c r="C4" i="16" s="1"/>
  <c r="E4" i="17"/>
  <c r="C20" i="16"/>
  <c r="C14" i="16"/>
  <c r="C6" i="16"/>
  <c r="C5" i="17"/>
  <c r="D6" i="17"/>
  <c r="C6" i="17" s="1"/>
  <c r="E23" i="17"/>
  <c r="E11" i="17"/>
  <c r="E16" i="17" l="1"/>
  <c r="E15" i="17"/>
  <c r="C12" i="17"/>
  <c r="C21" i="17"/>
  <c r="C13" i="17"/>
  <c r="A22" i="17"/>
  <c r="A20" i="17"/>
  <c r="A18" i="17"/>
  <c r="A16" i="17"/>
  <c r="A15" i="17"/>
  <c r="A12" i="17"/>
  <c r="A10" i="17"/>
  <c r="A8" i="17"/>
  <c r="A6" i="17"/>
  <c r="A4" i="17"/>
  <c r="C5" i="16"/>
  <c r="C7" i="16"/>
  <c r="C8" i="16"/>
  <c r="C9" i="16"/>
  <c r="C10" i="16"/>
  <c r="C11" i="16"/>
  <c r="C12" i="16"/>
  <c r="C13" i="16"/>
  <c r="C15" i="16"/>
  <c r="C16" i="16"/>
  <c r="C17" i="16"/>
  <c r="C18" i="16"/>
  <c r="C19" i="16"/>
  <c r="C21" i="16"/>
  <c r="C22" i="16"/>
  <c r="C23" i="16"/>
  <c r="C3" i="16"/>
  <c r="A22" i="16"/>
  <c r="A20" i="16"/>
  <c r="A18" i="16"/>
  <c r="A16" i="16"/>
  <c r="A15" i="16"/>
  <c r="A12" i="16"/>
  <c r="A10" i="16"/>
  <c r="A8" i="16"/>
  <c r="A6" i="16"/>
  <c r="A4" i="16"/>
  <c r="A22" i="15" l="1"/>
  <c r="A20" i="15"/>
  <c r="A18" i="15"/>
  <c r="A16" i="15"/>
  <c r="A14" i="15"/>
  <c r="A12" i="15"/>
  <c r="A10" i="15"/>
  <c r="A8" i="15"/>
  <c r="A6" i="15"/>
  <c r="A4" i="15"/>
  <c r="A6" i="14"/>
  <c r="A8" i="14"/>
  <c r="A10" i="14"/>
  <c r="A12" i="14"/>
  <c r="A14" i="14"/>
  <c r="A16" i="14"/>
  <c r="A18" i="14"/>
  <c r="A20" i="14"/>
  <c r="A22" i="14"/>
  <c r="C4" i="14"/>
  <c r="A4" i="14" l="1"/>
  <c r="C4" i="13"/>
  <c r="C4" i="12"/>
  <c r="A4" i="13" l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4" i="12" l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C24" i="11" l="1"/>
  <c r="C21" i="11" l="1"/>
  <c r="C4" i="11" l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C4" i="10"/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C4" i="9" l="1"/>
  <c r="C19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C19" i="8" l="1"/>
  <c r="C21" i="8" l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C4" i="6" l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C4" i="17"/>
  <c r="C12" i="18"/>
</calcChain>
</file>

<file path=xl/sharedStrings.xml><?xml version="1.0" encoding="utf-8"?>
<sst xmlns="http://schemas.openxmlformats.org/spreadsheetml/2006/main" count="1053" uniqueCount="74">
  <si>
    <t>Адрес дома (наименование ТСЖ)</t>
  </si>
  <si>
    <t>Сумма</t>
  </si>
  <si>
    <t>№</t>
  </si>
  <si>
    <t>ул. Марсовая 3 (ТСЖ "Уют)</t>
  </si>
  <si>
    <t>ул. Знаменщикова, 10 (ТСЖ "Знамя")</t>
  </si>
  <si>
    <t>ул. Семашко, 20 (ТСЖ "Семашко")</t>
  </si>
  <si>
    <t>Стрелочный проезд, 5 (ТСЖ "Стрела)</t>
  </si>
  <si>
    <t>Остаток денежных средств  на проведения работ капитального характера по состоянию на 31.05.2015 года</t>
  </si>
  <si>
    <t>ул. Санитарная 7, (ТСЖ "Рассвет")</t>
  </si>
  <si>
    <t>ул. Клубная, 6А (ТСЖ "Мостовик")</t>
  </si>
  <si>
    <t>ул. Школьная,4 (ТСЖ Хабаровск-2")</t>
  </si>
  <si>
    <t>ул. Чехова, 6</t>
  </si>
  <si>
    <t>Матвеевское шоссе, 9</t>
  </si>
  <si>
    <t>ул. Карла Маркса, 147 (ТСЖ "Лайнер")</t>
  </si>
  <si>
    <t>ул. Карла Маркса, 145 (ТСЖ "Дельфин")</t>
  </si>
  <si>
    <t>ул. Уборевича, 70 (ТСЖ "Единство")</t>
  </si>
  <si>
    <t>ул. Стрельникова, 10</t>
  </si>
  <si>
    <t>ул. Пр. Даниловского, 18Б</t>
  </si>
  <si>
    <t>Амурский бульвар, 18</t>
  </si>
  <si>
    <t>ул. Запарина, 87</t>
  </si>
  <si>
    <t>ул. Серышева, 35 (ТСЖ "Форпост"</t>
  </si>
  <si>
    <t>Остаток денежных средств  на проведения работ капитального характера по состоянию на 30.06.2015 года</t>
  </si>
  <si>
    <t>Остаток денежных средств  на проведения работ капитального характера по состоянию на 31.07.2015 года</t>
  </si>
  <si>
    <t>ул. Пр. Даниловского, 18Г</t>
  </si>
  <si>
    <t>ул. Ленинградская 25</t>
  </si>
  <si>
    <t>Остаток денежных средств  на проведения работ капитального характера по состоянию на 31.08.2015 года</t>
  </si>
  <si>
    <t>ул.Льва Толстого 15</t>
  </si>
  <si>
    <t>пер. Саратовский, 2</t>
  </si>
  <si>
    <t>ул. Большая, 5</t>
  </si>
  <si>
    <t>Остаток денежных средств  на проведения работ капитального характера по состоянию на 30.09.2015 года</t>
  </si>
  <si>
    <t>Остаток денежных средств  на проведения работ капитального характера по состоянию на 31.10.2015 года</t>
  </si>
  <si>
    <t xml:space="preserve"> 221356.81</t>
  </si>
  <si>
    <t>Остаток денежных средств  на проведения работ капитального характера по состоянию на 30.11.2015 года</t>
  </si>
  <si>
    <t>Остаток денежных средств  на проведения работ капитального характера по состоянию на 31.12.2015 года</t>
  </si>
  <si>
    <t>ул. Серышева, 35 (ТСЖ "Форпост")</t>
  </si>
  <si>
    <t xml:space="preserve"> 257179.55</t>
  </si>
  <si>
    <t>Остаток денежных средств  на проведения работ капитального характера по состоянию на 31.01.2016 года</t>
  </si>
  <si>
    <t>---</t>
  </si>
  <si>
    <t>Остаток денежных средств  на проведения работ капитального характера по состоянию на 29.02.2016 года</t>
  </si>
  <si>
    <t>Остаток денежных средств  на проведения работ капитального характера по состоянию на 31.03.2016 года</t>
  </si>
  <si>
    <t>Остаток денежных средств  на проведения работ капитального характера по состоянию на 30.04.2016 года</t>
  </si>
  <si>
    <t>Остаток денежных средств  на проведения работ капитального характера по состоянию на 31.05.2016 года</t>
  </si>
  <si>
    <t>Остаток денежных средств  на проведения работ капитального характера по состоянию на 30.06.2016 года</t>
  </si>
  <si>
    <t>Израсходовано на капитальный ремонт</t>
  </si>
  <si>
    <t>Поступление денежных средств за весь период</t>
  </si>
  <si>
    <t>Остаток денежных средств  на проведения работ капитального характера по состоянию на 31.07.2016 года</t>
  </si>
  <si>
    <t>Остаток денежных средств  на проведения работ капитального характера по состоянию на 31.08.2016 года</t>
  </si>
  <si>
    <t>Остаток денежных средств  на проведения работ капитального характера по состоянию на 30.09.2016 года</t>
  </si>
  <si>
    <t>ул. Санитарная,19</t>
  </si>
  <si>
    <t>Остаток денежных средств  на проведения работ капитального характера по состоянию на 31.10.2016 года</t>
  </si>
  <si>
    <t>Остаток денежных средств  на проведения работ капитального характера по состоянию на 30.11.2016 года</t>
  </si>
  <si>
    <t>Остаток денежных средств  на проведения работ капитального характера по состоянию на 31.12.2016 года</t>
  </si>
  <si>
    <t>Остаток денежных средств  на проведения работ капитального характера по состоянию на 31.01.2017 года</t>
  </si>
  <si>
    <t>Остаток денежных средств  на проведения работ капитального характера по состоянию на 28.02.2017 года</t>
  </si>
  <si>
    <t>Остаток денежных средств  на проведения работ капитального характера по состоянию на 31.03.2017 года</t>
  </si>
  <si>
    <t xml:space="preserve">ул. Хабаровская 27а </t>
  </si>
  <si>
    <t>Остаток денежных средств  на проведения работ капитального характера по состоянию на 30.04.2017 года</t>
  </si>
  <si>
    <t>счет закрыт</t>
  </si>
  <si>
    <t xml:space="preserve">ул. Лазо 11 </t>
  </si>
  <si>
    <t>Остаток денежных средств  на проведения работ капитального характера по состоянию на 31.05.2017 года</t>
  </si>
  <si>
    <t>Остаток денежных средств  на проведения работ капитального характера по состоянию на 30.06.2017 года</t>
  </si>
  <si>
    <t>Остаток денежных средств  на проведения работ капитального характера по состоянию на 31.07.2017 года</t>
  </si>
  <si>
    <t>Остаток денежных средств  на проведения работ капитального характера по состоянию на 31.08.2017 года</t>
  </si>
  <si>
    <t>Остаток денежных средств  на проведения работ капитального характера по состоянию на 30.09.2017 года</t>
  </si>
  <si>
    <t>Остаток денежных средств  на проведения работ капитального характера по состоянию на 31.10.2017 года</t>
  </si>
  <si>
    <t>ул. Локомотивная 6</t>
  </si>
  <si>
    <t>Остаток денежных средств  на проведения работ капитального характера по состоянию на 30.11.2017 года</t>
  </si>
  <si>
    <t>Остаток денежных средств  на проведения работ капитального характера по состоянию на 31.12.2017 года</t>
  </si>
  <si>
    <t>Остаток денежных средств  на проведения работ капитального характера по состоянию на 31.01.2018 года</t>
  </si>
  <si>
    <t>Остаток денежных средств  на проведения работ капитального характера по состоянию на 28.02.2018 года</t>
  </si>
  <si>
    <t>Остаток денежных средств  на проведения работ капитального характера по состоянию на 31.03.2018 года</t>
  </si>
  <si>
    <t>Остаток денежных средств  на проведения работ капитального характера по состоянию на 30.04.2018 года</t>
  </si>
  <si>
    <t>Остаток денежных средств  на проведения работ капитального характера по состоянию на 31.05.2018 года</t>
  </si>
  <si>
    <t>Остаток денежных средств  на проведения работ капитального характера по состоянию на 30.06.2018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</si>
</sst>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 applyFill="1" applyAlignment="1">
      <alignment horizontal="center" vertical="center"/>
    </xf>
    <xf numFmtId="2" fontId="2" fillId="0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/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0" applyFont="1" applyFill="1"/>
    <xf numFmtId="2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4" fontId="2" fillId="0" borderId="0" xfId="0" applyNumberFormat="1" applyFont="1" applyFill="1" applyAlignment="1">
      <alignment horizontal="center"/>
    </xf>
    <xf numFmtId="4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ill="1" applyBorder="1"/>
    <xf numFmtId="0" fontId="2" fillId="0" borderId="1" xfId="0" applyFont="1" applyFill="1" applyBorder="1"/>
    <xf numFmtId="2" fontId="2" fillId="0" borderId="1" xfId="0" applyNumberFormat="1" applyFont="1" applyFill="1" applyBorder="1"/>
    <xf numFmtId="2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2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14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/>
    </xf>
    <xf numFmtId="3" fontId="2" fillId="0" borderId="1" xfId="0" applyNumberFormat="1" applyFont="1" applyFill="1" applyBorder="1"/>
    <xf numFmtId="4" fontId="4" fillId="0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/>
    </xf>
    <xf numFmtId="3" fontId="2" fillId="2" borderId="1" xfId="0" applyNumberFormat="1" applyFont="1" applyFill="1" applyBorder="1"/>
    <xf numFmtId="14" fontId="2" fillId="0" borderId="0" xfId="0" applyNumberFormat="1" applyFont="1" applyFill="1"/>
    <xf numFmtId="14" fontId="2" fillId="2" borderId="0" xfId="0" applyNumberFormat="1" applyFont="1" applyFill="1"/>
    <xf numFmtId="0" fontId="2" fillId="3" borderId="1" xfId="0" applyFont="1" applyFill="1" applyBorder="1"/>
    <xf numFmtId="2" fontId="2" fillId="3" borderId="1" xfId="0" applyNumberFormat="1" applyFont="1" applyFill="1" applyBorder="1"/>
    <xf numFmtId="4" fontId="2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H2" sqref="H2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 x14ac:dyDescent="0.25">
      <c r="B1" s="73" t="s">
        <v>73</v>
      </c>
      <c r="C1" s="73"/>
      <c r="D1" s="73"/>
      <c r="E1" s="73"/>
    </row>
    <row r="2" spans="1:5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 x14ac:dyDescent="0.25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1198405.34+61628.71+55224.6+55725.8+51506.44+51388.62+79931.77+56783.34+61433.64+66573+48000.74+109480.08+60996.09+64053.18+57256.32+86515.27+65979.17+58313.83+82492.28+69153.91+68307.25+56875.32</f>
        <v>2566024.7000000002</v>
      </c>
      <c r="D3" s="32">
        <f>1082751.87+16000+858545.29+170514.71+130000+65000+65000+65000+65000</f>
        <v>2517811.87</v>
      </c>
      <c r="E3" s="63">
        <f>C3-D3</f>
        <v>48212.830000000075</v>
      </c>
    </row>
    <row r="4" spans="1:5" s="15" customFormat="1" x14ac:dyDescent="0.25">
      <c r="A4" s="31">
        <f>A3+1</f>
        <v>2</v>
      </c>
      <c r="B4" s="31" t="s">
        <v>4</v>
      </c>
      <c r="C4" s="32">
        <v>1084578.3899999999</v>
      </c>
      <c r="D4" s="32">
        <f>156000+364454</f>
        <v>520454</v>
      </c>
      <c r="E4" s="63">
        <f>C4-D4</f>
        <v>564124.3899999999</v>
      </c>
    </row>
    <row r="5" spans="1:5" s="15" customFormat="1" x14ac:dyDescent="0.25">
      <c r="A5" s="31">
        <v>3</v>
      </c>
      <c r="B5" s="31" t="s">
        <v>5</v>
      </c>
      <c r="C5" s="32">
        <f>D5+E5</f>
        <v>3329740.3999999994</v>
      </c>
      <c r="D5" s="32"/>
      <c r="E5" s="35">
        <f>2116692.9+98468.42+97921.51+70568.76+110096.23+75640.03+87494.39+163293.49+72649.77+74954.58+92843.86+131675.38+137441.08</f>
        <v>3329740.3999999994</v>
      </c>
    </row>
    <row r="6" spans="1:5" s="15" customFormat="1" x14ac:dyDescent="0.25">
      <c r="A6" s="31">
        <f t="shared" ref="A6" si="0">A5+1</f>
        <v>4</v>
      </c>
      <c r="B6" s="31" t="s">
        <v>6</v>
      </c>
      <c r="C6" s="32">
        <f>D6+E6</f>
        <v>1855684.8399999999</v>
      </c>
      <c r="D6" s="32">
        <f>599075+75400+75468+173143+173143.97</f>
        <v>1096229.97</v>
      </c>
      <c r="E6" s="63">
        <v>759454.87</v>
      </c>
    </row>
    <row r="7" spans="1:5" s="15" customFormat="1" x14ac:dyDescent="0.25">
      <c r="A7" s="31">
        <v>5</v>
      </c>
      <c r="B7" s="31" t="s">
        <v>8</v>
      </c>
      <c r="C7" s="32">
        <v>4118345</v>
      </c>
      <c r="D7" s="32"/>
      <c r="E7" s="63">
        <f>C7</f>
        <v>4118345</v>
      </c>
    </row>
    <row r="8" spans="1:5" s="15" customFormat="1" x14ac:dyDescent="0.25">
      <c r="A8" s="31">
        <f t="shared" ref="A8" si="1">A7+1</f>
        <v>6</v>
      </c>
      <c r="B8" s="31" t="s">
        <v>9</v>
      </c>
      <c r="C8" s="32">
        <v>1184298.05</v>
      </c>
      <c r="D8" s="32"/>
      <c r="E8" s="63">
        <f>C8</f>
        <v>1184298.05</v>
      </c>
    </row>
    <row r="9" spans="1:5" s="15" customFormat="1" x14ac:dyDescent="0.25">
      <c r="A9" s="31">
        <v>7</v>
      </c>
      <c r="B9" s="31" t="s">
        <v>10</v>
      </c>
      <c r="C9" s="32">
        <f>1193943.53+41519.77+33851.37</f>
        <v>1269314.6700000002</v>
      </c>
      <c r="D9" s="32">
        <v>305646</v>
      </c>
      <c r="E9" s="63">
        <f>C9-D9</f>
        <v>963668.67000000016</v>
      </c>
    </row>
    <row r="10" spans="1:5" s="15" customFormat="1" x14ac:dyDescent="0.25">
      <c r="A10" s="31">
        <f t="shared" ref="A10" si="2">A9+1</f>
        <v>8</v>
      </c>
      <c r="B10" s="31" t="s">
        <v>11</v>
      </c>
      <c r="C10" s="32">
        <f>1426796.9+49164.05+54345.59+50217.87+64217.66+56735.24+53528.79+54376.64+47289.29+77572.92+47569.42+58629.57+52834.01</f>
        <v>2093277.95</v>
      </c>
      <c r="D10" s="32">
        <v>171327.75</v>
      </c>
      <c r="E10" s="63">
        <f>C10-D10</f>
        <v>1921950.2</v>
      </c>
    </row>
    <row r="11" spans="1:5" s="15" customFormat="1" x14ac:dyDescent="0.25">
      <c r="A11" s="31">
        <v>9</v>
      </c>
      <c r="B11" s="31" t="s">
        <v>12</v>
      </c>
      <c r="C11" s="32">
        <f>392830.67+10227.98+7507.27+37359.94+15099.61+14715.6+11227.28</f>
        <v>488968.35</v>
      </c>
      <c r="D11" s="32">
        <f>240000+164875.6+60000+13000</f>
        <v>477875.6</v>
      </c>
      <c r="E11" s="63">
        <f>C11-D11</f>
        <v>11092.75</v>
      </c>
    </row>
    <row r="12" spans="1:5" s="15" customFormat="1" x14ac:dyDescent="0.25">
      <c r="A12" s="31">
        <f t="shared" ref="A12" si="3">A11+1</f>
        <v>10</v>
      </c>
      <c r="B12" s="31" t="s">
        <v>13</v>
      </c>
      <c r="C12" s="32">
        <f>1873546.99+59634.56+57087.18+58719.75+60861.51+68001.27+54902.43+64101.1+53925.61</f>
        <v>2350780.4</v>
      </c>
      <c r="D12" s="32"/>
      <c r="E12" s="63">
        <f>C12-D12</f>
        <v>2350780.4</v>
      </c>
    </row>
    <row r="13" spans="1:5" s="15" customFormat="1" x14ac:dyDescent="0.25">
      <c r="A13" s="31">
        <v>11</v>
      </c>
      <c r="B13" s="31" t="s">
        <v>14</v>
      </c>
      <c r="C13" s="32">
        <f>1726987.63+56085.46+52117.68+55483.96+53801.15+66336.23+50317.17+61074.85+56081.05</f>
        <v>2178285.1799999992</v>
      </c>
      <c r="D13" s="32"/>
      <c r="E13" s="63">
        <f>C13-D13</f>
        <v>2178285.1799999992</v>
      </c>
    </row>
    <row r="14" spans="1:5" s="15" customFormat="1" x14ac:dyDescent="0.25">
      <c r="A14" s="31">
        <v>13</v>
      </c>
      <c r="B14" s="31" t="s">
        <v>16</v>
      </c>
      <c r="C14" s="32">
        <f>D14+E14</f>
        <v>2706438.4399999995</v>
      </c>
      <c r="D14" s="32"/>
      <c r="E14" s="35">
        <f>1680872.01+107870.69+115716.23+78935.88+79402.42+74796.29+97957.16+80778.36+59717.02+64290.94+72043.76+60978.01+64456.77+68622.9</f>
        <v>2706438.4399999995</v>
      </c>
    </row>
    <row r="15" spans="1:5" s="15" customFormat="1" x14ac:dyDescent="0.25">
      <c r="A15" s="31">
        <f>A13+1</f>
        <v>12</v>
      </c>
      <c r="B15" s="31" t="s">
        <v>15</v>
      </c>
      <c r="C15" s="32">
        <f>1638673.3+64083.01+60114.23+50325.89+43436.56+66814.4+44056.38+54445.17+55262.15</f>
        <v>2077211.0899999996</v>
      </c>
      <c r="D15" s="31"/>
      <c r="E15" s="63">
        <f>C15</f>
        <v>2077211.0899999996</v>
      </c>
    </row>
    <row r="16" spans="1:5" s="15" customFormat="1" x14ac:dyDescent="0.25">
      <c r="A16" s="31">
        <f>A14+1</f>
        <v>14</v>
      </c>
      <c r="B16" s="31" t="s">
        <v>23</v>
      </c>
      <c r="C16" s="32">
        <f>E16+D16</f>
        <v>805927.26</v>
      </c>
      <c r="D16" s="61">
        <f>248000+292700+40000+50000+60000+48000</f>
        <v>738700</v>
      </c>
      <c r="E16" s="63">
        <v>67227.259999999995</v>
      </c>
    </row>
    <row r="17" spans="1:9" s="15" customFormat="1" x14ac:dyDescent="0.25">
      <c r="A17" s="31">
        <v>15</v>
      </c>
      <c r="B17" s="31" t="s">
        <v>18</v>
      </c>
      <c r="C17" s="32">
        <f>1927381.82+581181.42+150328.58+69057.1+65263.95+227.75+235122.55+75421.82+78833+44293.06+1138.75+170751.71+20627.85+114673.32+931+141251.17+66530.76+68580.39+98135.23+73302.77+201370.04+104788.14</f>
        <v>4289192.18</v>
      </c>
      <c r="D17" s="31">
        <f>238142.93+625976.1+1460610.9</f>
        <v>2324729.9299999997</v>
      </c>
      <c r="E17" s="35">
        <f>C17-D17</f>
        <v>1964462.25</v>
      </c>
    </row>
    <row r="18" spans="1:9" s="15" customFormat="1" x14ac:dyDescent="0.25">
      <c r="A18" s="31">
        <f t="shared" ref="A18" si="4">A17+1</f>
        <v>16</v>
      </c>
      <c r="B18" s="31" t="s">
        <v>19</v>
      </c>
      <c r="C18" s="32">
        <f>1430168.98+28150.03+105029.89+1891.93+53561.01+56398.95+66972.53+54824.74+61243.97+39742.57+64667.57+63523.47+66961.15+57952.32+60569.58+72741.31+56105.33+65554.77+65061.33</f>
        <v>2471121.4300000002</v>
      </c>
      <c r="D18" s="31">
        <f>629968.1+105030</f>
        <v>734998.1</v>
      </c>
      <c r="E18" s="35">
        <f>C18-D18</f>
        <v>1736123.33</v>
      </c>
      <c r="I18" s="67"/>
    </row>
    <row r="19" spans="1:9" s="15" customFormat="1" x14ac:dyDescent="0.25">
      <c r="A19" s="31">
        <v>17</v>
      </c>
      <c r="B19" s="31" t="s">
        <v>34</v>
      </c>
      <c r="C19" s="31">
        <f>1011152.61+47100.97+38.91+49797.16+42564.45+36144.08+50297.73+41790.2+45743.79+42383.57+46782.43+47151.31+44150.67+46969.97+36821+54633+41617.1+52746.64+39721.69</f>
        <v>1777607.2799999998</v>
      </c>
      <c r="D19" s="31">
        <f>807750+203011+221000+129000</f>
        <v>1360761</v>
      </c>
      <c r="E19" s="35">
        <f>C19-D19</f>
        <v>416846.2799999998</v>
      </c>
    </row>
    <row r="20" spans="1:9" s="15" customFormat="1" x14ac:dyDescent="0.25">
      <c r="A20" s="31">
        <v>19</v>
      </c>
      <c r="B20" s="31" t="s">
        <v>26</v>
      </c>
      <c r="C20" s="32">
        <f>E20+D20</f>
        <v>7320363.21</v>
      </c>
      <c r="D20" s="31">
        <v>688405.61</v>
      </c>
      <c r="E20" s="63">
        <v>6631957.5999999996</v>
      </c>
      <c r="H20" s="14"/>
    </row>
    <row r="21" spans="1:9" s="15" customFormat="1" x14ac:dyDescent="0.25">
      <c r="A21" s="31">
        <f t="shared" ref="A21" si="5">A20+1</f>
        <v>20</v>
      </c>
      <c r="B21" s="31" t="s">
        <v>27</v>
      </c>
      <c r="C21" s="32">
        <f>889433.59+39350.9+44229.36+43365.32+45078.28+31666.17+54786.43+37997.99+33596.17+37543.12+38801.59+37497.8</f>
        <v>1333346.72</v>
      </c>
      <c r="D21" s="31"/>
      <c r="E21" s="63">
        <f>C21</f>
        <v>1333346.72</v>
      </c>
    </row>
    <row r="22" spans="1:9" s="15" customFormat="1" x14ac:dyDescent="0.25">
      <c r="A22" s="31">
        <v>21</v>
      </c>
      <c r="B22" s="31" t="s">
        <v>28</v>
      </c>
      <c r="C22" s="32">
        <f>5566.73+82248.54+613635.28+63748.73+1657.36+34894.87+38.51+3911.59+625.75+40159.59+37410.39+19930.35+47876.66+76048.03+69722.05+37833.55+38203.06+43711.91</f>
        <v>1217222.95</v>
      </c>
      <c r="D22" s="31"/>
      <c r="E22" s="63">
        <f>C22-D22</f>
        <v>1217222.95</v>
      </c>
    </row>
    <row r="23" spans="1:9" s="15" customFormat="1" x14ac:dyDescent="0.25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536037.29-5674.03+30089.15+36989.2+60.53+35059.37+28224.71+25783.78+48033.66+27339.76+41632.91+39526.17+35094.74+28437.64+42127.29+35434.77+32632.57+38484.24+34803.57+25388.9+42595.51+27496.36+39771.52+35152.28</f>
        <v>1260521.8900000004</v>
      </c>
      <c r="D23" s="31">
        <v>200000</v>
      </c>
      <c r="E23" s="63">
        <f>C23-D23</f>
        <v>1060521.8900000004</v>
      </c>
    </row>
    <row r="24" spans="1:9" s="15" customFormat="1" x14ac:dyDescent="0.25">
      <c r="A24" s="31">
        <v>23</v>
      </c>
      <c r="B24" s="31" t="s">
        <v>55</v>
      </c>
      <c r="C24" s="31">
        <f>19243.97+890303.39+61201.14+75730.82+81724.42+27616.97+22147.67+25601.14+42293.88+35808.96+27642.12+16454.74+43308.8+30294.61+41796.62+100324.94</f>
        <v>1541494.19</v>
      </c>
      <c r="D24" s="31"/>
      <c r="E24" s="63">
        <f>C24-D24</f>
        <v>1541494.19</v>
      </c>
    </row>
    <row r="25" spans="1:9" s="15" customFormat="1" x14ac:dyDescent="0.25">
      <c r="A25" s="31">
        <v>24</v>
      </c>
      <c r="B25" s="31" t="s">
        <v>58</v>
      </c>
      <c r="C25" s="31">
        <v>2381428.19</v>
      </c>
      <c r="D25" s="31">
        <v>860175.16</v>
      </c>
      <c r="E25" s="63">
        <v>1521253.03</v>
      </c>
    </row>
    <row r="26" spans="1:9" s="11" customFormat="1" x14ac:dyDescent="0.25">
      <c r="A26" s="30">
        <v>25</v>
      </c>
      <c r="B26" s="30" t="s">
        <v>65</v>
      </c>
      <c r="C26" s="30">
        <f>60928.09+1836125.58+214047.89+120437.88+75783.1+152088.98+89211.3+83284.58+97043.49</f>
        <v>2728950.89</v>
      </c>
      <c r="D26" s="30">
        <f>659947.16+512306+1386279.72+170418.01</f>
        <v>2728950.8899999997</v>
      </c>
      <c r="E26" s="63">
        <f>C26-D26</f>
        <v>0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17" sqref="C17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 x14ac:dyDescent="0.25">
      <c r="B1" s="73" t="s">
        <v>63</v>
      </c>
      <c r="C1" s="73"/>
      <c r="D1" s="73"/>
      <c r="E1" s="73"/>
    </row>
    <row r="2" spans="1:5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 x14ac:dyDescent="0.25">
      <c r="A3" s="31">
        <v>1</v>
      </c>
      <c r="B3" s="31" t="s">
        <v>3</v>
      </c>
      <c r="C3" s="32">
        <f>1198405.34+61628.71+55224.6+55725.8+51506.44+51388.62+79931.77+56783.34+61433.64+66573+48000.74+109480.08+60996.09</f>
        <v>1957078.1700000004</v>
      </c>
      <c r="D3" s="32">
        <f>1082751.87+16000</f>
        <v>1098751.8700000001</v>
      </c>
      <c r="E3" s="63">
        <f>C3-D3</f>
        <v>858326.30000000028</v>
      </c>
    </row>
    <row r="4" spans="1:5" s="15" customFormat="1" x14ac:dyDescent="0.25">
      <c r="A4" s="31">
        <f>A3+1</f>
        <v>2</v>
      </c>
      <c r="B4" s="31" t="s">
        <v>4</v>
      </c>
      <c r="C4" s="32">
        <f>D4+E4</f>
        <v>839664.45</v>
      </c>
      <c r="D4" s="32">
        <f>156000+364454</f>
        <v>520454</v>
      </c>
      <c r="E4" s="63">
        <v>319210.45</v>
      </c>
    </row>
    <row r="5" spans="1:5" s="15" customFormat="1" x14ac:dyDescent="0.25">
      <c r="A5" s="31">
        <v>3</v>
      </c>
      <c r="B5" s="31" t="s">
        <v>5</v>
      </c>
      <c r="C5" s="32">
        <f>D5+E5</f>
        <v>2383651.5899999994</v>
      </c>
      <c r="D5" s="32"/>
      <c r="E5" s="35">
        <f>2116692.9+98468.42+97921.51+70568.76</f>
        <v>2383651.5899999994</v>
      </c>
    </row>
    <row r="6" spans="1:5" s="15" customFormat="1" x14ac:dyDescent="0.25">
      <c r="A6" s="31">
        <f t="shared" ref="A6" si="0">A5+1</f>
        <v>4</v>
      </c>
      <c r="B6" s="31" t="s">
        <v>6</v>
      </c>
      <c r="C6" s="32">
        <f>D6+E6</f>
        <v>1345058.49</v>
      </c>
      <c r="D6" s="32">
        <f>599075+75400+75468+173143</f>
        <v>923086</v>
      </c>
      <c r="E6" s="63">
        <v>421972.49</v>
      </c>
    </row>
    <row r="7" spans="1:5" s="15" customFormat="1" x14ac:dyDescent="0.25">
      <c r="A7" s="31">
        <v>5</v>
      </c>
      <c r="B7" s="31" t="s">
        <v>8</v>
      </c>
      <c r="C7" s="32">
        <v>3153677.02</v>
      </c>
      <c r="D7" s="32"/>
      <c r="E7" s="63">
        <f>C7</f>
        <v>3153677.02</v>
      </c>
    </row>
    <row r="8" spans="1:5" s="15" customFormat="1" x14ac:dyDescent="0.25">
      <c r="A8" s="31">
        <f t="shared" ref="A8" si="1">A7+1</f>
        <v>6</v>
      </c>
      <c r="B8" s="31" t="s">
        <v>9</v>
      </c>
      <c r="C8" s="32">
        <v>915100.6</v>
      </c>
      <c r="D8" s="32"/>
      <c r="E8" s="63">
        <f>C8</f>
        <v>915100.6</v>
      </c>
    </row>
    <row r="9" spans="1:5" s="15" customFormat="1" x14ac:dyDescent="0.25">
      <c r="A9" s="31">
        <v>7</v>
      </c>
      <c r="B9" s="31" t="s">
        <v>10</v>
      </c>
      <c r="C9" s="32">
        <v>945457.47</v>
      </c>
      <c r="D9" s="32"/>
      <c r="E9" s="63">
        <f>C9</f>
        <v>945457.47</v>
      </c>
    </row>
    <row r="10" spans="1:5" s="15" customFormat="1" x14ac:dyDescent="0.25">
      <c r="A10" s="31">
        <f t="shared" ref="A10" si="2">A9+1</f>
        <v>8</v>
      </c>
      <c r="B10" s="31" t="s">
        <v>11</v>
      </c>
      <c r="C10" s="32">
        <f>1426796.9+49164.05+54345.59+50217.87</f>
        <v>1580524.4100000001</v>
      </c>
      <c r="D10" s="32">
        <v>171327.75</v>
      </c>
      <c r="E10" s="63">
        <f>C10-D10</f>
        <v>1409196.6600000001</v>
      </c>
    </row>
    <row r="11" spans="1:5" s="15" customFormat="1" x14ac:dyDescent="0.25">
      <c r="A11" s="31">
        <v>9</v>
      </c>
      <c r="B11" s="31" t="s">
        <v>12</v>
      </c>
      <c r="C11" s="32">
        <f>330823.77+12121.35+12509.07</f>
        <v>355454.19</v>
      </c>
      <c r="D11" s="32">
        <v>240000</v>
      </c>
      <c r="E11" s="63">
        <f>C11-D11</f>
        <v>115454.19</v>
      </c>
    </row>
    <row r="12" spans="1:5" s="15" customFormat="1" x14ac:dyDescent="0.25">
      <c r="A12" s="31">
        <f t="shared" ref="A12" si="3">A11+1</f>
        <v>10</v>
      </c>
      <c r="B12" s="31" t="s">
        <v>13</v>
      </c>
      <c r="C12" s="32">
        <f>1148506.86+53518.21+52210.83+52118.49+48772.69+48177.26+67979.34+88106.73+51232.47+59437.72+51776.98+49376.01+39888.27</f>
        <v>1811101.86</v>
      </c>
      <c r="D12" s="32"/>
      <c r="E12" s="63">
        <f>C12-D12</f>
        <v>1811101.86</v>
      </c>
    </row>
    <row r="13" spans="1:5" s="15" customFormat="1" x14ac:dyDescent="0.25">
      <c r="A13" s="31">
        <v>11</v>
      </c>
      <c r="B13" s="31" t="s">
        <v>14</v>
      </c>
      <c r="C13" s="32">
        <f>999726.98+46893.35+47848.95+61927.75+55672.64+48288.7+42624.37+60794.81+54045.46+48135.93+57806.4+52618.12+58274.97+37047.93</f>
        <v>1671706.3599999999</v>
      </c>
      <c r="D13" s="32"/>
      <c r="E13" s="63">
        <f>C13-D13</f>
        <v>1671706.3599999999</v>
      </c>
    </row>
    <row r="14" spans="1:5" s="15" customFormat="1" x14ac:dyDescent="0.25">
      <c r="A14" s="31">
        <v>13</v>
      </c>
      <c r="B14" s="31" t="s">
        <v>16</v>
      </c>
      <c r="C14" s="32">
        <f>D14+E14</f>
        <v>2062797.23</v>
      </c>
      <c r="D14" s="32"/>
      <c r="E14" s="35">
        <f>1680872.01+107870.69+115716.23+78935.88+79402.42</f>
        <v>2062797.23</v>
      </c>
    </row>
    <row r="15" spans="1:5" s="15" customFormat="1" x14ac:dyDescent="0.25">
      <c r="A15" s="31">
        <f>A13+1</f>
        <v>12</v>
      </c>
      <c r="B15" s="31" t="s">
        <v>15</v>
      </c>
      <c r="C15" s="32">
        <v>1581474.74</v>
      </c>
      <c r="D15" s="31"/>
      <c r="E15" s="63">
        <f>C15</f>
        <v>1581474.74</v>
      </c>
    </row>
    <row r="16" spans="1:5" s="15" customFormat="1" x14ac:dyDescent="0.25">
      <c r="A16" s="31">
        <f t="shared" ref="A16" si="4">A14+1</f>
        <v>14</v>
      </c>
      <c r="B16" s="31" t="s">
        <v>23</v>
      </c>
      <c r="C16" s="32">
        <f>E16+D16</f>
        <v>560726</v>
      </c>
      <c r="D16" s="61">
        <f>248000+292700</f>
        <v>540700</v>
      </c>
      <c r="E16" s="63">
        <v>20026</v>
      </c>
    </row>
    <row r="17" spans="1:9" s="15" customFormat="1" x14ac:dyDescent="0.25">
      <c r="A17" s="31">
        <v>15</v>
      </c>
      <c r="B17" s="31" t="s">
        <v>18</v>
      </c>
      <c r="C17" s="32">
        <f>1927381.82+581181.42+150328.58+69057.1+65263.95+227.75+235122.55+75421.82+78833+44293.06+1138.75</f>
        <v>3228249.8000000003</v>
      </c>
      <c r="D17" s="31">
        <v>238142.93</v>
      </c>
      <c r="E17" s="35">
        <f>C17-D17</f>
        <v>2990106.87</v>
      </c>
    </row>
    <row r="18" spans="1:9" s="15" customFormat="1" x14ac:dyDescent="0.25">
      <c r="A18" s="31">
        <f t="shared" ref="A18" si="5">A17+1</f>
        <v>16</v>
      </c>
      <c r="B18" s="31" t="s">
        <v>19</v>
      </c>
      <c r="C18" s="32">
        <f>1430168.98+28150.03+105029.89+1891.93+53561.01+56398.95+66972.53+54824.74+61243.97+39742.57</f>
        <v>1897984.5999999999</v>
      </c>
      <c r="D18" s="31">
        <f>629968.1+105030</f>
        <v>734998.1</v>
      </c>
      <c r="E18" s="35">
        <f>C18-D18</f>
        <v>1162986.5</v>
      </c>
      <c r="I18" s="67"/>
    </row>
    <row r="19" spans="1:9" s="15" customFormat="1" x14ac:dyDescent="0.25">
      <c r="A19" s="31">
        <v>17</v>
      </c>
      <c r="B19" s="31" t="s">
        <v>34</v>
      </c>
      <c r="C19" s="31">
        <f>1011152.61+47100.97+38.91+49797.16+42564.45+36144.08+50297.73+41790.2+45743.79+42383.57</f>
        <v>1367013.47</v>
      </c>
      <c r="D19" s="31">
        <f>807750+203011+221000</f>
        <v>1231761</v>
      </c>
      <c r="E19" s="35">
        <f>C19-D19</f>
        <v>135252.46999999997</v>
      </c>
    </row>
    <row r="20" spans="1:9" s="15" customFormat="1" x14ac:dyDescent="0.25">
      <c r="A20" s="31">
        <v>19</v>
      </c>
      <c r="B20" s="31" t="s">
        <v>26</v>
      </c>
      <c r="C20" s="32">
        <v>5563978.1200000001</v>
      </c>
      <c r="D20" s="31">
        <v>688405.61</v>
      </c>
      <c r="E20" s="63">
        <f>C20-D20</f>
        <v>4875572.51</v>
      </c>
    </row>
    <row r="21" spans="1:9" s="15" customFormat="1" x14ac:dyDescent="0.25">
      <c r="A21" s="31">
        <f t="shared" ref="A21" si="6">A20+1</f>
        <v>20</v>
      </c>
      <c r="B21" s="31" t="s">
        <v>27</v>
      </c>
      <c r="C21" s="32">
        <f>889433.59+39350.9+44229.36</f>
        <v>973013.85</v>
      </c>
      <c r="D21" s="31"/>
      <c r="E21" s="63">
        <f>C21</f>
        <v>973013.85</v>
      </c>
    </row>
    <row r="22" spans="1:9" s="15" customFormat="1" x14ac:dyDescent="0.25">
      <c r="A22" s="31">
        <v>21</v>
      </c>
      <c r="B22" s="31" t="s">
        <v>28</v>
      </c>
      <c r="C22" s="32">
        <f>5566.73+82248.54+613635.28+63748.73+1657.36+34894.87+38.51+3911.59+625.75</f>
        <v>806327.36</v>
      </c>
      <c r="D22" s="31"/>
      <c r="E22" s="63">
        <f>C22-D22</f>
        <v>806327.36</v>
      </c>
    </row>
    <row r="23" spans="1:9" s="15" customFormat="1" x14ac:dyDescent="0.25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</f>
        <v>948762.17000000016</v>
      </c>
      <c r="D23" s="31">
        <v>200000</v>
      </c>
      <c r="E23" s="63">
        <f>C23-D23</f>
        <v>748762.17000000016</v>
      </c>
    </row>
    <row r="24" spans="1:9" s="15" customFormat="1" x14ac:dyDescent="0.25">
      <c r="A24" s="31">
        <v>23</v>
      </c>
      <c r="B24" s="31" t="s">
        <v>55</v>
      </c>
      <c r="C24" s="31">
        <f>19243.97+890303.39+61201.14+75730.82+81724.42+27616.97+22147.67</f>
        <v>1177968.3799999999</v>
      </c>
      <c r="D24" s="31"/>
      <c r="E24" s="63">
        <f>C24-D24</f>
        <v>1177968.3799999999</v>
      </c>
    </row>
    <row r="25" spans="1:9" s="15" customFormat="1" x14ac:dyDescent="0.25">
      <c r="A25" s="31">
        <v>24</v>
      </c>
      <c r="B25" s="31" t="s">
        <v>58</v>
      </c>
      <c r="C25" s="31">
        <v>1601918.8</v>
      </c>
      <c r="D25" s="31">
        <v>258000</v>
      </c>
      <c r="E25" s="63">
        <v>1343918.8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17" sqref="C17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 x14ac:dyDescent="0.25">
      <c r="B1" s="73" t="s">
        <v>62</v>
      </c>
      <c r="C1" s="73"/>
      <c r="D1" s="73"/>
      <c r="E1" s="73"/>
    </row>
    <row r="2" spans="1:8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8" s="11" customFormat="1" x14ac:dyDescent="0.25">
      <c r="A3" s="30">
        <v>1</v>
      </c>
      <c r="B3" s="31" t="s">
        <v>3</v>
      </c>
      <c r="C3" s="32">
        <f>1198405.34+61628.71+55224.6+55725.8+51506.44+51388.62+79931.77+56783.34+61433.64+66573+48000.74+109480.08</f>
        <v>1896082.0800000003</v>
      </c>
      <c r="D3" s="32">
        <f>1082751.87+16000</f>
        <v>1098751.8700000001</v>
      </c>
      <c r="E3" s="63">
        <f>C3-D3</f>
        <v>797330.2100000002</v>
      </c>
    </row>
    <row r="4" spans="1:8" s="11" customFormat="1" x14ac:dyDescent="0.25">
      <c r="A4" s="30">
        <f>A3+1</f>
        <v>2</v>
      </c>
      <c r="B4" s="42" t="s">
        <v>4</v>
      </c>
      <c r="C4" s="43">
        <f>D4+E4</f>
        <v>811748.95</v>
      </c>
      <c r="D4" s="43">
        <f>156000+364454</f>
        <v>520454</v>
      </c>
      <c r="E4" s="64">
        <v>291294.95</v>
      </c>
    </row>
    <row r="5" spans="1:8" s="11" customFormat="1" x14ac:dyDescent="0.25">
      <c r="A5" s="30">
        <v>3</v>
      </c>
      <c r="B5" s="42" t="s">
        <v>5</v>
      </c>
      <c r="C5" s="43">
        <f>D5+E5</f>
        <v>2313082.8299999996</v>
      </c>
      <c r="D5" s="43"/>
      <c r="E5" s="65">
        <f>2116692.9+98468.42+97921.51</f>
        <v>2313082.8299999996</v>
      </c>
    </row>
    <row r="6" spans="1:8" s="11" customFormat="1" x14ac:dyDescent="0.25">
      <c r="A6" s="30">
        <f t="shared" ref="A6" si="0">A5+1</f>
        <v>4</v>
      </c>
      <c r="B6" s="42" t="s">
        <v>6</v>
      </c>
      <c r="C6" s="43">
        <f>D6+E6</f>
        <v>1300555.6000000001</v>
      </c>
      <c r="D6" s="43">
        <f>599075+75400+75468</f>
        <v>749943</v>
      </c>
      <c r="E6" s="64">
        <v>550612.6</v>
      </c>
    </row>
    <row r="7" spans="1:8" s="11" customFormat="1" x14ac:dyDescent="0.25">
      <c r="A7" s="30">
        <v>5</v>
      </c>
      <c r="B7" s="42" t="s">
        <v>8</v>
      </c>
      <c r="C7" s="43">
        <v>3041824.34</v>
      </c>
      <c r="D7" s="43"/>
      <c r="E7" s="64">
        <f>C7</f>
        <v>3041824.34</v>
      </c>
    </row>
    <row r="8" spans="1:8" s="11" customFormat="1" x14ac:dyDescent="0.25">
      <c r="A8" s="30">
        <f t="shared" ref="A8" si="1">A7+1</f>
        <v>6</v>
      </c>
      <c r="B8" s="42" t="s">
        <v>9</v>
      </c>
      <c r="C8" s="43">
        <v>887781.11</v>
      </c>
      <c r="D8" s="43"/>
      <c r="E8" s="64">
        <f>C8</f>
        <v>887781.11</v>
      </c>
    </row>
    <row r="9" spans="1:8" s="11" customFormat="1" x14ac:dyDescent="0.25">
      <c r="A9" s="30">
        <v>7</v>
      </c>
      <c r="B9" s="42" t="s">
        <v>10</v>
      </c>
      <c r="C9" s="43">
        <v>912500.72</v>
      </c>
      <c r="D9" s="43"/>
      <c r="E9" s="64">
        <f>C9</f>
        <v>912500.72</v>
      </c>
    </row>
    <row r="10" spans="1:8" s="11" customFormat="1" x14ac:dyDescent="0.25">
      <c r="A10" s="30">
        <f t="shared" ref="A10" si="2">A9+1</f>
        <v>8</v>
      </c>
      <c r="B10" s="42" t="s">
        <v>11</v>
      </c>
      <c r="C10" s="43">
        <f>1426796.9+49164.05+54345.59</f>
        <v>1530306.54</v>
      </c>
      <c r="D10" s="43">
        <v>171327.75</v>
      </c>
      <c r="E10" s="64">
        <f>C10-D10</f>
        <v>1358978.79</v>
      </c>
    </row>
    <row r="11" spans="1:8" s="11" customFormat="1" x14ac:dyDescent="0.25">
      <c r="A11" s="30">
        <v>9</v>
      </c>
      <c r="B11" s="42" t="s">
        <v>12</v>
      </c>
      <c r="C11" s="43">
        <f>330823.77+12121.35</f>
        <v>342945.12</v>
      </c>
      <c r="D11" s="43">
        <v>240000</v>
      </c>
      <c r="E11" s="64">
        <f>C11-D11</f>
        <v>102945.12</v>
      </c>
    </row>
    <row r="12" spans="1:8" s="24" customFormat="1" x14ac:dyDescent="0.25">
      <c r="A12" s="31">
        <f t="shared" ref="A12" si="3">A11+1</f>
        <v>10</v>
      </c>
      <c r="B12" s="42" t="s">
        <v>13</v>
      </c>
      <c r="C12" s="43">
        <f>1148506.86+53518.21+52210.83+52118.49+48772.69+48177.26+67979.34+88106.73+51232.47+59437.72+51776.98+49376.01</f>
        <v>1771213.59</v>
      </c>
      <c r="D12" s="43"/>
      <c r="E12" s="64">
        <f>C12-D12</f>
        <v>1771213.59</v>
      </c>
      <c r="H12" s="15"/>
    </row>
    <row r="13" spans="1:8" s="24" customFormat="1" x14ac:dyDescent="0.25">
      <c r="A13" s="31">
        <v>11</v>
      </c>
      <c r="B13" s="42" t="s">
        <v>14</v>
      </c>
      <c r="C13" s="43">
        <f>999726.98+46893.35+47848.95+61927.75+55672.64+48288.7+42624.37+60794.81+54045.46+48135.93+57806.4+52618.12+58274.97</f>
        <v>1634658.43</v>
      </c>
      <c r="D13" s="43"/>
      <c r="E13" s="64">
        <f>C13-D13</f>
        <v>1634658.43</v>
      </c>
      <c r="H13" s="15"/>
    </row>
    <row r="14" spans="1:8" s="11" customFormat="1" x14ac:dyDescent="0.25">
      <c r="A14" s="30">
        <v>13</v>
      </c>
      <c r="B14" s="42" t="s">
        <v>16</v>
      </c>
      <c r="C14" s="43">
        <f>D14+E14</f>
        <v>1983394.81</v>
      </c>
      <c r="D14" s="43"/>
      <c r="E14" s="49">
        <f>1680872.01+107870.69+115716.23+78935.88</f>
        <v>1983394.81</v>
      </c>
    </row>
    <row r="15" spans="1:8" s="11" customFormat="1" x14ac:dyDescent="0.25">
      <c r="A15" s="30">
        <f>A13+1</f>
        <v>12</v>
      </c>
      <c r="B15" s="42" t="s">
        <v>15</v>
      </c>
      <c r="C15" s="43">
        <v>1531383.65</v>
      </c>
      <c r="D15" s="42"/>
      <c r="E15" s="64">
        <f>C15</f>
        <v>1531383.65</v>
      </c>
    </row>
    <row r="16" spans="1:8" s="11" customFormat="1" x14ac:dyDescent="0.25">
      <c r="A16" s="30">
        <f t="shared" ref="A16" si="4">A14+1</f>
        <v>14</v>
      </c>
      <c r="B16" s="42" t="s">
        <v>23</v>
      </c>
      <c r="C16" s="43">
        <f>E16+D16</f>
        <v>540673.86</v>
      </c>
      <c r="D16" s="66">
        <v>248000</v>
      </c>
      <c r="E16" s="64">
        <v>292673.86</v>
      </c>
    </row>
    <row r="17" spans="1:9" s="11" customFormat="1" x14ac:dyDescent="0.25">
      <c r="A17" s="30">
        <v>15</v>
      </c>
      <c r="B17" s="42" t="s">
        <v>18</v>
      </c>
      <c r="C17" s="43">
        <f>1927381.82+581181.42+150328.58+69057.1+65263.95+227.75+235122.55+75421.82+78833</f>
        <v>3182817.99</v>
      </c>
      <c r="D17" s="42">
        <v>238142.93</v>
      </c>
      <c r="E17" s="49">
        <f>C17-D17</f>
        <v>2944675.06</v>
      </c>
    </row>
    <row r="18" spans="1:9" s="11" customFormat="1" x14ac:dyDescent="0.25">
      <c r="A18" s="30">
        <f t="shared" ref="A18" si="5">A17+1</f>
        <v>16</v>
      </c>
      <c r="B18" s="42" t="s">
        <v>19</v>
      </c>
      <c r="C18" s="43">
        <f>1430168.98+28150.03+105029.89+1891.93+53561.01+56398.95+66972.53+54824.74+61243.97</f>
        <v>1858242.0299999998</v>
      </c>
      <c r="D18" s="42">
        <f>629968.1+105030</f>
        <v>734998.1</v>
      </c>
      <c r="E18" s="49">
        <f>C18-D18</f>
        <v>1123243.9299999997</v>
      </c>
      <c r="I18" s="54"/>
    </row>
    <row r="19" spans="1:9" s="11" customFormat="1" x14ac:dyDescent="0.25">
      <c r="A19" s="30">
        <v>17</v>
      </c>
      <c r="B19" s="41" t="s">
        <v>34</v>
      </c>
      <c r="C19" s="41">
        <f>1011152.61+47100.97+38.91+49797.16+42564.45+36144.08+50297.73+41790.2+45743.79</f>
        <v>1324629.8999999999</v>
      </c>
      <c r="D19" s="41">
        <f>807750+203011+221000</f>
        <v>1231761</v>
      </c>
      <c r="E19" s="49">
        <f>C19-D19</f>
        <v>92868.899999999907</v>
      </c>
    </row>
    <row r="20" spans="1:9" s="11" customFormat="1" x14ac:dyDescent="0.25">
      <c r="A20" s="30">
        <f t="shared" ref="A20" si="6">A19+1</f>
        <v>18</v>
      </c>
      <c r="B20" s="42" t="s">
        <v>24</v>
      </c>
      <c r="C20" s="43">
        <f>D20+E20</f>
        <v>579823.65999999992</v>
      </c>
      <c r="D20" s="43"/>
      <c r="E20" s="49">
        <f>472496.54+76688.06+25842.49+2400.57+1904.36+349.68+141.96</f>
        <v>579823.65999999992</v>
      </c>
    </row>
    <row r="21" spans="1:9" s="11" customFormat="1" x14ac:dyDescent="0.25">
      <c r="A21" s="30">
        <v>19</v>
      </c>
      <c r="B21" s="42" t="s">
        <v>26</v>
      </c>
      <c r="C21" s="43">
        <v>5400544.6699999999</v>
      </c>
      <c r="D21" s="42">
        <v>688405.61</v>
      </c>
      <c r="E21" s="64">
        <f>C21-D21</f>
        <v>4712139.0599999996</v>
      </c>
    </row>
    <row r="22" spans="1:9" s="11" customFormat="1" x14ac:dyDescent="0.25">
      <c r="A22" s="30">
        <f t="shared" ref="A22" si="7">A21+1</f>
        <v>20</v>
      </c>
      <c r="B22" s="42" t="s">
        <v>27</v>
      </c>
      <c r="C22" s="43">
        <f>889433.59+39350.9+44229.36</f>
        <v>973013.85</v>
      </c>
      <c r="D22" s="42"/>
      <c r="E22" s="64">
        <f>C22</f>
        <v>973013.85</v>
      </c>
    </row>
    <row r="23" spans="1:9" s="11" customFormat="1" x14ac:dyDescent="0.25">
      <c r="A23" s="30">
        <v>21</v>
      </c>
      <c r="B23" s="42" t="s">
        <v>28</v>
      </c>
      <c r="C23" s="43">
        <f>5566.73+82248.54+613635.28+63748.73+1657.36+34894.87+38.51+3911.59</f>
        <v>805701.61</v>
      </c>
      <c r="D23" s="42"/>
      <c r="E23" s="64">
        <f>C23-D23</f>
        <v>805701.61</v>
      </c>
    </row>
    <row r="24" spans="1:9" s="11" customFormat="1" x14ac:dyDescent="0.25">
      <c r="A24" s="30">
        <v>22</v>
      </c>
      <c r="B24" s="31" t="s">
        <v>48</v>
      </c>
      <c r="C24" s="32">
        <f>536037.29-5674.03+30089.15+36989.2+60.53+35059.37+28224.71+25783.78+48033.66+27339.76+41632.91+39526.17+35094.74+28437.64</f>
        <v>906634.88000000012</v>
      </c>
      <c r="D24" s="30">
        <v>200000</v>
      </c>
      <c r="E24" s="63">
        <f>C24-D24</f>
        <v>706634.88000000012</v>
      </c>
    </row>
    <row r="25" spans="1:9" s="11" customFormat="1" x14ac:dyDescent="0.25">
      <c r="A25" s="30">
        <v>23</v>
      </c>
      <c r="B25" s="30" t="s">
        <v>55</v>
      </c>
      <c r="C25" s="30">
        <f>19243.97+890303.39+61201.14+75730.82+81724.42+27616.97</f>
        <v>1155820.71</v>
      </c>
      <c r="D25" s="30"/>
      <c r="E25" s="63">
        <f>C25-D25</f>
        <v>1155820.71</v>
      </c>
    </row>
    <row r="26" spans="1:9" s="11" customFormat="1" x14ac:dyDescent="0.25">
      <c r="A26" s="30">
        <v>24</v>
      </c>
      <c r="B26" s="31" t="s">
        <v>58</v>
      </c>
      <c r="C26" s="30">
        <v>1528947.91</v>
      </c>
      <c r="D26" s="30">
        <v>258000</v>
      </c>
      <c r="E26" s="63">
        <v>1270947.9099999999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31" sqref="C31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17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 x14ac:dyDescent="0.25">
      <c r="B1" s="73" t="s">
        <v>61</v>
      </c>
      <c r="C1" s="73"/>
      <c r="D1" s="73"/>
      <c r="E1" s="73"/>
    </row>
    <row r="2" spans="1:8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53" t="s">
        <v>1</v>
      </c>
    </row>
    <row r="3" spans="1:8" s="11" customFormat="1" x14ac:dyDescent="0.25">
      <c r="A3" s="30">
        <v>1</v>
      </c>
      <c r="B3" s="31" t="s">
        <v>3</v>
      </c>
      <c r="C3" s="32">
        <f>1198405.34+61628.71+55224.6+55725.8+51506.44+51388.62+79931.77+56783.34+61433.64+66573+48000.74</f>
        <v>1786602.0000000002</v>
      </c>
      <c r="D3" s="32">
        <f>1082751.87+16000</f>
        <v>1098751.8700000001</v>
      </c>
      <c r="E3" s="33">
        <f>C3-D3</f>
        <v>687850.13000000012</v>
      </c>
    </row>
    <row r="4" spans="1:8" s="11" customFormat="1" x14ac:dyDescent="0.25">
      <c r="A4" s="30">
        <f>A3+1</f>
        <v>2</v>
      </c>
      <c r="B4" s="31" t="s">
        <v>4</v>
      </c>
      <c r="C4" s="32">
        <f>D4+E4</f>
        <v>783868.08000000007</v>
      </c>
      <c r="D4" s="32">
        <f>156000+364454</f>
        <v>520454</v>
      </c>
      <c r="E4" s="33">
        <v>263414.08</v>
      </c>
    </row>
    <row r="5" spans="1:8" s="11" customFormat="1" x14ac:dyDescent="0.25">
      <c r="A5" s="30">
        <v>3</v>
      </c>
      <c r="B5" s="31" t="s">
        <v>5</v>
      </c>
      <c r="C5" s="32">
        <f>D5+E5</f>
        <v>2215161.3199999998</v>
      </c>
      <c r="D5" s="32"/>
      <c r="E5" s="60">
        <f>2116692.9+98468.42</f>
        <v>2215161.3199999998</v>
      </c>
    </row>
    <row r="6" spans="1:8" s="11" customFormat="1" x14ac:dyDescent="0.25">
      <c r="A6" s="30">
        <f t="shared" ref="A6" si="0">A5+1</f>
        <v>4</v>
      </c>
      <c r="B6" s="31" t="s">
        <v>6</v>
      </c>
      <c r="C6" s="32">
        <f>D6+E6</f>
        <v>1258010.3</v>
      </c>
      <c r="D6" s="32">
        <f>599075+75400+75468</f>
        <v>749943</v>
      </c>
      <c r="E6" s="33">
        <v>508067.3</v>
      </c>
    </row>
    <row r="7" spans="1:8" s="11" customFormat="1" x14ac:dyDescent="0.25">
      <c r="A7" s="30">
        <v>5</v>
      </c>
      <c r="B7" s="31" t="s">
        <v>8</v>
      </c>
      <c r="C7" s="32">
        <v>2924848.97</v>
      </c>
      <c r="D7" s="32"/>
      <c r="E7" s="33">
        <f>C7</f>
        <v>2924848.97</v>
      </c>
    </row>
    <row r="8" spans="1:8" s="11" customFormat="1" x14ac:dyDescent="0.25">
      <c r="A8" s="30">
        <f t="shared" ref="A8" si="1">A7+1</f>
        <v>6</v>
      </c>
      <c r="B8" s="31" t="s">
        <v>9</v>
      </c>
      <c r="C8" s="32">
        <v>857142.89</v>
      </c>
      <c r="D8" s="32"/>
      <c r="E8" s="33">
        <f>C8</f>
        <v>857142.89</v>
      </c>
    </row>
    <row r="9" spans="1:8" s="11" customFormat="1" x14ac:dyDescent="0.25">
      <c r="A9" s="30">
        <v>7</v>
      </c>
      <c r="B9" s="31" t="s">
        <v>10</v>
      </c>
      <c r="C9" s="32">
        <v>874093.54</v>
      </c>
      <c r="D9" s="32"/>
      <c r="E9" s="33">
        <f>C9</f>
        <v>874093.54</v>
      </c>
    </row>
    <row r="10" spans="1:8" s="11" customFormat="1" x14ac:dyDescent="0.25">
      <c r="A10" s="30">
        <f t="shared" ref="A10" si="2">A9+1</f>
        <v>8</v>
      </c>
      <c r="B10" s="31" t="s">
        <v>11</v>
      </c>
      <c r="C10" s="32">
        <f>1426796.9+49164.05</f>
        <v>1475960.95</v>
      </c>
      <c r="D10" s="32">
        <v>171327.75</v>
      </c>
      <c r="E10" s="33">
        <f>C10-D10</f>
        <v>1304633.2</v>
      </c>
    </row>
    <row r="11" spans="1:8" s="11" customFormat="1" x14ac:dyDescent="0.25">
      <c r="A11" s="30">
        <v>9</v>
      </c>
      <c r="B11" s="31" t="s">
        <v>12</v>
      </c>
      <c r="C11" s="32">
        <v>330823.77</v>
      </c>
      <c r="D11" s="32">
        <v>240000</v>
      </c>
      <c r="E11" s="33">
        <f>C11-D11</f>
        <v>90823.770000000019</v>
      </c>
    </row>
    <row r="12" spans="1:8" s="24" customFormat="1" x14ac:dyDescent="0.25">
      <c r="A12" s="31">
        <f t="shared" ref="A12" si="3">A11+1</f>
        <v>10</v>
      </c>
      <c r="B12" s="31" t="s">
        <v>13</v>
      </c>
      <c r="C12" s="32">
        <f>1148506.86+53518.21+52210.83+52118.49+48772.69+48177.26+67979.34+88106.73+51232.47+59437.72+51776.98</f>
        <v>1721837.58</v>
      </c>
      <c r="D12" s="32"/>
      <c r="E12" s="33">
        <f>C12-D12</f>
        <v>1721837.58</v>
      </c>
      <c r="H12" s="15"/>
    </row>
    <row r="13" spans="1:8" s="24" customFormat="1" x14ac:dyDescent="0.25">
      <c r="A13" s="31">
        <v>11</v>
      </c>
      <c r="B13" s="31" t="s">
        <v>14</v>
      </c>
      <c r="C13" s="32">
        <f>999726.98+46893.35+47848.95+61927.75+55672.64+48288.7+42624.37+60794.81+54045.46+48135.93+57806.4+52618.12</f>
        <v>1576383.46</v>
      </c>
      <c r="D13" s="32"/>
      <c r="E13" s="33">
        <f>C13-D13</f>
        <v>1576383.46</v>
      </c>
      <c r="H13" s="15"/>
    </row>
    <row r="14" spans="1:8" s="11" customFormat="1" x14ac:dyDescent="0.25">
      <c r="A14" s="30">
        <v>13</v>
      </c>
      <c r="B14" s="31" t="s">
        <v>16</v>
      </c>
      <c r="C14" s="32">
        <f>D14+E14</f>
        <v>1904458.93</v>
      </c>
      <c r="D14" s="32"/>
      <c r="E14" s="34">
        <f>1680872.01+107870.69+115716.23</f>
        <v>1904458.93</v>
      </c>
    </row>
    <row r="15" spans="1:8" s="11" customFormat="1" x14ac:dyDescent="0.25">
      <c r="A15" s="30">
        <f>A13+1</f>
        <v>12</v>
      </c>
      <c r="B15" s="31" t="s">
        <v>15</v>
      </c>
      <c r="C15" s="32">
        <v>1485551.91</v>
      </c>
      <c r="D15" s="31"/>
      <c r="E15" s="33">
        <f>C15</f>
        <v>1485551.91</v>
      </c>
    </row>
    <row r="16" spans="1:8" s="11" customFormat="1" x14ac:dyDescent="0.25">
      <c r="A16" s="30">
        <f t="shared" ref="A16" si="4">A14+1</f>
        <v>14</v>
      </c>
      <c r="B16" s="31" t="s">
        <v>23</v>
      </c>
      <c r="C16" s="32">
        <f>E16+D16</f>
        <v>519182.99</v>
      </c>
      <c r="D16" s="61">
        <v>248000</v>
      </c>
      <c r="E16" s="33">
        <v>271182.99</v>
      </c>
    </row>
    <row r="17" spans="1:9" s="11" customFormat="1" x14ac:dyDescent="0.25">
      <c r="A17" s="30">
        <v>15</v>
      </c>
      <c r="B17" s="31" t="s">
        <v>18</v>
      </c>
      <c r="C17" s="32">
        <f>1927381.82+581181.42+150328.58+69057.1+65263.95+227.75+235122.55+75421.82</f>
        <v>3103984.99</v>
      </c>
      <c r="D17" s="31">
        <v>238142.93</v>
      </c>
      <c r="E17" s="35">
        <f>C17-D17</f>
        <v>2865842.06</v>
      </c>
    </row>
    <row r="18" spans="1:9" s="11" customFormat="1" x14ac:dyDescent="0.25">
      <c r="A18" s="30">
        <f t="shared" ref="A18" si="5">A17+1</f>
        <v>16</v>
      </c>
      <c r="B18" s="31" t="s">
        <v>19</v>
      </c>
      <c r="C18" s="32">
        <f>1430168.98+28150.03+105029.89+1891.93+53561.01+56398.95+66972.53+54824.74</f>
        <v>1796998.0599999998</v>
      </c>
      <c r="D18" s="31">
        <f>629968.1+105030</f>
        <v>734998.1</v>
      </c>
      <c r="E18" s="35">
        <f>C18-D18</f>
        <v>1061999.96</v>
      </c>
      <c r="I18" s="54"/>
    </row>
    <row r="19" spans="1:9" s="11" customFormat="1" x14ac:dyDescent="0.25">
      <c r="A19" s="30">
        <v>17</v>
      </c>
      <c r="B19" s="30" t="s">
        <v>34</v>
      </c>
      <c r="C19" s="30">
        <f>1011152.61+47100.97+38.91+49797.16+42564.45+36144.08+50297.73+41790.2</f>
        <v>1278886.1099999999</v>
      </c>
      <c r="D19" s="30">
        <f>807750+203011</f>
        <v>1010761</v>
      </c>
      <c r="E19" s="36">
        <f>C19-D19</f>
        <v>268125.10999999987</v>
      </c>
    </row>
    <row r="20" spans="1:9" s="11" customFormat="1" x14ac:dyDescent="0.25">
      <c r="A20" s="30">
        <f t="shared" ref="A20" si="6">A19+1</f>
        <v>18</v>
      </c>
      <c r="B20" s="31" t="s">
        <v>24</v>
      </c>
      <c r="C20" s="32">
        <f>D20+E20</f>
        <v>579681.69999999995</v>
      </c>
      <c r="D20" s="32"/>
      <c r="E20" s="34">
        <f>472496.54+76688.06+25842.49+2400.57+1904.36+349.68</f>
        <v>579681.69999999995</v>
      </c>
    </row>
    <row r="21" spans="1:9" s="11" customFormat="1" x14ac:dyDescent="0.25">
      <c r="A21" s="30">
        <v>19</v>
      </c>
      <c r="B21" s="31" t="s">
        <v>26</v>
      </c>
      <c r="C21" s="32">
        <v>5236581.8099999996</v>
      </c>
      <c r="D21" s="31">
        <v>688405.61</v>
      </c>
      <c r="E21" s="33">
        <v>4548176.2</v>
      </c>
    </row>
    <row r="22" spans="1:9" s="11" customFormat="1" x14ac:dyDescent="0.25">
      <c r="A22" s="30">
        <f t="shared" ref="A22" si="7">A21+1</f>
        <v>20</v>
      </c>
      <c r="B22" s="31" t="s">
        <v>27</v>
      </c>
      <c r="C22" s="32">
        <f>889433.59+39350.9</f>
        <v>928784.49</v>
      </c>
      <c r="D22" s="31"/>
      <c r="E22" s="33">
        <f>C22</f>
        <v>928784.49</v>
      </c>
    </row>
    <row r="23" spans="1:9" s="11" customFormat="1" x14ac:dyDescent="0.25">
      <c r="A23" s="30">
        <v>21</v>
      </c>
      <c r="B23" s="31" t="s">
        <v>28</v>
      </c>
      <c r="C23" s="32">
        <f>5566.73+82248.54+613635.28+63748.73+1657.36+34894.87+38.51</f>
        <v>801790.02</v>
      </c>
      <c r="D23" s="31"/>
      <c r="E23" s="33">
        <f>C23-D23</f>
        <v>801790.02</v>
      </c>
    </row>
    <row r="24" spans="1:9" s="11" customFormat="1" x14ac:dyDescent="0.25">
      <c r="A24" s="30">
        <v>22</v>
      </c>
      <c r="B24" s="31" t="s">
        <v>48</v>
      </c>
      <c r="C24" s="32">
        <f>536037.29-5674.03+30089.15+36989.2+60.53+35059.37+28224.71+25783.78+48033.66+27339.76+41632.91+39526.17+35094.74</f>
        <v>878197.24000000011</v>
      </c>
      <c r="D24" s="30">
        <v>200000</v>
      </c>
      <c r="E24" s="37">
        <f>C24-D24</f>
        <v>678197.24000000011</v>
      </c>
    </row>
    <row r="25" spans="1:9" s="11" customFormat="1" x14ac:dyDescent="0.25">
      <c r="A25" s="30">
        <v>23</v>
      </c>
      <c r="B25" s="30" t="s">
        <v>55</v>
      </c>
      <c r="C25" s="30">
        <f>19243.97+890303.39+61201.14+75730.82+81724.42</f>
        <v>1128203.74</v>
      </c>
      <c r="D25" s="30"/>
      <c r="E25" s="37">
        <f>C25-D25</f>
        <v>1128203.74</v>
      </c>
    </row>
    <row r="26" spans="1:9" s="11" customFormat="1" x14ac:dyDescent="0.25">
      <c r="A26" s="30">
        <v>24</v>
      </c>
      <c r="B26" s="31" t="s">
        <v>58</v>
      </c>
      <c r="C26" s="30">
        <v>1429036.86</v>
      </c>
      <c r="D26" s="30"/>
      <c r="E26" s="37">
        <v>1447624.33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1" sqref="E21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17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 x14ac:dyDescent="0.25">
      <c r="B1" s="73" t="s">
        <v>60</v>
      </c>
      <c r="C1" s="73"/>
      <c r="D1" s="73"/>
      <c r="E1" s="73"/>
    </row>
    <row r="2" spans="1:8" ht="38.25" customHeight="1" x14ac:dyDescent="0.25">
      <c r="A2" s="38" t="s">
        <v>2</v>
      </c>
      <c r="B2" s="39" t="s">
        <v>0</v>
      </c>
      <c r="C2" s="55" t="s">
        <v>44</v>
      </c>
      <c r="D2" s="55" t="s">
        <v>43</v>
      </c>
      <c r="E2" s="53" t="s">
        <v>1</v>
      </c>
    </row>
    <row r="3" spans="1:8" s="11" customFormat="1" x14ac:dyDescent="0.25">
      <c r="A3" s="41">
        <v>1</v>
      </c>
      <c r="B3" s="42" t="s">
        <v>3</v>
      </c>
      <c r="C3" s="43">
        <f>1198405.34+61628.71+55224.6+55725.8+51506.44+51388.62+79931.77+56783.34+61433.64+66573</f>
        <v>1738601.2600000002</v>
      </c>
      <c r="D3" s="43">
        <f>1082751.87+16000</f>
        <v>1098751.8700000001</v>
      </c>
      <c r="E3" s="44">
        <f>C3-D3</f>
        <v>639849.39000000013</v>
      </c>
    </row>
    <row r="4" spans="1:8" s="11" customFormat="1" x14ac:dyDescent="0.25">
      <c r="A4" s="41">
        <f>A3+1</f>
        <v>2</v>
      </c>
      <c r="B4" s="42" t="s">
        <v>4</v>
      </c>
      <c r="C4" s="43">
        <f>D4+E4</f>
        <v>757051.73</v>
      </c>
      <c r="D4" s="43">
        <f>156000+364454</f>
        <v>520454</v>
      </c>
      <c r="E4" s="44">
        <v>236597.73</v>
      </c>
    </row>
    <row r="5" spans="1:8" s="11" customFormat="1" x14ac:dyDescent="0.25">
      <c r="A5" s="41">
        <v>3</v>
      </c>
      <c r="B5" s="42" t="s">
        <v>5</v>
      </c>
      <c r="C5" s="43">
        <f>D5+E5</f>
        <v>2116692.9</v>
      </c>
      <c r="D5" s="43"/>
      <c r="E5" s="56">
        <v>2116692.9</v>
      </c>
    </row>
    <row r="6" spans="1:8" s="11" customFormat="1" x14ac:dyDescent="0.25">
      <c r="A6" s="41">
        <f t="shared" ref="A6" si="0">A5+1</f>
        <v>4</v>
      </c>
      <c r="B6" s="42" t="s">
        <v>6</v>
      </c>
      <c r="C6" s="43">
        <f>D6+E6</f>
        <v>1214711.48</v>
      </c>
      <c r="D6" s="43">
        <f>599075+75400+75468</f>
        <v>749943</v>
      </c>
      <c r="E6" s="44">
        <v>464768.48</v>
      </c>
    </row>
    <row r="7" spans="1:8" s="11" customFormat="1" x14ac:dyDescent="0.25">
      <c r="A7" s="41">
        <v>5</v>
      </c>
      <c r="B7" s="42" t="s">
        <v>8</v>
      </c>
      <c r="C7" s="43">
        <v>2824520.74</v>
      </c>
      <c r="D7" s="43"/>
      <c r="E7" s="44">
        <f>C7</f>
        <v>2824520.74</v>
      </c>
    </row>
    <row r="8" spans="1:8" s="11" customFormat="1" x14ac:dyDescent="0.25">
      <c r="A8" s="41">
        <f t="shared" ref="A8" si="1">A7+1</f>
        <v>6</v>
      </c>
      <c r="B8" s="42" t="s">
        <v>9</v>
      </c>
      <c r="C8" s="43">
        <v>828192.4</v>
      </c>
      <c r="D8" s="43"/>
      <c r="E8" s="44">
        <f>C8</f>
        <v>828192.4</v>
      </c>
    </row>
    <row r="9" spans="1:8" s="11" customFormat="1" x14ac:dyDescent="0.25">
      <c r="A9" s="41">
        <v>7</v>
      </c>
      <c r="B9" s="42" t="s">
        <v>10</v>
      </c>
      <c r="C9" s="43">
        <v>837631.93</v>
      </c>
      <c r="D9" s="43"/>
      <c r="E9" s="44">
        <f>C9</f>
        <v>837631.93</v>
      </c>
    </row>
    <row r="10" spans="1:8" s="11" customFormat="1" x14ac:dyDescent="0.25">
      <c r="A10" s="41">
        <f t="shared" ref="A10" si="2">A9+1</f>
        <v>8</v>
      </c>
      <c r="B10" s="42" t="s">
        <v>11</v>
      </c>
      <c r="C10" s="43">
        <v>1426796.9</v>
      </c>
      <c r="D10" s="43">
        <v>171327.75</v>
      </c>
      <c r="E10" s="44">
        <f>C10-D10</f>
        <v>1255469.1499999999</v>
      </c>
    </row>
    <row r="11" spans="1:8" s="11" customFormat="1" x14ac:dyDescent="0.25">
      <c r="A11" s="41">
        <v>9</v>
      </c>
      <c r="B11" s="42" t="s">
        <v>12</v>
      </c>
      <c r="C11" s="43">
        <v>318407.76</v>
      </c>
      <c r="D11" s="43">
        <v>240000</v>
      </c>
      <c r="E11" s="44">
        <f>C11-D11</f>
        <v>78407.760000000009</v>
      </c>
    </row>
    <row r="12" spans="1:8" s="24" customFormat="1" x14ac:dyDescent="0.25">
      <c r="A12" s="42">
        <f t="shared" ref="A12" si="3">A11+1</f>
        <v>10</v>
      </c>
      <c r="B12" s="42" t="s">
        <v>13</v>
      </c>
      <c r="C12" s="43">
        <f>1148506.86+53518.21+52210.83+52118.49+48772.69+48177.26+67979.34+88106.73+51232.47+59437.72</f>
        <v>1670060.6</v>
      </c>
      <c r="D12" s="43"/>
      <c r="E12" s="44">
        <f>C12-D12</f>
        <v>1670060.6</v>
      </c>
      <c r="H12" s="15"/>
    </row>
    <row r="13" spans="1:8" s="24" customFormat="1" x14ac:dyDescent="0.25">
      <c r="A13" s="42">
        <v>11</v>
      </c>
      <c r="B13" s="42" t="s">
        <v>14</v>
      </c>
      <c r="C13" s="43">
        <f>999726.98+46893.35+47848.95+61927.75+55672.64+48288.7+42624.37+60794.81+54045.46+48135.93+57806.4</f>
        <v>1523765.3399999999</v>
      </c>
      <c r="D13" s="43"/>
      <c r="E13" s="44">
        <f>C13-D13</f>
        <v>1523765.3399999999</v>
      </c>
      <c r="H13" s="15"/>
    </row>
    <row r="14" spans="1:8" s="11" customFormat="1" x14ac:dyDescent="0.25">
      <c r="A14" s="41">
        <v>13</v>
      </c>
      <c r="B14" s="42" t="s">
        <v>16</v>
      </c>
      <c r="C14" s="43">
        <f>D14+E14</f>
        <v>1788742.7</v>
      </c>
      <c r="D14" s="43"/>
      <c r="E14" s="48">
        <f>1680872.01+107870.69</f>
        <v>1788742.7</v>
      </c>
    </row>
    <row r="15" spans="1:8" s="11" customFormat="1" x14ac:dyDescent="0.25">
      <c r="A15" s="41">
        <f>A13+1</f>
        <v>12</v>
      </c>
      <c r="B15" s="42" t="s">
        <v>15</v>
      </c>
      <c r="C15" s="43">
        <f>1385002.87+3769.87+11115.21+14458.23+22129.38</f>
        <v>1436475.56</v>
      </c>
      <c r="D15" s="42"/>
      <c r="E15" s="44">
        <f>C15</f>
        <v>1436475.56</v>
      </c>
    </row>
    <row r="16" spans="1:8" s="11" customFormat="1" x14ac:dyDescent="0.25">
      <c r="A16" s="41">
        <f t="shared" ref="A16" si="4">A14+1</f>
        <v>14</v>
      </c>
      <c r="B16" s="42" t="s">
        <v>23</v>
      </c>
      <c r="C16" s="43">
        <v>496689.98</v>
      </c>
      <c r="D16" s="42">
        <v>248000</v>
      </c>
      <c r="E16" s="44">
        <f>C16-D16</f>
        <v>248689.97999999998</v>
      </c>
    </row>
    <row r="17" spans="1:9" s="11" customFormat="1" x14ac:dyDescent="0.25">
      <c r="A17" s="41">
        <v>15</v>
      </c>
      <c r="B17" s="42" t="s">
        <v>18</v>
      </c>
      <c r="C17" s="43">
        <f>1927381.82+581181.42+150328.58+69057.1+65263.95+227.75+235122.55</f>
        <v>3028563.1700000004</v>
      </c>
      <c r="D17" s="42">
        <v>238142.93</v>
      </c>
      <c r="E17" s="49">
        <f>C17-D17</f>
        <v>2790420.24</v>
      </c>
    </row>
    <row r="18" spans="1:9" s="11" customFormat="1" x14ac:dyDescent="0.25">
      <c r="A18" s="41">
        <f t="shared" ref="A18" si="5">A17+1</f>
        <v>16</v>
      </c>
      <c r="B18" s="42" t="s">
        <v>19</v>
      </c>
      <c r="C18" s="43">
        <f>1430168.98+28150.03+105029.89+1891.93+53561.01+56398.95+66972.53</f>
        <v>1742173.3199999998</v>
      </c>
      <c r="D18" s="42">
        <f>629968.1+105030</f>
        <v>734998.1</v>
      </c>
      <c r="E18" s="49">
        <f>C18-D18</f>
        <v>1007175.2199999999</v>
      </c>
      <c r="I18" s="54"/>
    </row>
    <row r="19" spans="1:9" s="11" customFormat="1" x14ac:dyDescent="0.25">
      <c r="A19" s="41">
        <v>17</v>
      </c>
      <c r="B19" s="41" t="s">
        <v>34</v>
      </c>
      <c r="C19" s="41">
        <f>1011152.61+47100.97+38.91+49797.16+42564.45+36144.08+50297.73</f>
        <v>1237095.9099999999</v>
      </c>
      <c r="D19" s="41">
        <f>807750+203011</f>
        <v>1010761</v>
      </c>
      <c r="E19" s="50">
        <f>C19-D19</f>
        <v>226334.90999999992</v>
      </c>
    </row>
    <row r="20" spans="1:9" s="11" customFormat="1" x14ac:dyDescent="0.25">
      <c r="A20" s="41">
        <f t="shared" ref="A20" si="6">A19+1</f>
        <v>18</v>
      </c>
      <c r="B20" s="42" t="s">
        <v>24</v>
      </c>
      <c r="C20" s="43">
        <f>D20+E20</f>
        <v>579332.0199999999</v>
      </c>
      <c r="D20" s="43"/>
      <c r="E20" s="48">
        <f>472496.54+76688.06+25842.49+2400.57+1904.36</f>
        <v>579332.0199999999</v>
      </c>
    </row>
    <row r="21" spans="1:9" s="11" customFormat="1" x14ac:dyDescent="0.25">
      <c r="A21" s="41">
        <v>19</v>
      </c>
      <c r="B21" s="42" t="s">
        <v>26</v>
      </c>
      <c r="C21" s="43">
        <v>5047432.78</v>
      </c>
      <c r="D21" s="42">
        <v>688405.61</v>
      </c>
      <c r="E21" s="44">
        <v>4359027.17</v>
      </c>
    </row>
    <row r="22" spans="1:9" s="11" customFormat="1" x14ac:dyDescent="0.25">
      <c r="A22" s="41">
        <f t="shared" ref="A22" si="7">A21+1</f>
        <v>20</v>
      </c>
      <c r="B22" s="42" t="s">
        <v>27</v>
      </c>
      <c r="C22" s="43">
        <v>889433.59</v>
      </c>
      <c r="D22" s="42"/>
      <c r="E22" s="44">
        <f>C22</f>
        <v>889433.59</v>
      </c>
    </row>
    <row r="23" spans="1:9" s="11" customFormat="1" x14ac:dyDescent="0.25">
      <c r="A23" s="41">
        <v>21</v>
      </c>
      <c r="B23" s="42" t="s">
        <v>28</v>
      </c>
      <c r="C23" s="43">
        <f>5566.73+82248.54+613635.28+63748.73+1657.36</f>
        <v>766856.64</v>
      </c>
      <c r="D23" s="42"/>
      <c r="E23" s="44">
        <f>C23-D23</f>
        <v>766856.64</v>
      </c>
    </row>
    <row r="24" spans="1:9" s="11" customFormat="1" x14ac:dyDescent="0.25">
      <c r="A24" s="41">
        <v>22</v>
      </c>
      <c r="B24" s="42" t="s">
        <v>48</v>
      </c>
      <c r="C24" s="43">
        <f>536037.29-5674.03+30089.15+36989.2+60.53+35059.37+28224.71+25783.78+48033.66+27339.76+41632.91+39526.17</f>
        <v>843102.50000000012</v>
      </c>
      <c r="D24" s="41">
        <v>200000</v>
      </c>
      <c r="E24" s="51">
        <f>C24-D24</f>
        <v>643102.50000000012</v>
      </c>
    </row>
    <row r="25" spans="1:9" s="11" customFormat="1" x14ac:dyDescent="0.25">
      <c r="A25" s="41">
        <v>23</v>
      </c>
      <c r="B25" s="41" t="s">
        <v>55</v>
      </c>
      <c r="C25" s="41">
        <f>19243.97+890303.39+61201.14+75730.82</f>
        <v>1046479.3200000001</v>
      </c>
      <c r="D25" s="41"/>
      <c r="E25" s="51">
        <f>C25-D25</f>
        <v>1046479.3200000001</v>
      </c>
    </row>
    <row r="26" spans="1:9" s="11" customFormat="1" x14ac:dyDescent="0.25">
      <c r="A26" s="41">
        <v>24</v>
      </c>
      <c r="B26" s="42" t="s">
        <v>58</v>
      </c>
      <c r="C26" s="41">
        <v>1325087.24</v>
      </c>
      <c r="D26" s="41"/>
      <c r="E26" s="51">
        <v>1325087.24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16" sqref="E16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17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 x14ac:dyDescent="0.25">
      <c r="B1" s="73" t="s">
        <v>59</v>
      </c>
      <c r="C1" s="73"/>
      <c r="D1" s="73"/>
      <c r="E1" s="73"/>
    </row>
    <row r="2" spans="1:8" ht="38.25" customHeight="1" x14ac:dyDescent="0.25">
      <c r="A2" s="38" t="s">
        <v>2</v>
      </c>
      <c r="B2" s="39" t="s">
        <v>0</v>
      </c>
      <c r="C2" s="55" t="s">
        <v>44</v>
      </c>
      <c r="D2" s="55" t="s">
        <v>43</v>
      </c>
      <c r="E2" s="53" t="s">
        <v>1</v>
      </c>
    </row>
    <row r="3" spans="1:8" s="11" customFormat="1" x14ac:dyDescent="0.25">
      <c r="A3" s="30">
        <v>1</v>
      </c>
      <c r="B3" s="31" t="s">
        <v>3</v>
      </c>
      <c r="C3" s="32">
        <f>1198405.34+61628.71+55224.6+55725.8+51506.44+51388.62+79931.77+56783.34+61433.64</f>
        <v>1672028.2600000002</v>
      </c>
      <c r="D3" s="32">
        <f>1082751.87+16000</f>
        <v>1098751.8700000001</v>
      </c>
      <c r="E3" s="33">
        <f>C3-D3</f>
        <v>573276.39000000013</v>
      </c>
    </row>
    <row r="4" spans="1:8" s="11" customFormat="1" x14ac:dyDescent="0.25">
      <c r="A4" s="30">
        <f>A3+1</f>
        <v>2</v>
      </c>
      <c r="B4" s="31" t="s">
        <v>4</v>
      </c>
      <c r="C4" s="32">
        <f>D4+E4</f>
        <v>726721.92999999993</v>
      </c>
      <c r="D4" s="32">
        <f>156000+364454</f>
        <v>520454</v>
      </c>
      <c r="E4" s="33">
        <v>206267.93</v>
      </c>
    </row>
    <row r="5" spans="1:8" s="11" customFormat="1" x14ac:dyDescent="0.25">
      <c r="A5" s="30">
        <v>3</v>
      </c>
      <c r="B5" s="31" t="s">
        <v>5</v>
      </c>
      <c r="C5" s="32">
        <f>D5+E5</f>
        <v>2043039.57</v>
      </c>
      <c r="D5" s="32"/>
      <c r="E5" s="33">
        <v>2043039.57</v>
      </c>
    </row>
    <row r="6" spans="1:8" s="11" customFormat="1" x14ac:dyDescent="0.25">
      <c r="A6" s="30">
        <f t="shared" ref="A6" si="0">A5+1</f>
        <v>4</v>
      </c>
      <c r="B6" s="31" t="s">
        <v>6</v>
      </c>
      <c r="C6" s="32">
        <f>D6+E6</f>
        <v>1160225.6200000001</v>
      </c>
      <c r="D6" s="32">
        <f>599075+75400+75468</f>
        <v>749943</v>
      </c>
      <c r="E6" s="33">
        <v>410282.62</v>
      </c>
    </row>
    <row r="7" spans="1:8" s="11" customFormat="1" x14ac:dyDescent="0.25">
      <c r="A7" s="30">
        <v>5</v>
      </c>
      <c r="B7" s="31" t="s">
        <v>8</v>
      </c>
      <c r="C7" s="32">
        <v>2710946.65</v>
      </c>
      <c r="D7" s="32"/>
      <c r="E7" s="33">
        <f>C7</f>
        <v>2710946.65</v>
      </c>
    </row>
    <row r="8" spans="1:8" s="11" customFormat="1" x14ac:dyDescent="0.25">
      <c r="A8" s="30">
        <f t="shared" ref="A8" si="1">A7+1</f>
        <v>6</v>
      </c>
      <c r="B8" s="31" t="s">
        <v>9</v>
      </c>
      <c r="C8" s="32">
        <v>789791.67</v>
      </c>
      <c r="D8" s="32"/>
      <c r="E8" s="33">
        <f>C8</f>
        <v>789791.67</v>
      </c>
    </row>
    <row r="9" spans="1:8" s="11" customFormat="1" x14ac:dyDescent="0.25">
      <c r="A9" s="30">
        <v>7</v>
      </c>
      <c r="B9" s="31" t="s">
        <v>10</v>
      </c>
      <c r="C9" s="32">
        <v>792539.01</v>
      </c>
      <c r="D9" s="32"/>
      <c r="E9" s="33">
        <f>C9</f>
        <v>792539.01</v>
      </c>
    </row>
    <row r="10" spans="1:8" s="11" customFormat="1" x14ac:dyDescent="0.25">
      <c r="A10" s="30">
        <f t="shared" ref="A10" si="2">A9+1</f>
        <v>8</v>
      </c>
      <c r="B10" s="31" t="s">
        <v>11</v>
      </c>
      <c r="C10" s="32">
        <v>1362309.37</v>
      </c>
      <c r="D10" s="32">
        <v>171327.75</v>
      </c>
      <c r="E10" s="33">
        <f>C10-D10</f>
        <v>1190981.6200000001</v>
      </c>
    </row>
    <row r="11" spans="1:8" s="11" customFormat="1" x14ac:dyDescent="0.25">
      <c r="A11" s="30">
        <v>9</v>
      </c>
      <c r="B11" s="31" t="s">
        <v>12</v>
      </c>
      <c r="C11" s="32">
        <v>306542.71000000002</v>
      </c>
      <c r="D11" s="32">
        <v>240000</v>
      </c>
      <c r="E11" s="33">
        <f>C11-D11</f>
        <v>66542.710000000021</v>
      </c>
    </row>
    <row r="12" spans="1:8" s="24" customFormat="1" x14ac:dyDescent="0.25">
      <c r="A12" s="31">
        <f t="shared" ref="A12" si="3">A11+1</f>
        <v>10</v>
      </c>
      <c r="B12" s="31" t="s">
        <v>13</v>
      </c>
      <c r="C12" s="32">
        <f>1148506.86+53518.21+52210.83+52118.49+48772.69+48177.26+67979.34+88106.73+51232.47</f>
        <v>1610622.8800000001</v>
      </c>
      <c r="D12" s="32"/>
      <c r="E12" s="33">
        <f>C12-D12</f>
        <v>1610622.8800000001</v>
      </c>
      <c r="H12" s="15"/>
    </row>
    <row r="13" spans="1:8" s="24" customFormat="1" x14ac:dyDescent="0.25">
      <c r="A13" s="31">
        <v>11</v>
      </c>
      <c r="B13" s="31" t="s">
        <v>14</v>
      </c>
      <c r="C13" s="32">
        <f>999726.98+46893.35+47848.95+61927.75+55672.64+48288.7+42624.37+60794.81+54045.46+48135.93</f>
        <v>1465958.94</v>
      </c>
      <c r="D13" s="32"/>
      <c r="E13" s="33">
        <f>C13-D13</f>
        <v>1465958.94</v>
      </c>
      <c r="H13" s="15"/>
    </row>
    <row r="14" spans="1:8" s="11" customFormat="1" x14ac:dyDescent="0.25">
      <c r="A14" s="30">
        <v>13</v>
      </c>
      <c r="B14" s="31" t="s">
        <v>16</v>
      </c>
      <c r="C14" s="32">
        <f>D14+E14</f>
        <v>1680872.01</v>
      </c>
      <c r="D14" s="32"/>
      <c r="E14" s="34">
        <v>1680872.01</v>
      </c>
    </row>
    <row r="15" spans="1:8" s="11" customFormat="1" x14ac:dyDescent="0.25">
      <c r="A15" s="30">
        <f>A13+1</f>
        <v>12</v>
      </c>
      <c r="B15" s="31" t="s">
        <v>15</v>
      </c>
      <c r="C15" s="32">
        <v>1385002.87</v>
      </c>
      <c r="D15" s="31"/>
      <c r="E15" s="33">
        <f>C15</f>
        <v>1385002.87</v>
      </c>
    </row>
    <row r="16" spans="1:8" s="11" customFormat="1" x14ac:dyDescent="0.25">
      <c r="A16" s="30">
        <f t="shared" ref="A16" si="4">A14+1</f>
        <v>14</v>
      </c>
      <c r="B16" s="31" t="s">
        <v>23</v>
      </c>
      <c r="C16" s="32">
        <v>473121.63</v>
      </c>
      <c r="D16" s="31"/>
      <c r="E16" s="33">
        <f>C16</f>
        <v>473121.63</v>
      </c>
    </row>
    <row r="17" spans="1:9" s="11" customFormat="1" x14ac:dyDescent="0.25">
      <c r="A17" s="30">
        <v>15</v>
      </c>
      <c r="B17" s="31" t="s">
        <v>18</v>
      </c>
      <c r="C17" s="32">
        <f>1927381.82+581181.42+150328.58+69057.1+65263.95+227.75</f>
        <v>2793440.6200000006</v>
      </c>
      <c r="D17" s="31">
        <v>238142.93</v>
      </c>
      <c r="E17" s="35">
        <f>C17-D17</f>
        <v>2555297.6900000004</v>
      </c>
    </row>
    <row r="18" spans="1:9" s="11" customFormat="1" x14ac:dyDescent="0.25">
      <c r="A18" s="30">
        <f t="shared" ref="A18" si="5">A17+1</f>
        <v>16</v>
      </c>
      <c r="B18" s="31" t="s">
        <v>19</v>
      </c>
      <c r="C18" s="32">
        <f>1430168.98+28150.03+105029.89+1891.93+53561.01+56398.95</f>
        <v>1675200.7899999998</v>
      </c>
      <c r="D18" s="31">
        <f>629968.1+105030</f>
        <v>734998.1</v>
      </c>
      <c r="E18" s="35">
        <f>C18-D18</f>
        <v>940202.68999999983</v>
      </c>
      <c r="I18" s="54"/>
    </row>
    <row r="19" spans="1:9" s="11" customFormat="1" x14ac:dyDescent="0.25">
      <c r="A19" s="30">
        <v>17</v>
      </c>
      <c r="B19" s="30" t="s">
        <v>34</v>
      </c>
      <c r="C19" s="30">
        <f>1011152.61+47100.97+38.91+49797.16+42564.45+36144.08</f>
        <v>1186798.18</v>
      </c>
      <c r="D19" s="30">
        <f>807750+203011</f>
        <v>1010761</v>
      </c>
      <c r="E19" s="36">
        <f>C19-D19</f>
        <v>176037.17999999993</v>
      </c>
    </row>
    <row r="20" spans="1:9" s="11" customFormat="1" x14ac:dyDescent="0.25">
      <c r="A20" s="30">
        <f t="shared" ref="A20" si="6">A19+1</f>
        <v>18</v>
      </c>
      <c r="B20" s="31" t="s">
        <v>24</v>
      </c>
      <c r="C20" s="32">
        <f>D20+E20</f>
        <v>577427.65999999992</v>
      </c>
      <c r="D20" s="32"/>
      <c r="E20" s="34">
        <f>472496.54+76688.06+25842.49+2400.57</f>
        <v>577427.65999999992</v>
      </c>
    </row>
    <row r="21" spans="1:9" s="11" customFormat="1" x14ac:dyDescent="0.25">
      <c r="A21" s="30">
        <v>19</v>
      </c>
      <c r="B21" s="31" t="s">
        <v>26</v>
      </c>
      <c r="C21" s="32">
        <v>4815272.3899999997</v>
      </c>
      <c r="D21" s="31">
        <v>688405.61</v>
      </c>
      <c r="E21" s="33">
        <v>4126866.78</v>
      </c>
    </row>
    <row r="22" spans="1:9" s="11" customFormat="1" x14ac:dyDescent="0.25">
      <c r="A22" s="30">
        <f t="shared" ref="A22" si="7">A21+1</f>
        <v>20</v>
      </c>
      <c r="B22" s="31" t="s">
        <v>27</v>
      </c>
      <c r="C22" s="32">
        <v>845335.29</v>
      </c>
      <c r="D22" s="31"/>
      <c r="E22" s="33">
        <f>C22</f>
        <v>845335.29</v>
      </c>
    </row>
    <row r="23" spans="1:9" s="11" customFormat="1" x14ac:dyDescent="0.25">
      <c r="A23" s="30">
        <v>21</v>
      </c>
      <c r="B23" s="31" t="s">
        <v>28</v>
      </c>
      <c r="C23" s="32">
        <f>5566.73+82248.54+613635.28+63748.73</f>
        <v>765199.28</v>
      </c>
      <c r="D23" s="31"/>
      <c r="E23" s="33">
        <f>C23-D23</f>
        <v>765199.28</v>
      </c>
    </row>
    <row r="24" spans="1:9" s="11" customFormat="1" x14ac:dyDescent="0.25">
      <c r="A24" s="30">
        <v>22</v>
      </c>
      <c r="B24" s="31" t="s">
        <v>48</v>
      </c>
      <c r="C24" s="32">
        <f>536037.29-5674.03+30089.15+36989.2+60.53+35059.37+28224.71+25783.78+48033.66+27339.76+41632.91</f>
        <v>803576.33000000007</v>
      </c>
      <c r="D24" s="30">
        <v>200000</v>
      </c>
      <c r="E24" s="37">
        <f>C24-D24</f>
        <v>603576.33000000007</v>
      </c>
    </row>
    <row r="25" spans="1:9" s="11" customFormat="1" x14ac:dyDescent="0.25">
      <c r="A25" s="30">
        <v>23</v>
      </c>
      <c r="B25" s="30" t="s">
        <v>55</v>
      </c>
      <c r="C25" s="30">
        <f>19243.97+890303.39+61201.14</f>
        <v>970748.5</v>
      </c>
      <c r="D25" s="30"/>
      <c r="E25" s="37">
        <f>C25-D25</f>
        <v>970748.5</v>
      </c>
    </row>
    <row r="26" spans="1:9" s="11" customFormat="1" x14ac:dyDescent="0.25">
      <c r="A26" s="30">
        <v>24</v>
      </c>
      <c r="B26" s="31" t="s">
        <v>58</v>
      </c>
      <c r="C26" s="30">
        <v>1277719.17</v>
      </c>
      <c r="D26" s="30"/>
      <c r="E26" s="37">
        <v>1277719.17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30" sqref="C30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17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 x14ac:dyDescent="0.25">
      <c r="B1" s="73" t="s">
        <v>56</v>
      </c>
      <c r="C1" s="73"/>
      <c r="D1" s="73"/>
      <c r="E1" s="73"/>
    </row>
    <row r="2" spans="1:8" ht="38.25" customHeight="1" x14ac:dyDescent="0.25">
      <c r="A2" s="38" t="s">
        <v>2</v>
      </c>
      <c r="B2" s="39" t="s">
        <v>0</v>
      </c>
      <c r="C2" s="39" t="s">
        <v>44</v>
      </c>
      <c r="D2" s="39" t="s">
        <v>43</v>
      </c>
      <c r="E2" s="53" t="s">
        <v>1</v>
      </c>
    </row>
    <row r="3" spans="1:8" s="11" customFormat="1" x14ac:dyDescent="0.25">
      <c r="A3" s="30">
        <v>1</v>
      </c>
      <c r="B3" s="31" t="s">
        <v>3</v>
      </c>
      <c r="C3" s="32">
        <f>1198405.34+61628.71+55224.6+55725.8+51506.44+51388.62+79931.77+56783.34</f>
        <v>1610594.6200000003</v>
      </c>
      <c r="D3" s="32">
        <f>1082751.87+16000</f>
        <v>1098751.8700000001</v>
      </c>
      <c r="E3" s="33">
        <f>C3-D3</f>
        <v>511842.75000000023</v>
      </c>
    </row>
    <row r="4" spans="1:8" s="11" customFormat="1" x14ac:dyDescent="0.25">
      <c r="A4" s="30">
        <f>A3+1</f>
        <v>2</v>
      </c>
      <c r="B4" s="31" t="s">
        <v>4</v>
      </c>
      <c r="C4" s="32">
        <f>D4+E4</f>
        <v>700655.76</v>
      </c>
      <c r="D4" s="32">
        <f>156000+364454</f>
        <v>520454</v>
      </c>
      <c r="E4" s="33">
        <v>180201.76</v>
      </c>
    </row>
    <row r="5" spans="1:8" s="11" customFormat="1" x14ac:dyDescent="0.25">
      <c r="A5" s="30">
        <v>3</v>
      </c>
      <c r="B5" s="31" t="s">
        <v>5</v>
      </c>
      <c r="C5" s="32">
        <f>D5+E5</f>
        <v>1934097.65</v>
      </c>
      <c r="D5" s="32"/>
      <c r="E5" s="33">
        <v>1934097.65</v>
      </c>
    </row>
    <row r="6" spans="1:8" s="11" customFormat="1" x14ac:dyDescent="0.25">
      <c r="A6" s="30">
        <f t="shared" ref="A6" si="0">A5+1</f>
        <v>4</v>
      </c>
      <c r="B6" s="31" t="s">
        <v>6</v>
      </c>
      <c r="C6" s="32">
        <f>D6+E6</f>
        <v>1120028.57</v>
      </c>
      <c r="D6" s="32">
        <f>599075+75400+75468</f>
        <v>749943</v>
      </c>
      <c r="E6" s="33">
        <v>370085.57</v>
      </c>
    </row>
    <row r="7" spans="1:8" s="45" customFormat="1" x14ac:dyDescent="0.25">
      <c r="A7" s="41">
        <v>5</v>
      </c>
      <c r="B7" s="42" t="s">
        <v>8</v>
      </c>
      <c r="C7" s="43">
        <v>2609378.61</v>
      </c>
      <c r="D7" s="43"/>
      <c r="E7" s="33">
        <f>C7</f>
        <v>2609378.61</v>
      </c>
    </row>
    <row r="8" spans="1:8" s="45" customFormat="1" x14ac:dyDescent="0.25">
      <c r="A8" s="41">
        <f t="shared" ref="A8" si="1">A7+1</f>
        <v>6</v>
      </c>
      <c r="B8" s="42" t="s">
        <v>9</v>
      </c>
      <c r="C8" s="43">
        <v>763879.66</v>
      </c>
      <c r="D8" s="43"/>
      <c r="E8" s="33">
        <f>C8</f>
        <v>763879.66</v>
      </c>
    </row>
    <row r="9" spans="1:8" s="45" customFormat="1" x14ac:dyDescent="0.25">
      <c r="A9" s="41">
        <v>7</v>
      </c>
      <c r="B9" s="42" t="s">
        <v>10</v>
      </c>
      <c r="C9" s="43">
        <v>763194.22</v>
      </c>
      <c r="D9" s="43"/>
      <c r="E9" s="33">
        <f>C9</f>
        <v>763194.22</v>
      </c>
    </row>
    <row r="10" spans="1:8" s="45" customFormat="1" x14ac:dyDescent="0.25">
      <c r="A10" s="41">
        <f t="shared" ref="A10" si="2">A9+1</f>
        <v>8</v>
      </c>
      <c r="B10" s="42" t="s">
        <v>11</v>
      </c>
      <c r="C10" s="43">
        <v>1309990.54</v>
      </c>
      <c r="D10" s="43">
        <v>171327.75</v>
      </c>
      <c r="E10" s="33">
        <f>C10-D10</f>
        <v>1138662.79</v>
      </c>
    </row>
    <row r="11" spans="1:8" s="45" customFormat="1" x14ac:dyDescent="0.25">
      <c r="A11" s="41">
        <v>9</v>
      </c>
      <c r="B11" s="42" t="s">
        <v>12</v>
      </c>
      <c r="C11" s="43">
        <v>296774.13</v>
      </c>
      <c r="D11" s="43">
        <v>240000</v>
      </c>
      <c r="E11" s="33">
        <f>C11-D11</f>
        <v>56774.130000000005</v>
      </c>
    </row>
    <row r="12" spans="1:8" s="46" customFormat="1" x14ac:dyDescent="0.25">
      <c r="A12" s="42">
        <f t="shared" ref="A12" si="3">A11+1</f>
        <v>10</v>
      </c>
      <c r="B12" s="42" t="s">
        <v>13</v>
      </c>
      <c r="C12" s="43">
        <f>1148506.86+53518.21+52210.83+52118.49+48772.69+48177.26+67979.34+88106.73</f>
        <v>1559390.4100000001</v>
      </c>
      <c r="D12" s="43"/>
      <c r="E12" s="33">
        <f>C12-D12</f>
        <v>1559390.4100000001</v>
      </c>
      <c r="H12" s="47"/>
    </row>
    <row r="13" spans="1:8" s="46" customFormat="1" x14ac:dyDescent="0.25">
      <c r="A13" s="42">
        <v>11</v>
      </c>
      <c r="B13" s="42" t="s">
        <v>14</v>
      </c>
      <c r="C13" s="43">
        <f>999726.98+46893.35+47848.95+61927.75+55672.64+48288.7+42624.37+60794.81+54045.46</f>
        <v>1417823.01</v>
      </c>
      <c r="D13" s="43"/>
      <c r="E13" s="33">
        <f>C13-D13</f>
        <v>1417823.01</v>
      </c>
      <c r="H13" s="47"/>
    </row>
    <row r="14" spans="1:8" s="11" customFormat="1" x14ac:dyDescent="0.25">
      <c r="A14" s="30">
        <v>13</v>
      </c>
      <c r="B14" s="31" t="s">
        <v>16</v>
      </c>
      <c r="C14" s="32">
        <f>D14+E14</f>
        <v>1576380.38</v>
      </c>
      <c r="D14" s="32"/>
      <c r="E14" s="34">
        <v>1576380.38</v>
      </c>
    </row>
    <row r="15" spans="1:8" s="11" customFormat="1" x14ac:dyDescent="0.25">
      <c r="A15" s="30">
        <f>A13+1</f>
        <v>12</v>
      </c>
      <c r="B15" s="31" t="s">
        <v>15</v>
      </c>
      <c r="C15" s="32">
        <v>1342563.42</v>
      </c>
      <c r="D15" s="31"/>
      <c r="E15" s="33">
        <f>C15</f>
        <v>1342563.42</v>
      </c>
    </row>
    <row r="16" spans="1:8" s="11" customFormat="1" x14ac:dyDescent="0.25">
      <c r="A16" s="30">
        <f t="shared" ref="A16" si="4">A14+1</f>
        <v>14</v>
      </c>
      <c r="B16" s="31" t="s">
        <v>23</v>
      </c>
      <c r="C16" s="32">
        <v>452820.69</v>
      </c>
      <c r="D16" s="31"/>
      <c r="E16" s="33">
        <f>C16</f>
        <v>452820.69</v>
      </c>
    </row>
    <row r="17" spans="1:9" s="11" customFormat="1" x14ac:dyDescent="0.25">
      <c r="A17" s="30">
        <v>15</v>
      </c>
      <c r="B17" s="31" t="s">
        <v>18</v>
      </c>
      <c r="C17" s="32">
        <f>1927381.82+581181.42+150328.58+69057.1</f>
        <v>2727948.9200000004</v>
      </c>
      <c r="D17" s="31">
        <v>238142.93</v>
      </c>
      <c r="E17" s="35">
        <f>C17-D17</f>
        <v>2489805.9900000002</v>
      </c>
    </row>
    <row r="18" spans="1:9" s="11" customFormat="1" x14ac:dyDescent="0.25">
      <c r="A18" s="30">
        <f t="shared" ref="A18" si="5">A17+1</f>
        <v>16</v>
      </c>
      <c r="B18" s="31" t="s">
        <v>19</v>
      </c>
      <c r="C18" s="32">
        <f>1430168.98+28150.03+105029.89+1891.93+53561.01</f>
        <v>1618801.8399999999</v>
      </c>
      <c r="D18" s="31">
        <f>629968.1+105030</f>
        <v>734998.1</v>
      </c>
      <c r="E18" s="35">
        <f>C18-D18</f>
        <v>883803.73999999987</v>
      </c>
      <c r="I18" s="54"/>
    </row>
    <row r="19" spans="1:9" s="11" customFormat="1" x14ac:dyDescent="0.25">
      <c r="A19" s="30">
        <v>17</v>
      </c>
      <c r="B19" s="30" t="s">
        <v>34</v>
      </c>
      <c r="C19" s="30">
        <f>1011152.61+47100.97+38.91+49797.16+42564.45</f>
        <v>1150654.0999999999</v>
      </c>
      <c r="D19" s="30">
        <f>807750+203011</f>
        <v>1010761</v>
      </c>
      <c r="E19" s="36">
        <f>C19-D19</f>
        <v>139893.09999999986</v>
      </c>
    </row>
    <row r="20" spans="1:9" s="11" customFormat="1" x14ac:dyDescent="0.25">
      <c r="A20" s="30">
        <f t="shared" ref="A20" si="6">A19+1</f>
        <v>18</v>
      </c>
      <c r="B20" s="31" t="s">
        <v>24</v>
      </c>
      <c r="C20" s="32">
        <f>D20+E20</f>
        <v>575027.09</v>
      </c>
      <c r="D20" s="32"/>
      <c r="E20" s="34">
        <f>472496.54+76688.06+25842.49</f>
        <v>575027.09</v>
      </c>
    </row>
    <row r="21" spans="1:9" s="11" customFormat="1" x14ac:dyDescent="0.25">
      <c r="A21" s="30">
        <v>19</v>
      </c>
      <c r="B21" s="31" t="s">
        <v>26</v>
      </c>
      <c r="C21" s="32">
        <v>4639466.88</v>
      </c>
      <c r="D21" s="31">
        <v>688405.61</v>
      </c>
      <c r="E21" s="33">
        <v>3951061.27</v>
      </c>
    </row>
    <row r="22" spans="1:9" s="11" customFormat="1" x14ac:dyDescent="0.25">
      <c r="A22" s="30">
        <f t="shared" ref="A22" si="7">A21+1</f>
        <v>20</v>
      </c>
      <c r="B22" s="31" t="s">
        <v>27</v>
      </c>
      <c r="C22" s="32">
        <v>782552.87</v>
      </c>
      <c r="D22" s="31"/>
      <c r="E22" s="33">
        <f>C22</f>
        <v>782552.87</v>
      </c>
    </row>
    <row r="23" spans="1:9" s="11" customFormat="1" x14ac:dyDescent="0.25">
      <c r="A23" s="30">
        <v>21</v>
      </c>
      <c r="B23" s="31" t="s">
        <v>28</v>
      </c>
      <c r="C23" s="32">
        <f>5566.73+82248.54+613635.28</f>
        <v>701450.55</v>
      </c>
      <c r="D23" s="31"/>
      <c r="E23" s="33">
        <f>C23-D23</f>
        <v>701450.55</v>
      </c>
    </row>
    <row r="24" spans="1:9" s="11" customFormat="1" x14ac:dyDescent="0.25">
      <c r="A24" s="30">
        <v>22</v>
      </c>
      <c r="B24" s="31" t="s">
        <v>48</v>
      </c>
      <c r="C24" s="32">
        <f>536037.29-5674.03+30089.15+36989.2+60.53+35059.37+28224.71+25783.78+48033.66+27339.76</f>
        <v>761943.42</v>
      </c>
      <c r="D24" s="30">
        <v>200000</v>
      </c>
      <c r="E24" s="37">
        <f>C24-D24</f>
        <v>561943.42000000004</v>
      </c>
    </row>
    <row r="25" spans="1:9" s="11" customFormat="1" x14ac:dyDescent="0.25">
      <c r="A25" s="30">
        <v>23</v>
      </c>
      <c r="B25" s="30" t="s">
        <v>55</v>
      </c>
      <c r="C25" s="30">
        <f>19243.97+890303.39</f>
        <v>909547.36</v>
      </c>
      <c r="D25" s="30"/>
      <c r="E25" s="37">
        <f>C25-D25</f>
        <v>909547.36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6" sqref="D6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17" customWidth="1"/>
    <col min="6" max="7" width="9.140625" hidden="1" customWidth="1"/>
    <col min="8" max="8" width="11.5703125" customWidth="1"/>
  </cols>
  <sheetData>
    <row r="1" spans="1:8" ht="39" customHeight="1" x14ac:dyDescent="0.25">
      <c r="B1" s="73" t="s">
        <v>54</v>
      </c>
      <c r="C1" s="73"/>
      <c r="D1" s="73"/>
      <c r="E1" s="73"/>
    </row>
    <row r="2" spans="1:8" ht="38.25" customHeight="1" x14ac:dyDescent="0.25">
      <c r="A2" s="38" t="s">
        <v>2</v>
      </c>
      <c r="B2" s="39" t="s">
        <v>0</v>
      </c>
      <c r="C2" s="39" t="s">
        <v>44</v>
      </c>
      <c r="D2" s="39" t="s">
        <v>43</v>
      </c>
      <c r="E2" s="53" t="s">
        <v>1</v>
      </c>
    </row>
    <row r="3" spans="1:8" s="11" customFormat="1" x14ac:dyDescent="0.25">
      <c r="A3" s="30">
        <v>1</v>
      </c>
      <c r="B3" s="31" t="s">
        <v>3</v>
      </c>
      <c r="C3" s="32">
        <f>1198405.34+61628.71+55224.6+55725.8+51506.44+51388.62+79931.77</f>
        <v>1553811.2800000003</v>
      </c>
      <c r="D3" s="32">
        <f>1082751.87+16000</f>
        <v>1098751.8700000001</v>
      </c>
      <c r="E3" s="33">
        <f>C3-D3</f>
        <v>455059.41000000015</v>
      </c>
    </row>
    <row r="4" spans="1:8" s="45" customFormat="1" x14ac:dyDescent="0.25">
      <c r="A4" s="41">
        <f>A3+1</f>
        <v>2</v>
      </c>
      <c r="B4" s="42" t="s">
        <v>4</v>
      </c>
      <c r="C4" s="43">
        <f>D4+E4</f>
        <v>680236.56</v>
      </c>
      <c r="D4" s="43">
        <f>156000+364454</f>
        <v>520454</v>
      </c>
      <c r="E4" s="33">
        <v>159782.56</v>
      </c>
    </row>
    <row r="5" spans="1:8" s="45" customFormat="1" x14ac:dyDescent="0.25">
      <c r="A5" s="41">
        <v>3</v>
      </c>
      <c r="B5" s="42" t="s">
        <v>5</v>
      </c>
      <c r="C5" s="43">
        <f>D5+E5</f>
        <v>1867349.88</v>
      </c>
      <c r="D5" s="43"/>
      <c r="E5" s="33">
        <v>1867349.88</v>
      </c>
    </row>
    <row r="6" spans="1:8" s="45" customFormat="1" x14ac:dyDescent="0.25">
      <c r="A6" s="41">
        <f t="shared" ref="A6" si="0">A5+1</f>
        <v>4</v>
      </c>
      <c r="B6" s="42" t="s">
        <v>6</v>
      </c>
      <c r="C6" s="43">
        <f>D6+E6</f>
        <v>1078489.3700000001</v>
      </c>
      <c r="D6" s="43">
        <f>599075+75400+75468</f>
        <v>749943</v>
      </c>
      <c r="E6" s="33">
        <v>328546.37</v>
      </c>
    </row>
    <row r="7" spans="1:8" s="45" customFormat="1" x14ac:dyDescent="0.25">
      <c r="A7" s="41">
        <v>5</v>
      </c>
      <c r="B7" s="42" t="s">
        <v>8</v>
      </c>
      <c r="C7" s="43">
        <v>2507870.13</v>
      </c>
      <c r="D7" s="43"/>
      <c r="E7" s="33">
        <f>C7</f>
        <v>2507870.13</v>
      </c>
    </row>
    <row r="8" spans="1:8" s="45" customFormat="1" x14ac:dyDescent="0.25">
      <c r="A8" s="41">
        <f t="shared" ref="A8" si="1">A7+1</f>
        <v>6</v>
      </c>
      <c r="B8" s="42" t="s">
        <v>9</v>
      </c>
      <c r="C8" s="43">
        <v>729471.36</v>
      </c>
      <c r="D8" s="43"/>
      <c r="E8" s="33">
        <f>C8</f>
        <v>729471.36</v>
      </c>
    </row>
    <row r="9" spans="1:8" s="45" customFormat="1" x14ac:dyDescent="0.25">
      <c r="A9" s="41">
        <v>7</v>
      </c>
      <c r="B9" s="42" t="s">
        <v>10</v>
      </c>
      <c r="C9" s="43">
        <v>730401.82</v>
      </c>
      <c r="D9" s="43"/>
      <c r="E9" s="33">
        <f>C9</f>
        <v>730401.82</v>
      </c>
    </row>
    <row r="10" spans="1:8" s="45" customFormat="1" x14ac:dyDescent="0.25">
      <c r="A10" s="41">
        <f t="shared" ref="A10" si="2">A9+1</f>
        <v>8</v>
      </c>
      <c r="B10" s="42" t="s">
        <v>11</v>
      </c>
      <c r="C10" s="43">
        <v>1259589.22</v>
      </c>
      <c r="D10" s="43">
        <v>171327.75</v>
      </c>
      <c r="E10" s="33">
        <f>C10-D10</f>
        <v>1088261.47</v>
      </c>
    </row>
    <row r="11" spans="1:8" s="45" customFormat="1" x14ac:dyDescent="0.25">
      <c r="A11" s="41">
        <v>9</v>
      </c>
      <c r="B11" s="42" t="s">
        <v>12</v>
      </c>
      <c r="C11" s="43">
        <v>285010.84999999998</v>
      </c>
      <c r="D11" s="43">
        <v>240000</v>
      </c>
      <c r="E11" s="33">
        <f>C11-D11</f>
        <v>45010.849999999977</v>
      </c>
    </row>
    <row r="12" spans="1:8" s="46" customFormat="1" x14ac:dyDescent="0.25">
      <c r="A12" s="42">
        <f t="shared" ref="A12" si="3">A11+1</f>
        <v>10</v>
      </c>
      <c r="B12" s="42" t="s">
        <v>13</v>
      </c>
      <c r="C12" s="43">
        <f>1148506.86+53518.21+52210.83+52118.49+48772.69+48177.26+67979.34</f>
        <v>1471283.6800000002</v>
      </c>
      <c r="D12" s="43"/>
      <c r="E12" s="33">
        <f>C12-D12</f>
        <v>1471283.6800000002</v>
      </c>
      <c r="H12" s="47"/>
    </row>
    <row r="13" spans="1:8" s="46" customFormat="1" x14ac:dyDescent="0.25">
      <c r="A13" s="42">
        <v>11</v>
      </c>
      <c r="B13" s="42" t="s">
        <v>14</v>
      </c>
      <c r="C13" s="43">
        <f>999726.98+46893.35+47848.95+61927.75+55672.64+48288.7+42624.37+60794.81</f>
        <v>1363777.55</v>
      </c>
      <c r="D13" s="43"/>
      <c r="E13" s="33">
        <f>C13-D13</f>
        <v>1363777.55</v>
      </c>
      <c r="H13" s="47"/>
    </row>
    <row r="14" spans="1:8" s="45" customFormat="1" x14ac:dyDescent="0.25">
      <c r="A14" s="41">
        <v>13</v>
      </c>
      <c r="B14" s="42" t="s">
        <v>16</v>
      </c>
      <c r="C14" s="43">
        <f>D14+E14</f>
        <v>1391487.91</v>
      </c>
      <c r="D14" s="43"/>
      <c r="E14" s="34">
        <v>1391487.91</v>
      </c>
    </row>
    <row r="15" spans="1:8" s="45" customFormat="1" x14ac:dyDescent="0.25">
      <c r="A15" s="41">
        <f>A13+1</f>
        <v>12</v>
      </c>
      <c r="B15" s="42" t="s">
        <v>15</v>
      </c>
      <c r="C15" s="43">
        <v>1292107.4099999999</v>
      </c>
      <c r="D15" s="42"/>
      <c r="E15" s="33">
        <f>C15</f>
        <v>1292107.4099999999</v>
      </c>
    </row>
    <row r="16" spans="1:8" s="45" customFormat="1" x14ac:dyDescent="0.25">
      <c r="A16" s="41">
        <f t="shared" ref="A16" si="4">A14+1</f>
        <v>14</v>
      </c>
      <c r="B16" s="42" t="s">
        <v>23</v>
      </c>
      <c r="C16" s="43">
        <v>433344.83</v>
      </c>
      <c r="D16" s="42"/>
      <c r="E16" s="33">
        <f>C16</f>
        <v>433344.83</v>
      </c>
    </row>
    <row r="17" spans="1:8" s="45" customFormat="1" x14ac:dyDescent="0.25">
      <c r="A17" s="41">
        <v>15</v>
      </c>
      <c r="B17" s="42" t="s">
        <v>18</v>
      </c>
      <c r="C17" s="43">
        <f>1927381.82+581181.42+150328.58</f>
        <v>2658891.8200000003</v>
      </c>
      <c r="D17" s="42">
        <v>238142.93</v>
      </c>
      <c r="E17" s="35">
        <f>C17-D17</f>
        <v>2420748.89</v>
      </c>
    </row>
    <row r="18" spans="1:8" s="45" customFormat="1" x14ac:dyDescent="0.25">
      <c r="A18" s="41">
        <f t="shared" ref="A18" si="5">A17+1</f>
        <v>16</v>
      </c>
      <c r="B18" s="42" t="s">
        <v>19</v>
      </c>
      <c r="C18" s="43">
        <f>1430168.98+28150.03+105029.89</f>
        <v>1563348.9</v>
      </c>
      <c r="D18" s="31">
        <f>629968.1+105030</f>
        <v>734998.1</v>
      </c>
      <c r="E18" s="35">
        <f>C18-D18</f>
        <v>828350.79999999993</v>
      </c>
    </row>
    <row r="19" spans="1:8" s="45" customFormat="1" x14ac:dyDescent="0.25">
      <c r="A19" s="41">
        <v>17</v>
      </c>
      <c r="B19" s="41" t="s">
        <v>34</v>
      </c>
      <c r="C19" s="41">
        <f>1011152.61+47100.97+38.91+49797.16</f>
        <v>1108089.6499999999</v>
      </c>
      <c r="D19" s="41">
        <f>807750+203011</f>
        <v>1010761</v>
      </c>
      <c r="E19" s="36">
        <f>C19-D19</f>
        <v>97328.649999999907</v>
      </c>
    </row>
    <row r="20" spans="1:8" s="45" customFormat="1" x14ac:dyDescent="0.25">
      <c r="A20" s="41">
        <f t="shared" ref="A20" si="6">A19+1</f>
        <v>18</v>
      </c>
      <c r="B20" s="42" t="s">
        <v>24</v>
      </c>
      <c r="C20" s="43">
        <f>D20+E20</f>
        <v>549184.6</v>
      </c>
      <c r="D20" s="43"/>
      <c r="E20" s="34">
        <f>472496.54+76688.06</f>
        <v>549184.6</v>
      </c>
    </row>
    <row r="21" spans="1:8" s="45" customFormat="1" x14ac:dyDescent="0.25">
      <c r="A21" s="41">
        <v>19</v>
      </c>
      <c r="B21" s="42" t="s">
        <v>26</v>
      </c>
      <c r="C21" s="43">
        <v>4391614.34</v>
      </c>
      <c r="D21" s="42">
        <v>688405.61</v>
      </c>
      <c r="E21" s="33">
        <v>3703208.73</v>
      </c>
    </row>
    <row r="22" spans="1:8" s="45" customFormat="1" x14ac:dyDescent="0.25">
      <c r="A22" s="41">
        <f t="shared" ref="A22" si="7">A21+1</f>
        <v>20</v>
      </c>
      <c r="B22" s="42" t="s">
        <v>27</v>
      </c>
      <c r="C22" s="43">
        <v>756309.05</v>
      </c>
      <c r="D22" s="42"/>
      <c r="E22" s="33">
        <f>C22</f>
        <v>756309.05</v>
      </c>
    </row>
    <row r="23" spans="1:8" s="45" customFormat="1" x14ac:dyDescent="0.25">
      <c r="A23" s="41">
        <v>21</v>
      </c>
      <c r="B23" s="42" t="s">
        <v>28</v>
      </c>
      <c r="C23" s="43">
        <f>599010.28+14625</f>
        <v>613635.28</v>
      </c>
      <c r="D23" s="42"/>
      <c r="E23" s="33">
        <f>C23-D23</f>
        <v>613635.28</v>
      </c>
      <c r="H23" s="45" t="s">
        <v>57</v>
      </c>
    </row>
    <row r="24" spans="1:8" s="45" customFormat="1" x14ac:dyDescent="0.25">
      <c r="A24" s="41">
        <v>22</v>
      </c>
      <c r="B24" s="42" t="s">
        <v>48</v>
      </c>
      <c r="C24" s="43">
        <f>536037.29-5674.03+30089.15+36989.2+60.53+35059.37+28224.71+25783.78+48033.66</f>
        <v>734603.66</v>
      </c>
      <c r="D24" s="41">
        <v>200000</v>
      </c>
      <c r="E24" s="37">
        <f>C24-D24</f>
        <v>534603.66</v>
      </c>
    </row>
    <row r="25" spans="1:8" x14ac:dyDescent="0.25">
      <c r="A25" s="52">
        <v>23</v>
      </c>
      <c r="B25" s="52" t="s">
        <v>55</v>
      </c>
      <c r="C25" s="52">
        <v>19243.97</v>
      </c>
      <c r="D25" s="52"/>
      <c r="E25" s="37">
        <f>C25-D25</f>
        <v>19243.97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6" sqref="E6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9" customWidth="1"/>
    <col min="6" max="6" width="4.28515625" customWidth="1"/>
    <col min="7" max="8" width="9.140625" hidden="1" customWidth="1"/>
    <col min="9" max="9" width="11.5703125" customWidth="1"/>
  </cols>
  <sheetData>
    <row r="1" spans="1:9" ht="39" customHeight="1" x14ac:dyDescent="0.25">
      <c r="B1" s="73" t="s">
        <v>53</v>
      </c>
      <c r="C1" s="73"/>
      <c r="D1" s="73"/>
      <c r="E1" s="73"/>
    </row>
    <row r="2" spans="1:9" ht="38.25" customHeight="1" x14ac:dyDescent="0.25">
      <c r="A2" s="38" t="s">
        <v>2</v>
      </c>
      <c r="B2" s="39" t="s">
        <v>0</v>
      </c>
      <c r="C2" s="39" t="s">
        <v>44</v>
      </c>
      <c r="D2" s="39" t="s">
        <v>43</v>
      </c>
      <c r="E2" s="40" t="s">
        <v>1</v>
      </c>
    </row>
    <row r="3" spans="1:9" s="11" customFormat="1" x14ac:dyDescent="0.25">
      <c r="A3" s="30">
        <v>1</v>
      </c>
      <c r="B3" s="31" t="s">
        <v>3</v>
      </c>
      <c r="C3" s="32">
        <f>1198405.34+61628.71+55224.6+55725.8+51506.44+51388.62</f>
        <v>1473879.5100000002</v>
      </c>
      <c r="D3" s="32">
        <f>1082751.87+16000</f>
        <v>1098751.8700000001</v>
      </c>
      <c r="E3" s="33">
        <f>C3-D3</f>
        <v>375127.64000000013</v>
      </c>
    </row>
    <row r="4" spans="1:9" s="45" customFormat="1" x14ac:dyDescent="0.25">
      <c r="A4" s="41">
        <f>A3+1</f>
        <v>2</v>
      </c>
      <c r="B4" s="42" t="s">
        <v>4</v>
      </c>
      <c r="C4" s="43">
        <f>D4+E4</f>
        <v>640738.88</v>
      </c>
      <c r="D4" s="43">
        <f>156000+364454</f>
        <v>520454</v>
      </c>
      <c r="E4" s="44">
        <v>120284.88</v>
      </c>
    </row>
    <row r="5" spans="1:9" s="45" customFormat="1" x14ac:dyDescent="0.25">
      <c r="A5" s="41">
        <v>3</v>
      </c>
      <c r="B5" s="42" t="s">
        <v>5</v>
      </c>
      <c r="C5" s="43">
        <f>D5+E5</f>
        <v>1767628.87</v>
      </c>
      <c r="D5" s="43"/>
      <c r="E5" s="44">
        <v>1767628.87</v>
      </c>
    </row>
    <row r="6" spans="1:9" s="45" customFormat="1" x14ac:dyDescent="0.25">
      <c r="A6" s="41">
        <f t="shared" ref="A6" si="0">A5+1</f>
        <v>4</v>
      </c>
      <c r="B6" s="42" t="s">
        <v>6</v>
      </c>
      <c r="C6" s="43">
        <f>D6+E6</f>
        <v>1025663.37</v>
      </c>
      <c r="D6" s="43">
        <v>599075</v>
      </c>
      <c r="E6" s="44">
        <v>426588.37</v>
      </c>
    </row>
    <row r="7" spans="1:9" s="45" customFormat="1" x14ac:dyDescent="0.25">
      <c r="A7" s="41">
        <v>5</v>
      </c>
      <c r="B7" s="42" t="s">
        <v>8</v>
      </c>
      <c r="C7" s="43">
        <v>2384785.09</v>
      </c>
      <c r="D7" s="43"/>
      <c r="E7" s="44">
        <f>C7</f>
        <v>2384785.09</v>
      </c>
    </row>
    <row r="8" spans="1:9" s="45" customFormat="1" x14ac:dyDescent="0.25">
      <c r="A8" s="41">
        <f t="shared" ref="A8" si="1">A7+1</f>
        <v>6</v>
      </c>
      <c r="B8" s="42" t="s">
        <v>9</v>
      </c>
      <c r="C8" s="43">
        <v>682577.28</v>
      </c>
      <c r="D8" s="43"/>
      <c r="E8" s="44">
        <f>C8</f>
        <v>682577.28</v>
      </c>
    </row>
    <row r="9" spans="1:9" s="45" customFormat="1" x14ac:dyDescent="0.25">
      <c r="A9" s="41">
        <v>7</v>
      </c>
      <c r="B9" s="42" t="s">
        <v>10</v>
      </c>
      <c r="C9" s="43">
        <v>685585.93</v>
      </c>
      <c r="D9" s="43"/>
      <c r="E9" s="44">
        <f>C9</f>
        <v>685585.93</v>
      </c>
    </row>
    <row r="10" spans="1:9" s="45" customFormat="1" x14ac:dyDescent="0.25">
      <c r="A10" s="41">
        <f t="shared" ref="A10" si="2">A9+1</f>
        <v>8</v>
      </c>
      <c r="B10" s="42" t="s">
        <v>11</v>
      </c>
      <c r="C10" s="43">
        <v>1186563.3700000001</v>
      </c>
      <c r="D10" s="43">
        <v>171327.75</v>
      </c>
      <c r="E10" s="44">
        <f>C10-D10</f>
        <v>1015235.6200000001</v>
      </c>
    </row>
    <row r="11" spans="1:9" s="45" customFormat="1" x14ac:dyDescent="0.25">
      <c r="A11" s="41">
        <v>9</v>
      </c>
      <c r="B11" s="42" t="s">
        <v>12</v>
      </c>
      <c r="C11" s="43">
        <v>268415.84999999998</v>
      </c>
      <c r="D11" s="43">
        <v>240000</v>
      </c>
      <c r="E11" s="44">
        <f>C11-D11</f>
        <v>28415.849999999977</v>
      </c>
    </row>
    <row r="12" spans="1:9" s="46" customFormat="1" x14ac:dyDescent="0.25">
      <c r="A12" s="42">
        <f t="shared" ref="A12" si="3">A11+1</f>
        <v>10</v>
      </c>
      <c r="B12" s="42" t="s">
        <v>13</v>
      </c>
      <c r="C12" s="43">
        <f>1148506.86+53518.21+52210.83+52118.49+48772.69+48177.26</f>
        <v>1403304.34</v>
      </c>
      <c r="D12" s="43"/>
      <c r="E12" s="44">
        <f>C12-D12</f>
        <v>1403304.34</v>
      </c>
      <c r="I12" s="47"/>
    </row>
    <row r="13" spans="1:9" s="46" customFormat="1" x14ac:dyDescent="0.25">
      <c r="A13" s="42">
        <v>11</v>
      </c>
      <c r="B13" s="42" t="s">
        <v>14</v>
      </c>
      <c r="C13" s="43">
        <f>999726.98+46893.35+47848.95+61927.75+55672.64+48288.7+42624.37</f>
        <v>1302982.74</v>
      </c>
      <c r="D13" s="43"/>
      <c r="E13" s="44">
        <f>C13-D13</f>
        <v>1302982.74</v>
      </c>
      <c r="I13" s="47"/>
    </row>
    <row r="14" spans="1:9" s="45" customFormat="1" x14ac:dyDescent="0.25">
      <c r="A14" s="41">
        <v>13</v>
      </c>
      <c r="B14" s="42" t="s">
        <v>16</v>
      </c>
      <c r="C14" s="43">
        <f>D14+E14</f>
        <v>1070947.3400000001</v>
      </c>
      <c r="D14" s="43"/>
      <c r="E14" s="48">
        <v>1070947.3400000001</v>
      </c>
    </row>
    <row r="15" spans="1:9" s="45" customFormat="1" x14ac:dyDescent="0.25">
      <c r="A15" s="41">
        <f>A13+1</f>
        <v>12</v>
      </c>
      <c r="B15" s="42" t="s">
        <v>15</v>
      </c>
      <c r="C15" s="43">
        <v>1234766.9099999999</v>
      </c>
      <c r="D15" s="42"/>
      <c r="E15" s="44">
        <f>C15</f>
        <v>1234766.9099999999</v>
      </c>
    </row>
    <row r="16" spans="1:9" s="45" customFormat="1" x14ac:dyDescent="0.25">
      <c r="A16" s="41">
        <f t="shared" ref="A16" si="4">A14+1</f>
        <v>14</v>
      </c>
      <c r="B16" s="42" t="s">
        <v>23</v>
      </c>
      <c r="C16" s="43">
        <v>401914.99</v>
      </c>
      <c r="D16" s="42"/>
      <c r="E16" s="44">
        <f>C16</f>
        <v>401914.99</v>
      </c>
    </row>
    <row r="17" spans="1:5" s="45" customFormat="1" x14ac:dyDescent="0.25">
      <c r="A17" s="41">
        <v>15</v>
      </c>
      <c r="B17" s="42" t="s">
        <v>18</v>
      </c>
      <c r="C17" s="43">
        <f>1927381.82+581181.42</f>
        <v>2508563.2400000002</v>
      </c>
      <c r="D17" s="42">
        <v>238142.93</v>
      </c>
      <c r="E17" s="49">
        <f>C17-D17</f>
        <v>2270420.31</v>
      </c>
    </row>
    <row r="18" spans="1:5" s="45" customFormat="1" x14ac:dyDescent="0.25">
      <c r="A18" s="41">
        <f t="shared" ref="A18" si="5">A17+1</f>
        <v>16</v>
      </c>
      <c r="B18" s="42" t="s">
        <v>19</v>
      </c>
      <c r="C18" s="43">
        <f>1430168.98+28150.03</f>
        <v>1458319.01</v>
      </c>
      <c r="D18" s="31">
        <v>629968.1</v>
      </c>
      <c r="E18" s="49">
        <f>C18-D18</f>
        <v>828350.91</v>
      </c>
    </row>
    <row r="19" spans="1:5" s="45" customFormat="1" x14ac:dyDescent="0.25">
      <c r="A19" s="41">
        <v>17</v>
      </c>
      <c r="B19" s="41" t="s">
        <v>34</v>
      </c>
      <c r="C19" s="41">
        <f>1011152.61+47100.97+38.91</f>
        <v>1058292.49</v>
      </c>
      <c r="D19" s="41">
        <f>807750+203011</f>
        <v>1010761</v>
      </c>
      <c r="E19" s="50">
        <f>C19-D19</f>
        <v>47531.489999999991</v>
      </c>
    </row>
    <row r="20" spans="1:5" s="45" customFormat="1" x14ac:dyDescent="0.25">
      <c r="A20" s="41">
        <f t="shared" ref="A20" si="6">A19+1</f>
        <v>18</v>
      </c>
      <c r="B20" s="42" t="s">
        <v>24</v>
      </c>
      <c r="C20" s="43">
        <v>472496.54</v>
      </c>
      <c r="D20" s="43"/>
      <c r="E20" s="50">
        <f>C20-D20</f>
        <v>472496.54</v>
      </c>
    </row>
    <row r="21" spans="1:5" s="45" customFormat="1" x14ac:dyDescent="0.25">
      <c r="A21" s="41">
        <v>19</v>
      </c>
      <c r="B21" s="42" t="s">
        <v>26</v>
      </c>
      <c r="C21" s="43">
        <v>4150552.4</v>
      </c>
      <c r="D21" s="42">
        <v>688405.61</v>
      </c>
      <c r="E21" s="44">
        <v>3462146.79</v>
      </c>
    </row>
    <row r="22" spans="1:5" s="45" customFormat="1" x14ac:dyDescent="0.25">
      <c r="A22" s="41">
        <f t="shared" ref="A22" si="7">A21+1</f>
        <v>20</v>
      </c>
      <c r="B22" s="42" t="s">
        <v>27</v>
      </c>
      <c r="C22" s="43">
        <v>670225.06999999995</v>
      </c>
      <c r="D22" s="42"/>
      <c r="E22" s="44">
        <f>C22</f>
        <v>670225.06999999995</v>
      </c>
    </row>
    <row r="23" spans="1:5" s="45" customFormat="1" x14ac:dyDescent="0.25">
      <c r="A23" s="41">
        <v>21</v>
      </c>
      <c r="B23" s="42" t="s">
        <v>28</v>
      </c>
      <c r="C23" s="43">
        <v>599010.28</v>
      </c>
      <c r="D23" s="42"/>
      <c r="E23" s="44">
        <f>C23-D23</f>
        <v>599010.28</v>
      </c>
    </row>
    <row r="24" spans="1:5" s="45" customFormat="1" x14ac:dyDescent="0.25">
      <c r="A24" s="41">
        <v>22</v>
      </c>
      <c r="B24" s="42" t="s">
        <v>48</v>
      </c>
      <c r="C24" s="43">
        <f>536037.29-5674.03+30089.15+36989.2+60.53+35059.37+28224.71+25783.78</f>
        <v>686570</v>
      </c>
      <c r="D24" s="41">
        <v>200000</v>
      </c>
      <c r="E24" s="51">
        <f>C24-D24</f>
        <v>486570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1" sqref="E21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9" customWidth="1"/>
    <col min="6" max="6" width="4.28515625" customWidth="1"/>
    <col min="7" max="8" width="9.140625" hidden="1" customWidth="1"/>
    <col min="9" max="9" width="11.5703125" customWidth="1"/>
  </cols>
  <sheetData>
    <row r="1" spans="1:9" ht="39" customHeight="1" x14ac:dyDescent="0.25">
      <c r="B1" s="73" t="s">
        <v>52</v>
      </c>
      <c r="C1" s="73"/>
      <c r="D1" s="73"/>
      <c r="E1" s="73"/>
    </row>
    <row r="2" spans="1:9" ht="38.25" customHeight="1" x14ac:dyDescent="0.25">
      <c r="A2" s="38" t="s">
        <v>2</v>
      </c>
      <c r="B2" s="39" t="s">
        <v>0</v>
      </c>
      <c r="C2" s="39" t="s">
        <v>44</v>
      </c>
      <c r="D2" s="39" t="s">
        <v>43</v>
      </c>
      <c r="E2" s="40" t="s">
        <v>1</v>
      </c>
    </row>
    <row r="3" spans="1:9" s="11" customFormat="1" x14ac:dyDescent="0.25">
      <c r="A3" s="30">
        <v>1</v>
      </c>
      <c r="B3" s="31" t="s">
        <v>3</v>
      </c>
      <c r="C3" s="32">
        <f>1198405.34+61628.71+55224.6+55725.8+51506.44</f>
        <v>1422490.8900000001</v>
      </c>
      <c r="D3" s="32">
        <f>1082751.87+16000</f>
        <v>1098751.8700000001</v>
      </c>
      <c r="E3" s="33">
        <f>C3-D3</f>
        <v>323739.02</v>
      </c>
    </row>
    <row r="4" spans="1:9" s="11" customFormat="1" x14ac:dyDescent="0.25">
      <c r="A4" s="30">
        <f>A3+1</f>
        <v>2</v>
      </c>
      <c r="B4" s="31" t="s">
        <v>4</v>
      </c>
      <c r="C4" s="32">
        <f>D4+E4</f>
        <v>615708.98</v>
      </c>
      <c r="D4" s="32">
        <f>156000+364454</f>
        <v>520454</v>
      </c>
      <c r="E4" s="33">
        <v>95254.98</v>
      </c>
    </row>
    <row r="5" spans="1:9" s="11" customFormat="1" x14ac:dyDescent="0.25">
      <c r="A5" s="30">
        <v>3</v>
      </c>
      <c r="B5" s="31" t="s">
        <v>5</v>
      </c>
      <c r="C5" s="32">
        <f>D5+E5</f>
        <v>1694957.11</v>
      </c>
      <c r="D5" s="32"/>
      <c r="E5" s="33">
        <v>1694957.11</v>
      </c>
    </row>
    <row r="6" spans="1:9" s="11" customFormat="1" x14ac:dyDescent="0.25">
      <c r="A6" s="30">
        <f t="shared" ref="A6" si="0">A5+1</f>
        <v>4</v>
      </c>
      <c r="B6" s="31" t="s">
        <v>6</v>
      </c>
      <c r="C6" s="32">
        <f>D6+E6</f>
        <v>995495.6</v>
      </c>
      <c r="D6" s="32">
        <v>599075</v>
      </c>
      <c r="E6" s="33">
        <v>396420.6</v>
      </c>
    </row>
    <row r="7" spans="1:9" s="11" customFormat="1" x14ac:dyDescent="0.25">
      <c r="A7" s="30">
        <v>5</v>
      </c>
      <c r="B7" s="31" t="s">
        <v>8</v>
      </c>
      <c r="C7" s="32">
        <v>2292690.4700000002</v>
      </c>
      <c r="D7" s="32"/>
      <c r="E7" s="33">
        <f>C7</f>
        <v>2292690.4700000002</v>
      </c>
    </row>
    <row r="8" spans="1:9" s="11" customFormat="1" x14ac:dyDescent="0.25">
      <c r="A8" s="30">
        <f t="shared" ref="A8" si="1">A7+1</f>
        <v>6</v>
      </c>
      <c r="B8" s="31" t="s">
        <v>9</v>
      </c>
      <c r="C8" s="32">
        <v>637416.16</v>
      </c>
      <c r="D8" s="32"/>
      <c r="E8" s="33">
        <f>C8</f>
        <v>637416.16</v>
      </c>
    </row>
    <row r="9" spans="1:9" s="11" customFormat="1" x14ac:dyDescent="0.25">
      <c r="A9" s="30">
        <v>7</v>
      </c>
      <c r="B9" s="31" t="s">
        <v>10</v>
      </c>
      <c r="C9" s="32">
        <v>625634.64</v>
      </c>
      <c r="D9" s="32"/>
      <c r="E9" s="33">
        <f>C9</f>
        <v>625634.64</v>
      </c>
    </row>
    <row r="10" spans="1:9" s="11" customFormat="1" x14ac:dyDescent="0.25">
      <c r="A10" s="30">
        <f t="shared" ref="A10" si="2">A9+1</f>
        <v>8</v>
      </c>
      <c r="B10" s="31" t="s">
        <v>11</v>
      </c>
      <c r="C10" s="32">
        <v>1133537.3899999999</v>
      </c>
      <c r="D10" s="32">
        <v>171327.75</v>
      </c>
      <c r="E10" s="33">
        <f>C10-D10</f>
        <v>962209.6399999999</v>
      </c>
    </row>
    <row r="11" spans="1:9" s="11" customFormat="1" x14ac:dyDescent="0.25">
      <c r="A11" s="30">
        <v>9</v>
      </c>
      <c r="B11" s="31" t="s">
        <v>12</v>
      </c>
      <c r="C11" s="32">
        <v>248527.86</v>
      </c>
      <c r="D11" s="32">
        <v>240000</v>
      </c>
      <c r="E11" s="33">
        <f>C11-D11</f>
        <v>8527.859999999986</v>
      </c>
    </row>
    <row r="12" spans="1:9" s="24" customFormat="1" x14ac:dyDescent="0.25">
      <c r="A12" s="31">
        <f t="shared" ref="A12" si="3">A11+1</f>
        <v>10</v>
      </c>
      <c r="B12" s="31" t="s">
        <v>13</v>
      </c>
      <c r="C12" s="32">
        <f>1148506.86+53518.21+52210.83+52118.49+48772.69</f>
        <v>1355127.08</v>
      </c>
      <c r="D12" s="32"/>
      <c r="E12" s="33">
        <f>C12-D12</f>
        <v>1355127.08</v>
      </c>
      <c r="I12" s="15"/>
    </row>
    <row r="13" spans="1:9" s="24" customFormat="1" x14ac:dyDescent="0.25">
      <c r="A13" s="31">
        <v>11</v>
      </c>
      <c r="B13" s="31" t="s">
        <v>14</v>
      </c>
      <c r="C13" s="32">
        <f>999726.98+46893.35+47848.95+61927.75+55672.64+48288.7</f>
        <v>1260358.3699999999</v>
      </c>
      <c r="D13" s="32"/>
      <c r="E13" s="33">
        <f>C13-D13</f>
        <v>1260358.3699999999</v>
      </c>
      <c r="I13" s="15"/>
    </row>
    <row r="14" spans="1:9" s="11" customFormat="1" x14ac:dyDescent="0.25">
      <c r="A14" s="30">
        <v>13</v>
      </c>
      <c r="B14" s="31" t="s">
        <v>16</v>
      </c>
      <c r="C14" s="32">
        <f>D14+E14</f>
        <v>1008249.85</v>
      </c>
      <c r="D14" s="32"/>
      <c r="E14" s="34">
        <v>1008249.85</v>
      </c>
    </row>
    <row r="15" spans="1:9" s="11" customFormat="1" x14ac:dyDescent="0.25">
      <c r="A15" s="30">
        <f>A13+1</f>
        <v>12</v>
      </c>
      <c r="B15" s="31" t="s">
        <v>15</v>
      </c>
      <c r="C15" s="32">
        <v>1187337.8500000001</v>
      </c>
      <c r="D15" s="31"/>
      <c r="E15" s="33">
        <f>C15</f>
        <v>1187337.8500000001</v>
      </c>
    </row>
    <row r="16" spans="1:9" s="11" customFormat="1" x14ac:dyDescent="0.25">
      <c r="A16" s="30">
        <f t="shared" ref="A16" si="4">A14+1</f>
        <v>14</v>
      </c>
      <c r="B16" s="31" t="s">
        <v>23</v>
      </c>
      <c r="C16" s="32">
        <v>381284.76</v>
      </c>
      <c r="D16" s="31"/>
      <c r="E16" s="33">
        <f>C16</f>
        <v>381284.76</v>
      </c>
    </row>
    <row r="17" spans="1:5" s="11" customFormat="1" x14ac:dyDescent="0.25">
      <c r="A17" s="30">
        <v>15</v>
      </c>
      <c r="B17" s="31" t="s">
        <v>18</v>
      </c>
      <c r="C17" s="32">
        <v>1927381.82</v>
      </c>
      <c r="D17" s="31">
        <v>238142.93</v>
      </c>
      <c r="E17" s="35">
        <f>C17-D17</f>
        <v>1689238.8900000001</v>
      </c>
    </row>
    <row r="18" spans="1:5" s="11" customFormat="1" x14ac:dyDescent="0.25">
      <c r="A18" s="30">
        <f t="shared" ref="A18" si="5">A17+1</f>
        <v>16</v>
      </c>
      <c r="B18" s="31" t="s">
        <v>19</v>
      </c>
      <c r="C18" s="32">
        <f>1377655.54+52513.44</f>
        <v>1430168.98</v>
      </c>
      <c r="D18" s="31">
        <v>629968.1</v>
      </c>
      <c r="E18" s="35">
        <f>C18-D18</f>
        <v>800200.88</v>
      </c>
    </row>
    <row r="19" spans="1:5" s="11" customFormat="1" x14ac:dyDescent="0.25">
      <c r="A19" s="30">
        <v>17</v>
      </c>
      <c r="B19" s="30" t="s">
        <v>34</v>
      </c>
      <c r="C19" s="30">
        <v>1011152.61</v>
      </c>
      <c r="D19" s="30">
        <v>807750</v>
      </c>
      <c r="E19" s="36">
        <f>C19-D19</f>
        <v>203402.61</v>
      </c>
    </row>
    <row r="20" spans="1:5" s="11" customFormat="1" x14ac:dyDescent="0.25">
      <c r="A20" s="30">
        <f t="shared" ref="A20" si="6">A19+1</f>
        <v>18</v>
      </c>
      <c r="B20" s="31" t="s">
        <v>24</v>
      </c>
      <c r="C20" s="32">
        <f>D20+E20</f>
        <v>455118.67</v>
      </c>
      <c r="D20" s="32"/>
      <c r="E20" s="33">
        <v>455118.67</v>
      </c>
    </row>
    <row r="21" spans="1:5" s="11" customFormat="1" x14ac:dyDescent="0.25">
      <c r="A21" s="30">
        <v>19</v>
      </c>
      <c r="B21" s="31" t="s">
        <v>26</v>
      </c>
      <c r="C21" s="32">
        <v>3951340.04</v>
      </c>
      <c r="D21" s="31">
        <v>688405.61</v>
      </c>
      <c r="E21" s="33">
        <v>3262934.43</v>
      </c>
    </row>
    <row r="22" spans="1:5" s="11" customFormat="1" x14ac:dyDescent="0.25">
      <c r="A22" s="30">
        <f t="shared" ref="A22" si="7">A21+1</f>
        <v>20</v>
      </c>
      <c r="B22" s="31" t="s">
        <v>27</v>
      </c>
      <c r="C22" s="32">
        <v>670225.06999999995</v>
      </c>
      <c r="D22" s="31"/>
      <c r="E22" s="33">
        <f>C22</f>
        <v>670225.06999999995</v>
      </c>
    </row>
    <row r="23" spans="1:5" s="11" customFormat="1" x14ac:dyDescent="0.25">
      <c r="A23" s="30">
        <v>21</v>
      </c>
      <c r="B23" s="31" t="s">
        <v>28</v>
      </c>
      <c r="C23" s="32">
        <f>533021.73+36186.6</f>
        <v>569208.32999999996</v>
      </c>
      <c r="D23" s="31"/>
      <c r="E23" s="33">
        <f>C23-D23</f>
        <v>569208.32999999996</v>
      </c>
    </row>
    <row r="24" spans="1:5" s="11" customFormat="1" x14ac:dyDescent="0.25">
      <c r="A24" s="30">
        <v>22</v>
      </c>
      <c r="B24" s="31" t="s">
        <v>48</v>
      </c>
      <c r="C24" s="32">
        <f>536037.29-5674.03+30089.15+36989.2+60.53+35059.37+28224.71</f>
        <v>660786.22</v>
      </c>
      <c r="D24" s="30">
        <v>200000</v>
      </c>
      <c r="E24" s="37">
        <f>C24-D24</f>
        <v>460786.22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workbookViewId="0">
      <selection activeCell="E21" sqref="E21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9" customWidth="1"/>
    <col min="6" max="6" width="4.28515625" customWidth="1"/>
    <col min="7" max="8" width="9.140625" hidden="1" customWidth="1"/>
    <col min="9" max="9" width="11.5703125" customWidth="1"/>
  </cols>
  <sheetData>
    <row r="1" spans="1:5" ht="39" customHeight="1" x14ac:dyDescent="0.25">
      <c r="B1" s="73" t="s">
        <v>51</v>
      </c>
      <c r="C1" s="73"/>
      <c r="D1" s="73"/>
      <c r="E1" s="73"/>
    </row>
    <row r="2" spans="1:5" ht="38.25" customHeight="1" x14ac:dyDescent="0.25">
      <c r="A2" s="38" t="s">
        <v>2</v>
      </c>
      <c r="B2" s="39" t="s">
        <v>0</v>
      </c>
      <c r="C2" s="39" t="s">
        <v>44</v>
      </c>
      <c r="D2" s="39" t="s">
        <v>43</v>
      </c>
      <c r="E2" s="40" t="s">
        <v>1</v>
      </c>
    </row>
    <row r="3" spans="1:5" s="11" customFormat="1" x14ac:dyDescent="0.25">
      <c r="A3" s="30">
        <v>1</v>
      </c>
      <c r="B3" s="31" t="s">
        <v>3</v>
      </c>
      <c r="C3" s="32">
        <f>1198405.34+61628.71+55224.6+55725.8</f>
        <v>1370984.4500000002</v>
      </c>
      <c r="D3" s="32">
        <f>1082751.87+16000</f>
        <v>1098751.8700000001</v>
      </c>
      <c r="E3" s="33">
        <f>C3-D3</f>
        <v>272232.58000000007</v>
      </c>
    </row>
    <row r="4" spans="1:5" s="11" customFormat="1" x14ac:dyDescent="0.25">
      <c r="A4" s="30">
        <f>A3+1</f>
        <v>2</v>
      </c>
      <c r="B4" s="31" t="s">
        <v>4</v>
      </c>
      <c r="C4" s="32">
        <f>D4+E4</f>
        <v>593454.89</v>
      </c>
      <c r="D4" s="32">
        <f>156000+364454</f>
        <v>520454</v>
      </c>
      <c r="E4" s="33">
        <v>73000.89</v>
      </c>
    </row>
    <row r="5" spans="1:5" s="11" customFormat="1" x14ac:dyDescent="0.25">
      <c r="A5" s="30">
        <v>3</v>
      </c>
      <c r="B5" s="31" t="s">
        <v>5</v>
      </c>
      <c r="C5" s="32">
        <f>D5+E5</f>
        <v>1616528.48</v>
      </c>
      <c r="D5" s="32"/>
      <c r="E5" s="33">
        <v>1616528.48</v>
      </c>
    </row>
    <row r="6" spans="1:5" s="11" customFormat="1" x14ac:dyDescent="0.25">
      <c r="A6" s="30">
        <f t="shared" ref="A6" si="0">A5+1</f>
        <v>4</v>
      </c>
      <c r="B6" s="31" t="s">
        <v>6</v>
      </c>
      <c r="C6" s="32">
        <f>D6+E6</f>
        <v>961158.39</v>
      </c>
      <c r="D6" s="32">
        <v>599075</v>
      </c>
      <c r="E6" s="33">
        <v>362083.39</v>
      </c>
    </row>
    <row r="7" spans="1:5" s="11" customFormat="1" x14ac:dyDescent="0.25">
      <c r="A7" s="30">
        <v>5</v>
      </c>
      <c r="B7" s="31" t="s">
        <v>8</v>
      </c>
      <c r="C7" s="32">
        <v>2195930.73</v>
      </c>
      <c r="D7" s="32"/>
      <c r="E7" s="33">
        <f>C7</f>
        <v>2195930.73</v>
      </c>
    </row>
    <row r="8" spans="1:5" s="11" customFormat="1" x14ac:dyDescent="0.25">
      <c r="A8" s="30">
        <f t="shared" ref="A8" si="1">A7+1</f>
        <v>6</v>
      </c>
      <c r="B8" s="31" t="s">
        <v>9</v>
      </c>
      <c r="C8" s="32">
        <v>637416.16</v>
      </c>
      <c r="D8" s="32"/>
      <c r="E8" s="33">
        <f>C8</f>
        <v>637416.16</v>
      </c>
    </row>
    <row r="9" spans="1:5" s="11" customFormat="1" x14ac:dyDescent="0.25">
      <c r="A9" s="30">
        <v>7</v>
      </c>
      <c r="B9" s="31" t="s">
        <v>10</v>
      </c>
      <c r="C9" s="32">
        <v>625634.64</v>
      </c>
      <c r="D9" s="32"/>
      <c r="E9" s="33">
        <f>C9</f>
        <v>625634.64</v>
      </c>
    </row>
    <row r="10" spans="1:5" s="11" customFormat="1" x14ac:dyDescent="0.25">
      <c r="A10" s="30">
        <f t="shared" ref="A10" si="2">A9+1</f>
        <v>8</v>
      </c>
      <c r="B10" s="31" t="s">
        <v>11</v>
      </c>
      <c r="C10" s="32">
        <f>1040068.58+49773.16</f>
        <v>1089841.74</v>
      </c>
      <c r="D10" s="32">
        <v>171327.75</v>
      </c>
      <c r="E10" s="33">
        <f>C10-D10</f>
        <v>918513.99</v>
      </c>
    </row>
    <row r="11" spans="1:5" s="11" customFormat="1" x14ac:dyDescent="0.25">
      <c r="A11" s="30">
        <v>9</v>
      </c>
      <c r="B11" s="31" t="s">
        <v>12</v>
      </c>
      <c r="C11" s="32">
        <v>248527.86</v>
      </c>
      <c r="D11" s="32">
        <v>240000</v>
      </c>
      <c r="E11" s="33">
        <f>C11-D11</f>
        <v>8527.859999999986</v>
      </c>
    </row>
    <row r="12" spans="1:5" s="24" customFormat="1" x14ac:dyDescent="0.25">
      <c r="A12" s="31">
        <f t="shared" ref="A12" si="3">A11+1</f>
        <v>10</v>
      </c>
      <c r="B12" s="31" t="s">
        <v>13</v>
      </c>
      <c r="C12" s="32">
        <f>1148506.86+53518.21+52210.83+52118.49</f>
        <v>1306354.3900000001</v>
      </c>
      <c r="D12" s="32"/>
      <c r="E12" s="33">
        <f>C12-D12</f>
        <v>1306354.3900000001</v>
      </c>
    </row>
    <row r="13" spans="1:5" s="24" customFormat="1" x14ac:dyDescent="0.25">
      <c r="A13" s="31">
        <v>11</v>
      </c>
      <c r="B13" s="31" t="s">
        <v>14</v>
      </c>
      <c r="C13" s="32">
        <f>999726.98+46893.35+47848.95+61927.75+55672.64</f>
        <v>1212069.67</v>
      </c>
      <c r="D13" s="32"/>
      <c r="E13" s="33">
        <f>C13-D13</f>
        <v>1212069.67</v>
      </c>
    </row>
    <row r="14" spans="1:5" s="11" customFormat="1" x14ac:dyDescent="0.25">
      <c r="A14" s="30">
        <v>13</v>
      </c>
      <c r="B14" s="31" t="s">
        <v>16</v>
      </c>
      <c r="C14" s="32">
        <f>D14+E14</f>
        <v>965892.51</v>
      </c>
      <c r="D14" s="32"/>
      <c r="E14" s="34">
        <v>965892.51</v>
      </c>
    </row>
    <row r="15" spans="1:5" s="11" customFormat="1" x14ac:dyDescent="0.25">
      <c r="A15" s="30">
        <f>A13+1</f>
        <v>12</v>
      </c>
      <c r="B15" s="31" t="s">
        <v>15</v>
      </c>
      <c r="C15" s="32">
        <v>1142106.3899999999</v>
      </c>
      <c r="D15" s="31"/>
      <c r="E15" s="33">
        <f>C15</f>
        <v>1142106.3899999999</v>
      </c>
    </row>
    <row r="16" spans="1:5" s="11" customFormat="1" x14ac:dyDescent="0.25">
      <c r="A16" s="30">
        <f t="shared" ref="A16" si="4">A14+1</f>
        <v>14</v>
      </c>
      <c r="B16" s="31" t="s">
        <v>23</v>
      </c>
      <c r="C16" s="32">
        <v>362785.62</v>
      </c>
      <c r="D16" s="31"/>
      <c r="E16" s="33">
        <f>C16</f>
        <v>362785.62</v>
      </c>
    </row>
    <row r="17" spans="1:5" s="11" customFormat="1" x14ac:dyDescent="0.25">
      <c r="A17" s="30">
        <v>15</v>
      </c>
      <c r="B17" s="31" t="s">
        <v>18</v>
      </c>
      <c r="C17" s="32">
        <v>1818114.04</v>
      </c>
      <c r="D17" s="31">
        <v>238142.93</v>
      </c>
      <c r="E17" s="35">
        <f>C17-D17</f>
        <v>1579971.11</v>
      </c>
    </row>
    <row r="18" spans="1:5" s="11" customFormat="1" x14ac:dyDescent="0.25">
      <c r="A18" s="30">
        <f t="shared" ref="A18" si="5">A17+1</f>
        <v>16</v>
      </c>
      <c r="B18" s="31" t="s">
        <v>19</v>
      </c>
      <c r="C18" s="32">
        <v>1377655.54</v>
      </c>
      <c r="D18" s="31">
        <v>629968.1</v>
      </c>
      <c r="E18" s="35">
        <f>C18-D18</f>
        <v>747687.44000000006</v>
      </c>
    </row>
    <row r="19" spans="1:5" s="11" customFormat="1" x14ac:dyDescent="0.25">
      <c r="A19" s="30">
        <v>17</v>
      </c>
      <c r="B19" s="30" t="s">
        <v>34</v>
      </c>
      <c r="C19" s="30">
        <f>882188.3+43832.39+50923.27+2209.03</f>
        <v>979152.99000000011</v>
      </c>
      <c r="D19" s="30">
        <v>807750</v>
      </c>
      <c r="E19" s="36">
        <f>C19-D19</f>
        <v>171402.99000000011</v>
      </c>
    </row>
    <row r="20" spans="1:5" s="11" customFormat="1" x14ac:dyDescent="0.25">
      <c r="A20" s="30">
        <f t="shared" ref="A20" si="6">A19+1</f>
        <v>18</v>
      </c>
      <c r="B20" s="31" t="s">
        <v>24</v>
      </c>
      <c r="C20" s="32">
        <f>D20+E20</f>
        <v>429733.37</v>
      </c>
      <c r="D20" s="32"/>
      <c r="E20" s="33">
        <v>429733.37</v>
      </c>
    </row>
    <row r="21" spans="1:5" s="11" customFormat="1" x14ac:dyDescent="0.25">
      <c r="A21" s="30">
        <v>19</v>
      </c>
      <c r="B21" s="31" t="s">
        <v>26</v>
      </c>
      <c r="C21" s="32">
        <v>3866629.41</v>
      </c>
      <c r="D21" s="31">
        <v>688405.61</v>
      </c>
      <c r="E21" s="33">
        <f>C21-D21</f>
        <v>3178223.8000000003</v>
      </c>
    </row>
    <row r="22" spans="1:5" s="11" customFormat="1" x14ac:dyDescent="0.25">
      <c r="A22" s="30">
        <f t="shared" ref="A22" si="7">A21+1</f>
        <v>20</v>
      </c>
      <c r="B22" s="31" t="s">
        <v>27</v>
      </c>
      <c r="C22" s="32">
        <v>626494.57999999996</v>
      </c>
      <c r="D22" s="31"/>
      <c r="E22" s="33">
        <f>C22</f>
        <v>626494.57999999996</v>
      </c>
    </row>
    <row r="23" spans="1:5" s="11" customFormat="1" x14ac:dyDescent="0.25">
      <c r="A23" s="30">
        <v>21</v>
      </c>
      <c r="B23" s="31" t="s">
        <v>28</v>
      </c>
      <c r="C23" s="32">
        <v>533021.73</v>
      </c>
      <c r="D23" s="31"/>
      <c r="E23" s="33">
        <f>C23-D23</f>
        <v>533021.73</v>
      </c>
    </row>
    <row r="24" spans="1:5" s="11" customFormat="1" x14ac:dyDescent="0.25">
      <c r="A24" s="30">
        <v>22</v>
      </c>
      <c r="B24" s="31" t="s">
        <v>48</v>
      </c>
      <c r="C24" s="32">
        <f>536037.29-5674.03+30089.15+36989.2+60.53+35059.37</f>
        <v>632561.51</v>
      </c>
      <c r="D24" s="30">
        <v>200000</v>
      </c>
      <c r="E24" s="37">
        <f>C24-D24</f>
        <v>432561.51</v>
      </c>
    </row>
  </sheetData>
  <mergeCells count="1">
    <mergeCell ref="B1:E1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4" sqref="C4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 x14ac:dyDescent="0.25">
      <c r="B1" s="73" t="s">
        <v>72</v>
      </c>
      <c r="C1" s="73"/>
      <c r="D1" s="73"/>
      <c r="E1" s="73"/>
    </row>
    <row r="2" spans="1:5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 x14ac:dyDescent="0.25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1198405.34+61628.71+55224.6+55725.8+51506.44+51388.62+79931.77+56783.34+61433.64+66573+48000.74+109480.08+60996.09+64053.18+57256.32+86515.27+65979.17+58313.83+82492.28+69153.91+68307.25</f>
        <v>2509149.3800000004</v>
      </c>
      <c r="D3" s="32">
        <f>1082751.87+16000+858545.29+170514.71+130000+65000+65000+65000</f>
        <v>2452811.87</v>
      </c>
      <c r="E3" s="63">
        <f>C3-D3</f>
        <v>56337.510000000242</v>
      </c>
    </row>
    <row r="4" spans="1:5" s="15" customFormat="1" x14ac:dyDescent="0.25">
      <c r="A4" s="31">
        <f>A3+1</f>
        <v>2</v>
      </c>
      <c r="B4" s="31" t="s">
        <v>4</v>
      </c>
      <c r="C4" s="32">
        <f>D4+E4</f>
        <v>1062546.28</v>
      </c>
      <c r="D4" s="32">
        <f>156000+364454</f>
        <v>520454</v>
      </c>
      <c r="E4" s="63">
        <v>542092.28</v>
      </c>
    </row>
    <row r="5" spans="1:5" s="15" customFormat="1" x14ac:dyDescent="0.25">
      <c r="A5" s="31">
        <v>3</v>
      </c>
      <c r="B5" s="31" t="s">
        <v>5</v>
      </c>
      <c r="C5" s="32">
        <f>D5+E5</f>
        <v>3192299.3199999994</v>
      </c>
      <c r="D5" s="32"/>
      <c r="E5" s="35">
        <f>2116692.9+98468.42+97921.51+70568.76+110096.23+75640.03+87494.39+163293.49+72649.77+74954.58+92843.86+131675.38</f>
        <v>3192299.3199999994</v>
      </c>
    </row>
    <row r="6" spans="1:5" s="15" customFormat="1" x14ac:dyDescent="0.25">
      <c r="A6" s="31">
        <f t="shared" ref="A6" si="0">A5+1</f>
        <v>4</v>
      </c>
      <c r="B6" s="31" t="s">
        <v>6</v>
      </c>
      <c r="C6" s="32">
        <f>D6+E6</f>
        <v>1811845.44</v>
      </c>
      <c r="D6" s="32">
        <f>599075+75400+75468+173143+173143.97</f>
        <v>1096229.97</v>
      </c>
      <c r="E6" s="63">
        <v>715615.47</v>
      </c>
    </row>
    <row r="7" spans="1:5" s="15" customFormat="1" x14ac:dyDescent="0.25">
      <c r="A7" s="31">
        <v>5</v>
      </c>
      <c r="B7" s="31" t="s">
        <v>8</v>
      </c>
      <c r="C7" s="32">
        <v>4022756.46</v>
      </c>
      <c r="D7" s="32"/>
      <c r="E7" s="63">
        <f>C7</f>
        <v>4022756.46</v>
      </c>
    </row>
    <row r="8" spans="1:5" s="15" customFormat="1" x14ac:dyDescent="0.25">
      <c r="A8" s="31">
        <f t="shared" ref="A8" si="1">A7+1</f>
        <v>6</v>
      </c>
      <c r="B8" s="31" t="s">
        <v>9</v>
      </c>
      <c r="C8" s="32">
        <v>1154847.3799999999</v>
      </c>
      <c r="D8" s="32"/>
      <c r="E8" s="63">
        <f>C8</f>
        <v>1154847.3799999999</v>
      </c>
    </row>
    <row r="9" spans="1:5" s="15" customFormat="1" x14ac:dyDescent="0.25">
      <c r="A9" s="31">
        <v>7</v>
      </c>
      <c r="B9" s="31" t="s">
        <v>10</v>
      </c>
      <c r="C9" s="32">
        <f>1193943.53+41519.77</f>
        <v>1235463.3</v>
      </c>
      <c r="D9" s="32">
        <v>305646</v>
      </c>
      <c r="E9" s="63">
        <f>C9-D9</f>
        <v>929817.3</v>
      </c>
    </row>
    <row r="10" spans="1:5" s="15" customFormat="1" x14ac:dyDescent="0.25">
      <c r="A10" s="31">
        <f t="shared" ref="A10" si="2">A9+1</f>
        <v>8</v>
      </c>
      <c r="B10" s="31" t="s">
        <v>11</v>
      </c>
      <c r="C10" s="32">
        <f>1426796.9+49164.05+54345.59+50217.87+64217.66+56735.24+53528.79+54376.64+47289.29+77572.92+47569.42+58629.57</f>
        <v>2040443.94</v>
      </c>
      <c r="D10" s="32">
        <v>171327.75</v>
      </c>
      <c r="E10" s="63">
        <f>C10-D10</f>
        <v>1869116.19</v>
      </c>
    </row>
    <row r="11" spans="1:5" s="15" customFormat="1" x14ac:dyDescent="0.25">
      <c r="A11" s="31">
        <v>9</v>
      </c>
      <c r="B11" s="31" t="s">
        <v>12</v>
      </c>
      <c r="C11" s="32">
        <f>392830.67+10227.98+7507.27+37359.94+15099.61+14715.6</f>
        <v>477741.06999999995</v>
      </c>
      <c r="D11" s="32">
        <f>240000+164875.6+60000</f>
        <v>464875.6</v>
      </c>
      <c r="E11" s="63">
        <f>C11-D11</f>
        <v>12865.469999999972</v>
      </c>
    </row>
    <row r="12" spans="1:5" s="15" customFormat="1" x14ac:dyDescent="0.25">
      <c r="A12" s="31">
        <f t="shared" ref="A12" si="3">A11+1</f>
        <v>10</v>
      </c>
      <c r="B12" s="31" t="s">
        <v>13</v>
      </c>
      <c r="C12" s="32">
        <f>1873546.99+59634.56+57087.18+58719.75+60861.51+68001.27+54902.43+64101.1</f>
        <v>2296854.79</v>
      </c>
      <c r="D12" s="32"/>
      <c r="E12" s="63">
        <f>C12-D12</f>
        <v>2296854.79</v>
      </c>
    </row>
    <row r="13" spans="1:5" s="15" customFormat="1" x14ac:dyDescent="0.25">
      <c r="A13" s="31">
        <v>11</v>
      </c>
      <c r="B13" s="31" t="s">
        <v>14</v>
      </c>
      <c r="C13" s="32">
        <f>1726987.63+56085.46+52117.68+55483.96+53801.15+66336.23+50317.17+61074.85</f>
        <v>2122204.1299999994</v>
      </c>
      <c r="D13" s="32"/>
      <c r="E13" s="63">
        <f>C13-D13</f>
        <v>2122204.1299999994</v>
      </c>
    </row>
    <row r="14" spans="1:5" s="15" customFormat="1" x14ac:dyDescent="0.25">
      <c r="A14" s="31">
        <v>13</v>
      </c>
      <c r="B14" s="31" t="s">
        <v>16</v>
      </c>
      <c r="C14" s="32">
        <f>D14+E14</f>
        <v>2637815.5399999996</v>
      </c>
      <c r="D14" s="32"/>
      <c r="E14" s="35">
        <f>1680872.01+107870.69+115716.23+78935.88+79402.42+74796.29+97957.16+80778.36+59717.02+64290.94+72043.76+60978.01+64456.77</f>
        <v>2637815.5399999996</v>
      </c>
    </row>
    <row r="15" spans="1:5" s="15" customFormat="1" x14ac:dyDescent="0.25">
      <c r="A15" s="31">
        <f>A13+1</f>
        <v>12</v>
      </c>
      <c r="B15" s="31" t="s">
        <v>15</v>
      </c>
      <c r="C15" s="32">
        <f>1638673.3+64083.01+60114.23+50325.89+43436.56+66814.4+44056.38+54445.17</f>
        <v>2021948.9399999997</v>
      </c>
      <c r="D15" s="31"/>
      <c r="E15" s="63">
        <f>C15</f>
        <v>2021948.9399999997</v>
      </c>
    </row>
    <row r="16" spans="1:5" s="15" customFormat="1" x14ac:dyDescent="0.25">
      <c r="A16" s="31">
        <f>A14+1</f>
        <v>14</v>
      </c>
      <c r="B16" s="31" t="s">
        <v>23</v>
      </c>
      <c r="C16" s="32">
        <f>E16+D16</f>
        <v>739137.6</v>
      </c>
      <c r="D16" s="61">
        <f>248000+292700+40000+50000+60000</f>
        <v>690700</v>
      </c>
      <c r="E16" s="63">
        <v>48437.599999999999</v>
      </c>
    </row>
    <row r="17" spans="1:9" s="15" customFormat="1" x14ac:dyDescent="0.25">
      <c r="A17" s="31">
        <v>15</v>
      </c>
      <c r="B17" s="31" t="s">
        <v>18</v>
      </c>
      <c r="C17" s="32">
        <f>1927381.82+581181.42+150328.58+69057.1+65263.95+227.75+235122.55+75421.82+78833+44293.06+1138.75+170751.71+20627.85+114673.32+931+141251.17+66530.76+68580.39+98135.23+73302.77+201370.04</f>
        <v>4184404.04</v>
      </c>
      <c r="D17" s="31">
        <f>238142.93+625976.1+1460610.9</f>
        <v>2324729.9299999997</v>
      </c>
      <c r="E17" s="35">
        <f>C17-D17</f>
        <v>1859674.1100000003</v>
      </c>
    </row>
    <row r="18" spans="1:9" s="15" customFormat="1" x14ac:dyDescent="0.25">
      <c r="A18" s="31">
        <f t="shared" ref="A18" si="4">A17+1</f>
        <v>16</v>
      </c>
      <c r="B18" s="31" t="s">
        <v>19</v>
      </c>
      <c r="C18" s="32">
        <f>1430168.98+28150.03+105029.89+1891.93+53561.01+56398.95+66972.53+54824.74+61243.97+39742.57+64667.57+63523.47+66961.15+57952.32+60569.58+72741.31+56105.33+65554.77</f>
        <v>2406060.1</v>
      </c>
      <c r="D18" s="31">
        <f>629968.1+105030</f>
        <v>734998.1</v>
      </c>
      <c r="E18" s="35">
        <f>C18-D18</f>
        <v>1671062</v>
      </c>
      <c r="I18" s="67"/>
    </row>
    <row r="19" spans="1:9" s="15" customFormat="1" x14ac:dyDescent="0.25">
      <c r="A19" s="31">
        <v>17</v>
      </c>
      <c r="B19" s="31" t="s">
        <v>34</v>
      </c>
      <c r="C19" s="31">
        <f>1011152.61+47100.97+38.91+49797.16+42564.45+36144.08+50297.73+41790.2+45743.79+42383.57+46782.43+47151.31+44150.67+46969.97+36821+54633+41617.1+52746.64</f>
        <v>1737885.5899999999</v>
      </c>
      <c r="D19" s="31">
        <f>807750+203011+221000+129000</f>
        <v>1360761</v>
      </c>
      <c r="E19" s="35">
        <f>C19-D19</f>
        <v>377124.58999999985</v>
      </c>
    </row>
    <row r="20" spans="1:9" s="15" customFormat="1" x14ac:dyDescent="0.25">
      <c r="A20" s="31">
        <v>19</v>
      </c>
      <c r="B20" s="31" t="s">
        <v>26</v>
      </c>
      <c r="C20" s="32">
        <f>E20+D20</f>
        <v>7130441.8000000007</v>
      </c>
      <c r="D20" s="31">
        <v>688405.61</v>
      </c>
      <c r="E20" s="63">
        <v>6442036.1900000004</v>
      </c>
      <c r="H20" s="14"/>
    </row>
    <row r="21" spans="1:9" s="15" customFormat="1" x14ac:dyDescent="0.25">
      <c r="A21" s="31">
        <f t="shared" ref="A21" si="5">A20+1</f>
        <v>20</v>
      </c>
      <c r="B21" s="31" t="s">
        <v>27</v>
      </c>
      <c r="C21" s="32">
        <f>889433.59+39350.9+44229.36+43365.32+45078.28+31666.17+54786.43+37997.99+33596.17+37543.12+38801.59</f>
        <v>1295848.92</v>
      </c>
      <c r="D21" s="31"/>
      <c r="E21" s="63">
        <f>C21</f>
        <v>1295848.92</v>
      </c>
    </row>
    <row r="22" spans="1:9" s="15" customFormat="1" x14ac:dyDescent="0.25">
      <c r="A22" s="31">
        <v>21</v>
      </c>
      <c r="B22" s="31" t="s">
        <v>28</v>
      </c>
      <c r="C22" s="32">
        <f>5566.73+82248.54+613635.28+63748.73+1657.36+34894.87+38.51+3911.59+625.75+40159.59+37410.39+19930.35+47876.66+76048.03+69722.05+37833.55+38203.06</f>
        <v>1173511.04</v>
      </c>
      <c r="D22" s="31"/>
      <c r="E22" s="63">
        <f>C22-D22</f>
        <v>1173511.04</v>
      </c>
    </row>
    <row r="23" spans="1:9" s="15" customFormat="1" x14ac:dyDescent="0.25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536037.29-5674.03+30089.15+36989.2+60.53+35059.37+28224.71+25783.78+48033.66+27339.76+41632.91+39526.17+35094.74+28437.64+42127.29+35434.77+32632.57+38484.24+34803.57+25388.9+42595.51+27496.36+39771.52</f>
        <v>1225369.6100000003</v>
      </c>
      <c r="D23" s="31">
        <v>200000</v>
      </c>
      <c r="E23" s="63">
        <f>C23-D23</f>
        <v>1025369.6100000003</v>
      </c>
    </row>
    <row r="24" spans="1:9" s="15" customFormat="1" x14ac:dyDescent="0.25">
      <c r="A24" s="31">
        <v>23</v>
      </c>
      <c r="B24" s="31" t="s">
        <v>55</v>
      </c>
      <c r="C24" s="31">
        <f>19243.97+890303.39+61201.14+75730.82+81724.42+27616.97+22147.67+25601.14+42293.88+35808.96+27642.12+16454.74+43308.8+30294.61+41796.62</f>
        <v>1441169.25</v>
      </c>
      <c r="D24" s="31"/>
      <c r="E24" s="63">
        <f>C24-D24</f>
        <v>1441169.25</v>
      </c>
    </row>
    <row r="25" spans="1:9" s="15" customFormat="1" x14ac:dyDescent="0.25">
      <c r="A25" s="31">
        <v>24</v>
      </c>
      <c r="B25" s="31" t="s">
        <v>58</v>
      </c>
      <c r="C25" s="31">
        <v>2335523.33</v>
      </c>
      <c r="D25" s="31">
        <v>860175.16</v>
      </c>
      <c r="E25" s="63">
        <v>1475348.17</v>
      </c>
    </row>
    <row r="26" spans="1:9" s="11" customFormat="1" x14ac:dyDescent="0.25">
      <c r="A26" s="30">
        <v>25</v>
      </c>
      <c r="B26" s="30" t="s">
        <v>65</v>
      </c>
      <c r="C26" s="30">
        <f>60928.09+1836125.58+214047.89+120437.88+75783.1+152088.98+89211.3+83284.58</f>
        <v>2631907.4</v>
      </c>
      <c r="D26" s="30">
        <f>659947.16+512306+1386279.72</f>
        <v>2558532.88</v>
      </c>
      <c r="E26" s="63">
        <f>C26-D26</f>
        <v>73374.520000000019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8" sqref="C18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3" customWidth="1"/>
    <col min="6" max="6" width="4.28515625" customWidth="1"/>
    <col min="7" max="8" width="9.140625" hidden="1" customWidth="1"/>
  </cols>
  <sheetData>
    <row r="1" spans="1:5" ht="39" customHeight="1" x14ac:dyDescent="0.25">
      <c r="B1" s="73" t="s">
        <v>50</v>
      </c>
      <c r="C1" s="73"/>
      <c r="D1" s="73"/>
      <c r="E1" s="73"/>
    </row>
    <row r="2" spans="1:5" ht="38.25" customHeight="1" x14ac:dyDescent="0.25">
      <c r="A2" t="s">
        <v>2</v>
      </c>
      <c r="B2" s="1" t="s">
        <v>0</v>
      </c>
      <c r="C2" s="1" t="s">
        <v>44</v>
      </c>
      <c r="D2" s="1" t="s">
        <v>43</v>
      </c>
      <c r="E2" s="3" t="s">
        <v>1</v>
      </c>
    </row>
    <row r="3" spans="1:5" s="11" customFormat="1" x14ac:dyDescent="0.25">
      <c r="A3" s="11">
        <v>1</v>
      </c>
      <c r="B3" s="15" t="s">
        <v>3</v>
      </c>
      <c r="C3" s="14">
        <f>1198405.34+61628.71+55224.6</f>
        <v>1315258.6500000001</v>
      </c>
      <c r="D3" s="14">
        <f>1082751.87+16000</f>
        <v>1098751.8700000001</v>
      </c>
      <c r="E3" s="16">
        <f>C3-D3</f>
        <v>216506.78000000003</v>
      </c>
    </row>
    <row r="4" spans="1:5" s="11" customFormat="1" x14ac:dyDescent="0.25">
      <c r="A4" s="11">
        <f>A3+1</f>
        <v>2</v>
      </c>
      <c r="B4" s="15" t="s">
        <v>4</v>
      </c>
      <c r="C4" s="14">
        <f>D4+E4</f>
        <v>562202.36</v>
      </c>
      <c r="D4" s="14">
        <f>156000+364454</f>
        <v>520454</v>
      </c>
      <c r="E4" s="16">
        <v>41748.36</v>
      </c>
    </row>
    <row r="5" spans="1:5" s="11" customFormat="1" x14ac:dyDescent="0.25">
      <c r="A5" s="11">
        <v>3</v>
      </c>
      <c r="B5" s="15" t="s">
        <v>5</v>
      </c>
      <c r="C5" s="14">
        <f>D5+E5</f>
        <v>1535163.85</v>
      </c>
      <c r="D5" s="14"/>
      <c r="E5" s="16">
        <v>1535163.85</v>
      </c>
    </row>
    <row r="6" spans="1:5" s="11" customFormat="1" x14ac:dyDescent="0.25">
      <c r="A6" s="11">
        <f t="shared" ref="A6" si="0">A5+1</f>
        <v>4</v>
      </c>
      <c r="B6" s="15" t="s">
        <v>6</v>
      </c>
      <c r="C6" s="14">
        <f>D6+E6</f>
        <v>920411.4</v>
      </c>
      <c r="D6" s="14">
        <v>599075</v>
      </c>
      <c r="E6" s="16">
        <v>321336.40000000002</v>
      </c>
    </row>
    <row r="7" spans="1:5" s="11" customFormat="1" x14ac:dyDescent="0.25">
      <c r="A7" s="11">
        <v>5</v>
      </c>
      <c r="B7" s="15" t="s">
        <v>8</v>
      </c>
      <c r="C7" s="14">
        <v>2087988.17</v>
      </c>
      <c r="D7" s="14"/>
      <c r="E7" s="16">
        <f>C7</f>
        <v>2087988.17</v>
      </c>
    </row>
    <row r="8" spans="1:5" s="11" customFormat="1" x14ac:dyDescent="0.25">
      <c r="A8" s="11">
        <f t="shared" ref="A8" si="1">A7+1</f>
        <v>6</v>
      </c>
      <c r="B8" s="15" t="s">
        <v>9</v>
      </c>
      <c r="C8" s="14">
        <v>612820.53</v>
      </c>
      <c r="D8" s="14"/>
      <c r="E8" s="16">
        <f>C8</f>
        <v>612820.53</v>
      </c>
    </row>
    <row r="9" spans="1:5" s="11" customFormat="1" x14ac:dyDescent="0.25">
      <c r="A9" s="11">
        <v>7</v>
      </c>
      <c r="B9" s="15" t="s">
        <v>10</v>
      </c>
      <c r="C9" s="14">
        <v>593580.91</v>
      </c>
      <c r="D9" s="14"/>
      <c r="E9" s="16">
        <f>C9</f>
        <v>593580.91</v>
      </c>
    </row>
    <row r="10" spans="1:5" s="11" customFormat="1" x14ac:dyDescent="0.25">
      <c r="A10" s="11">
        <f t="shared" ref="A10" si="2">A9+1</f>
        <v>8</v>
      </c>
      <c r="B10" s="15" t="s">
        <v>11</v>
      </c>
      <c r="C10" s="14">
        <v>1040068.58</v>
      </c>
      <c r="D10" s="14">
        <v>171327.75</v>
      </c>
      <c r="E10" s="16">
        <f>C10-D10</f>
        <v>868740.83</v>
      </c>
    </row>
    <row r="11" spans="1:5" s="11" customFormat="1" x14ac:dyDescent="0.25">
      <c r="A11" s="11">
        <v>9</v>
      </c>
      <c r="B11" s="15" t="s">
        <v>12</v>
      </c>
      <c r="C11" s="14">
        <v>221694.23</v>
      </c>
      <c r="D11" s="14">
        <v>198500</v>
      </c>
      <c r="E11" s="16">
        <f>C11-D11</f>
        <v>23194.23000000001</v>
      </c>
    </row>
    <row r="12" spans="1:5" s="24" customFormat="1" x14ac:dyDescent="0.25">
      <c r="A12" s="15">
        <f t="shared" ref="A12" si="3">A11+1</f>
        <v>10</v>
      </c>
      <c r="B12" s="15" t="s">
        <v>13</v>
      </c>
      <c r="C12" s="14">
        <f>1148506.86+53518.21+52210.83</f>
        <v>1254235.9000000001</v>
      </c>
      <c r="D12" s="14"/>
      <c r="E12" s="16">
        <f>C12-D12</f>
        <v>1254235.9000000001</v>
      </c>
    </row>
    <row r="13" spans="1:5" s="24" customFormat="1" x14ac:dyDescent="0.25">
      <c r="A13" s="15">
        <v>11</v>
      </c>
      <c r="B13" s="15" t="s">
        <v>14</v>
      </c>
      <c r="C13" s="14">
        <f>999726.98+46893.35+47848.95+61927.75</f>
        <v>1156397.03</v>
      </c>
      <c r="D13" s="14"/>
      <c r="E13" s="16">
        <f>C13-D13</f>
        <v>1156397.03</v>
      </c>
    </row>
    <row r="14" spans="1:5" s="11" customFormat="1" x14ac:dyDescent="0.25">
      <c r="A14" s="11">
        <v>13</v>
      </c>
      <c r="B14" s="15" t="s">
        <v>16</v>
      </c>
      <c r="C14" s="14">
        <f>D14+E14</f>
        <v>907782.18</v>
      </c>
      <c r="D14" s="14"/>
      <c r="E14" s="25">
        <v>907782.18</v>
      </c>
    </row>
    <row r="15" spans="1:5" s="11" customFormat="1" x14ac:dyDescent="0.25">
      <c r="A15" s="11">
        <f>A13+1</f>
        <v>12</v>
      </c>
      <c r="B15" s="15" t="s">
        <v>15</v>
      </c>
      <c r="C15" s="14">
        <v>1092294.6200000001</v>
      </c>
      <c r="D15" s="15"/>
      <c r="E15" s="16">
        <f>C15</f>
        <v>1092294.6200000001</v>
      </c>
    </row>
    <row r="16" spans="1:5" s="11" customFormat="1" x14ac:dyDescent="0.25">
      <c r="A16" s="11">
        <f t="shared" ref="A16" si="4">A14+1</f>
        <v>14</v>
      </c>
      <c r="B16" s="15" t="s">
        <v>23</v>
      </c>
      <c r="C16" s="14">
        <v>340314.92</v>
      </c>
      <c r="D16" s="15"/>
      <c r="E16" s="16">
        <f>C16</f>
        <v>340314.92</v>
      </c>
    </row>
    <row r="17" spans="1:5" s="11" customFormat="1" x14ac:dyDescent="0.25">
      <c r="A17" s="11">
        <v>15</v>
      </c>
      <c r="B17" s="15" t="s">
        <v>18</v>
      </c>
      <c r="C17" s="14">
        <f>1524249.85+157692.15</f>
        <v>1681942</v>
      </c>
      <c r="D17" s="15">
        <v>67321.240000000005</v>
      </c>
      <c r="E17" s="27">
        <f>C17-D17</f>
        <v>1614620.76</v>
      </c>
    </row>
    <row r="18" spans="1:5" s="11" customFormat="1" x14ac:dyDescent="0.25">
      <c r="A18" s="11">
        <f t="shared" ref="A18" si="5">A17+1</f>
        <v>16</v>
      </c>
      <c r="B18" s="15" t="s">
        <v>19</v>
      </c>
      <c r="C18" s="14">
        <f>1218627.87+58309.57</f>
        <v>1276937.4400000002</v>
      </c>
      <c r="D18" s="15">
        <v>409507.67</v>
      </c>
      <c r="E18" s="27">
        <f>C18-D18</f>
        <v>867429.77000000025</v>
      </c>
    </row>
    <row r="19" spans="1:5" s="11" customFormat="1" x14ac:dyDescent="0.25">
      <c r="A19" s="11">
        <v>17</v>
      </c>
      <c r="B19" s="15" t="s">
        <v>34</v>
      </c>
      <c r="C19" s="14">
        <f>882188.3+43832.39</f>
        <v>926020.69000000006</v>
      </c>
      <c r="D19" s="14">
        <v>771700</v>
      </c>
      <c r="E19" s="28">
        <f>C19-D19</f>
        <v>154320.69000000006</v>
      </c>
    </row>
    <row r="20" spans="1:5" s="11" customFormat="1" x14ac:dyDescent="0.25">
      <c r="A20" s="11">
        <f t="shared" ref="A20" si="6">A19+1</f>
        <v>18</v>
      </c>
      <c r="B20" s="15" t="s">
        <v>24</v>
      </c>
      <c r="C20" s="14">
        <f>D20+E20</f>
        <v>404468.01</v>
      </c>
      <c r="D20" s="14"/>
      <c r="E20" s="16">
        <v>404468.01</v>
      </c>
    </row>
    <row r="21" spans="1:5" s="11" customFormat="1" x14ac:dyDescent="0.25">
      <c r="A21" s="11">
        <v>19</v>
      </c>
      <c r="B21" s="15" t="s">
        <v>26</v>
      </c>
      <c r="C21" s="14">
        <v>3668724.89</v>
      </c>
      <c r="D21" s="15">
        <v>688405.61</v>
      </c>
      <c r="E21" s="16">
        <f>C21-D21</f>
        <v>2980319.2800000003</v>
      </c>
    </row>
    <row r="22" spans="1:5" s="11" customFormat="1" x14ac:dyDescent="0.25">
      <c r="A22" s="11">
        <f t="shared" ref="A22" si="7">A21+1</f>
        <v>20</v>
      </c>
      <c r="B22" s="15" t="s">
        <v>27</v>
      </c>
      <c r="C22" s="14">
        <v>594595.37</v>
      </c>
      <c r="D22" s="15"/>
      <c r="E22" s="16">
        <f>C22</f>
        <v>594595.37</v>
      </c>
    </row>
    <row r="23" spans="1:5" s="11" customFormat="1" x14ac:dyDescent="0.25">
      <c r="A23" s="11">
        <v>21</v>
      </c>
      <c r="B23" s="15" t="s">
        <v>28</v>
      </c>
      <c r="C23" s="14">
        <f>461388.92+35108.68</f>
        <v>496497.6</v>
      </c>
      <c r="D23" s="15"/>
      <c r="E23" s="16">
        <f>C23-D23</f>
        <v>496497.6</v>
      </c>
    </row>
    <row r="24" spans="1:5" s="11" customFormat="1" x14ac:dyDescent="0.25">
      <c r="A24" s="11">
        <v>22</v>
      </c>
      <c r="B24" s="15" t="s">
        <v>48</v>
      </c>
      <c r="C24" s="14">
        <f>536037.29-5674.03+30089.15+36989.2+60.53</f>
        <v>597502.14</v>
      </c>
      <c r="D24" s="11">
        <v>200000</v>
      </c>
      <c r="E24" s="26">
        <f>C24-D24</f>
        <v>397502.14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12" sqref="A12:A13"/>
    </sheetView>
  </sheetViews>
  <sheetFormatPr defaultRowHeight="15" x14ac:dyDescent="0.25"/>
  <cols>
    <col min="1" max="1" width="15.85546875" customWidth="1"/>
    <col min="2" max="2" width="36.85546875" customWidth="1"/>
    <col min="3" max="3" width="28.28515625" customWidth="1"/>
    <col min="4" max="4" width="22.140625" customWidth="1"/>
    <col min="5" max="5" width="27.5703125" style="3" customWidth="1"/>
    <col min="6" max="6" width="4.28515625" customWidth="1"/>
    <col min="7" max="8" width="9.140625" hidden="1" customWidth="1"/>
  </cols>
  <sheetData>
    <row r="1" spans="1:5" ht="39" customHeight="1" x14ac:dyDescent="0.25">
      <c r="B1" s="73" t="s">
        <v>49</v>
      </c>
      <c r="C1" s="73"/>
      <c r="D1" s="73"/>
      <c r="E1" s="73"/>
    </row>
    <row r="2" spans="1:5" ht="38.25" customHeight="1" x14ac:dyDescent="0.25">
      <c r="A2" t="s">
        <v>2</v>
      </c>
      <c r="B2" s="1" t="s">
        <v>0</v>
      </c>
      <c r="C2" s="1" t="s">
        <v>44</v>
      </c>
      <c r="D2" s="1" t="s">
        <v>43</v>
      </c>
      <c r="E2" s="3" t="s">
        <v>1</v>
      </c>
    </row>
    <row r="3" spans="1:5" x14ac:dyDescent="0.25">
      <c r="A3">
        <v>1</v>
      </c>
      <c r="B3" s="19" t="s">
        <v>3</v>
      </c>
      <c r="C3" s="18">
        <f>1198405.34+61628.71</f>
        <v>1260034.05</v>
      </c>
      <c r="D3" s="18">
        <f>1082751.87+16000</f>
        <v>1098751.8700000001</v>
      </c>
      <c r="E3" s="20">
        <f>C3-D3</f>
        <v>161282.17999999993</v>
      </c>
    </row>
    <row r="4" spans="1:5" x14ac:dyDescent="0.25">
      <c r="A4">
        <f>A3+1</f>
        <v>2</v>
      </c>
      <c r="B4" s="19" t="s">
        <v>4</v>
      </c>
      <c r="C4" s="14">
        <f>D4+E4</f>
        <v>538512.1</v>
      </c>
      <c r="D4" s="14">
        <v>156000</v>
      </c>
      <c r="E4" s="16">
        <v>382512.1</v>
      </c>
    </row>
    <row r="5" spans="1:5" s="11" customFormat="1" x14ac:dyDescent="0.25">
      <c r="A5" s="11">
        <v>3</v>
      </c>
      <c r="B5" s="15" t="s">
        <v>5</v>
      </c>
      <c r="C5" s="14">
        <f>D5+E5</f>
        <v>1435447.24</v>
      </c>
      <c r="D5" s="14"/>
      <c r="E5" s="16">
        <v>1435447.24</v>
      </c>
    </row>
    <row r="6" spans="1:5" s="11" customFormat="1" x14ac:dyDescent="0.25">
      <c r="A6" s="11">
        <f t="shared" ref="A6" si="0">A5+1</f>
        <v>4</v>
      </c>
      <c r="B6" s="15" t="s">
        <v>6</v>
      </c>
      <c r="C6" s="14">
        <f>D6+E6</f>
        <v>864313.55</v>
      </c>
      <c r="D6" s="14">
        <v>599075</v>
      </c>
      <c r="E6" s="16">
        <v>265238.55</v>
      </c>
    </row>
    <row r="7" spans="1:5" s="11" customFormat="1" x14ac:dyDescent="0.25">
      <c r="A7" s="11">
        <v>5</v>
      </c>
      <c r="B7" s="15" t="s">
        <v>8</v>
      </c>
      <c r="C7" s="14">
        <v>1980777.19</v>
      </c>
      <c r="D7" s="14"/>
      <c r="E7" s="16">
        <f>C7</f>
        <v>1980777.19</v>
      </c>
    </row>
    <row r="8" spans="1:5" s="11" customFormat="1" x14ac:dyDescent="0.25">
      <c r="A8" s="11">
        <f t="shared" ref="A8" si="1">A7+1</f>
        <v>6</v>
      </c>
      <c r="B8" s="15" t="s">
        <v>9</v>
      </c>
      <c r="C8" s="14">
        <v>576729.66</v>
      </c>
      <c r="D8" s="14"/>
      <c r="E8" s="16">
        <f>C8</f>
        <v>576729.66</v>
      </c>
    </row>
    <row r="9" spans="1:5" s="11" customFormat="1" x14ac:dyDescent="0.25">
      <c r="A9" s="11">
        <v>7</v>
      </c>
      <c r="B9" s="15" t="s">
        <v>10</v>
      </c>
      <c r="C9" s="14">
        <v>549792.27</v>
      </c>
      <c r="D9" s="14"/>
      <c r="E9" s="16">
        <f>C9</f>
        <v>549792.27</v>
      </c>
    </row>
    <row r="10" spans="1:5" s="11" customFormat="1" x14ac:dyDescent="0.25">
      <c r="A10" s="11">
        <f t="shared" ref="A10" si="2">A9+1</f>
        <v>8</v>
      </c>
      <c r="B10" s="15" t="s">
        <v>11</v>
      </c>
      <c r="C10" s="14">
        <v>976974.89</v>
      </c>
      <c r="D10" s="14">
        <v>171327.75</v>
      </c>
      <c r="E10" s="16">
        <f>C10-D10</f>
        <v>805647.14</v>
      </c>
    </row>
    <row r="11" spans="1:5" s="11" customFormat="1" x14ac:dyDescent="0.25">
      <c r="A11" s="11">
        <v>9</v>
      </c>
      <c r="B11" s="15" t="s">
        <v>12</v>
      </c>
      <c r="C11" s="14">
        <v>221694.23</v>
      </c>
      <c r="D11" s="14">
        <v>198500</v>
      </c>
      <c r="E11" s="16">
        <f>C11-D11</f>
        <v>23194.23000000001</v>
      </c>
    </row>
    <row r="12" spans="1:5" s="24" customFormat="1" x14ac:dyDescent="0.25">
      <c r="A12" s="15">
        <f t="shared" ref="A12" si="3">A11+1</f>
        <v>10</v>
      </c>
      <c r="B12" s="15" t="s">
        <v>13</v>
      </c>
      <c r="C12" s="14">
        <f>1148506.86+53518.21</f>
        <v>1202025.07</v>
      </c>
      <c r="D12" s="14"/>
      <c r="E12" s="16">
        <f>C12-D12</f>
        <v>1202025.07</v>
      </c>
    </row>
    <row r="13" spans="1:5" s="24" customFormat="1" x14ac:dyDescent="0.25">
      <c r="A13" s="15">
        <v>11</v>
      </c>
      <c r="B13" s="15" t="s">
        <v>14</v>
      </c>
      <c r="C13" s="14">
        <f>999726.98+46893.35+47848.95</f>
        <v>1094469.28</v>
      </c>
      <c r="D13" s="14"/>
      <c r="E13" s="16">
        <f>C13-D13</f>
        <v>1094469.28</v>
      </c>
    </row>
    <row r="14" spans="1:5" s="11" customFormat="1" x14ac:dyDescent="0.25">
      <c r="A14" s="11">
        <v>13</v>
      </c>
      <c r="B14" s="15" t="s">
        <v>16</v>
      </c>
      <c r="C14" s="14">
        <f>D14+E14</f>
        <v>876498.34</v>
      </c>
      <c r="D14" s="14"/>
      <c r="E14" s="25">
        <v>876498.34</v>
      </c>
    </row>
    <row r="15" spans="1:5" x14ac:dyDescent="0.25">
      <c r="A15">
        <f>A13+1</f>
        <v>12</v>
      </c>
      <c r="B15" s="19" t="s">
        <v>15</v>
      </c>
      <c r="C15" s="18">
        <v>1038622.59</v>
      </c>
      <c r="D15" s="19"/>
      <c r="E15" s="20">
        <f>C15</f>
        <v>1038622.59</v>
      </c>
    </row>
    <row r="16" spans="1:5" x14ac:dyDescent="0.25">
      <c r="A16">
        <f t="shared" ref="A16" si="4">A14+1</f>
        <v>14</v>
      </c>
      <c r="B16" s="19" t="s">
        <v>23</v>
      </c>
      <c r="C16" s="18">
        <v>318316.36</v>
      </c>
      <c r="D16" s="19"/>
      <c r="E16" s="20">
        <f>C16</f>
        <v>318316.36</v>
      </c>
    </row>
    <row r="17" spans="1:5" x14ac:dyDescent="0.25">
      <c r="A17">
        <v>15</v>
      </c>
      <c r="B17" s="19" t="s">
        <v>18</v>
      </c>
      <c r="C17" s="18">
        <v>1524249.85</v>
      </c>
      <c r="D17" s="19">
        <v>67321.240000000005</v>
      </c>
      <c r="E17" s="21">
        <f>C17-D17</f>
        <v>1456928.61</v>
      </c>
    </row>
    <row r="18" spans="1:5" x14ac:dyDescent="0.25">
      <c r="A18">
        <f t="shared" ref="A18" si="5">A17+1</f>
        <v>16</v>
      </c>
      <c r="B18" s="19" t="s">
        <v>19</v>
      </c>
      <c r="C18" s="18">
        <v>1218627.8700000001</v>
      </c>
      <c r="D18" s="19">
        <v>409507.67</v>
      </c>
      <c r="E18" s="21">
        <f>C18-D18</f>
        <v>809120.20000000019</v>
      </c>
    </row>
    <row r="19" spans="1:5" x14ac:dyDescent="0.25">
      <c r="A19">
        <v>17</v>
      </c>
      <c r="B19" s="19" t="s">
        <v>34</v>
      </c>
      <c r="C19" s="18">
        <v>882188.3</v>
      </c>
      <c r="D19" s="18">
        <v>771700</v>
      </c>
      <c r="E19" s="22">
        <f>C19-D19</f>
        <v>110488.30000000005</v>
      </c>
    </row>
    <row r="20" spans="1:5" s="11" customFormat="1" x14ac:dyDescent="0.25">
      <c r="A20" s="11">
        <f t="shared" ref="A20" si="6">A19+1</f>
        <v>18</v>
      </c>
      <c r="B20" s="15" t="s">
        <v>24</v>
      </c>
      <c r="C20" s="14">
        <f>D20+E20</f>
        <v>379967.96</v>
      </c>
      <c r="D20" s="14"/>
      <c r="E20" s="16">
        <v>379967.96</v>
      </c>
    </row>
    <row r="21" spans="1:5" x14ac:dyDescent="0.25">
      <c r="A21">
        <v>19</v>
      </c>
      <c r="B21" s="19" t="s">
        <v>26</v>
      </c>
      <c r="C21" s="18">
        <v>3478465.33</v>
      </c>
      <c r="D21" s="19">
        <v>688405.61</v>
      </c>
      <c r="E21" s="20">
        <f>C21-D21</f>
        <v>2790059.72</v>
      </c>
    </row>
    <row r="22" spans="1:5" x14ac:dyDescent="0.25">
      <c r="A22">
        <f t="shared" ref="A22" si="7">A21+1</f>
        <v>20</v>
      </c>
      <c r="B22" s="19" t="s">
        <v>27</v>
      </c>
      <c r="C22" s="18">
        <v>476495.2</v>
      </c>
      <c r="D22" s="19"/>
      <c r="E22" s="20">
        <f>C22</f>
        <v>476495.2</v>
      </c>
    </row>
    <row r="23" spans="1:5" x14ac:dyDescent="0.25">
      <c r="A23">
        <v>21</v>
      </c>
      <c r="B23" s="19" t="s">
        <v>28</v>
      </c>
      <c r="C23" s="18">
        <v>461388.92</v>
      </c>
      <c r="D23" s="19"/>
      <c r="E23" s="20">
        <f>C23-D23</f>
        <v>461388.92</v>
      </c>
    </row>
    <row r="24" spans="1:5" x14ac:dyDescent="0.25">
      <c r="A24">
        <v>22</v>
      </c>
      <c r="B24" s="19" t="s">
        <v>48</v>
      </c>
      <c r="C24" s="18">
        <f>536037.29-5674.03+30089.15</f>
        <v>560452.41</v>
      </c>
      <c r="D24">
        <v>200000</v>
      </c>
      <c r="E24" s="3">
        <f>C24-D24</f>
        <v>360452.41000000003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9" sqref="C19"/>
    </sheetView>
  </sheetViews>
  <sheetFormatPr defaultRowHeight="15" x14ac:dyDescent="0.25"/>
  <cols>
    <col min="1" max="1" width="15.85546875" customWidth="1"/>
    <col min="2" max="2" width="36.85546875" customWidth="1"/>
    <col min="3" max="3" width="28.28515625" customWidth="1"/>
    <col min="4" max="4" width="22.140625" customWidth="1"/>
    <col min="5" max="5" width="27.5703125" style="3" customWidth="1"/>
    <col min="6" max="6" width="4.28515625" customWidth="1"/>
    <col min="7" max="8" width="9.140625" hidden="1" customWidth="1"/>
  </cols>
  <sheetData>
    <row r="1" spans="1:5" ht="39" customHeight="1" x14ac:dyDescent="0.25">
      <c r="B1" s="73" t="s">
        <v>47</v>
      </c>
      <c r="C1" s="73"/>
      <c r="D1" s="73"/>
      <c r="E1" s="73"/>
    </row>
    <row r="2" spans="1:5" ht="38.25" customHeight="1" x14ac:dyDescent="0.25">
      <c r="A2" t="s">
        <v>2</v>
      </c>
      <c r="B2" s="1" t="s">
        <v>0</v>
      </c>
      <c r="C2" s="1" t="s">
        <v>44</v>
      </c>
      <c r="D2" s="1" t="s">
        <v>43</v>
      </c>
      <c r="E2" s="3" t="s">
        <v>1</v>
      </c>
    </row>
    <row r="3" spans="1:5" x14ac:dyDescent="0.25">
      <c r="A3">
        <v>1</v>
      </c>
      <c r="B3" s="19" t="s">
        <v>3</v>
      </c>
      <c r="C3" s="18">
        <v>1198405.3400000001</v>
      </c>
      <c r="D3" s="18">
        <v>1082751.8700000001</v>
      </c>
      <c r="E3" s="20">
        <f>C3-D3</f>
        <v>115653.46999999997</v>
      </c>
    </row>
    <row r="4" spans="1:5" x14ac:dyDescent="0.25">
      <c r="A4">
        <f>A3+1</f>
        <v>2</v>
      </c>
      <c r="B4" s="19" t="s">
        <v>4</v>
      </c>
      <c r="C4" s="14">
        <v>531333.75</v>
      </c>
      <c r="D4" s="14">
        <v>156000</v>
      </c>
      <c r="E4" s="16">
        <f>C4-D4</f>
        <v>375333.75</v>
      </c>
    </row>
    <row r="5" spans="1:5" s="11" customFormat="1" x14ac:dyDescent="0.25">
      <c r="A5" s="11">
        <v>3</v>
      </c>
      <c r="B5" s="15" t="s">
        <v>5</v>
      </c>
      <c r="C5" s="14">
        <v>1385001.71</v>
      </c>
      <c r="D5" s="14"/>
      <c r="E5" s="16">
        <f>C5-D5</f>
        <v>1385001.71</v>
      </c>
    </row>
    <row r="6" spans="1:5" s="11" customFormat="1" x14ac:dyDescent="0.25">
      <c r="A6" s="11">
        <f t="shared" ref="A6" si="0">A5+1</f>
        <v>4</v>
      </c>
      <c r="B6" s="15" t="s">
        <v>6</v>
      </c>
      <c r="C6" s="14">
        <f>D6+E6</f>
        <v>827958.94</v>
      </c>
      <c r="D6" s="14">
        <v>599075</v>
      </c>
      <c r="E6" s="16">
        <v>228883.94</v>
      </c>
    </row>
    <row r="7" spans="1:5" s="11" customFormat="1" x14ac:dyDescent="0.25">
      <c r="A7" s="11">
        <v>5</v>
      </c>
      <c r="B7" s="15" t="s">
        <v>8</v>
      </c>
      <c r="C7" s="14">
        <v>1885341.07</v>
      </c>
      <c r="D7" s="14"/>
      <c r="E7" s="16">
        <f>C7</f>
        <v>1885341.07</v>
      </c>
    </row>
    <row r="8" spans="1:5" s="11" customFormat="1" x14ac:dyDescent="0.25">
      <c r="A8" s="11">
        <f t="shared" ref="A8" si="1">A7+1</f>
        <v>6</v>
      </c>
      <c r="B8" s="15" t="s">
        <v>9</v>
      </c>
      <c r="C8" s="14">
        <v>548601.06999999995</v>
      </c>
      <c r="D8" s="14"/>
      <c r="E8" s="16">
        <f>C8</f>
        <v>548601.06999999995</v>
      </c>
    </row>
    <row r="9" spans="1:5" s="11" customFormat="1" x14ac:dyDescent="0.25">
      <c r="A9" s="11">
        <v>7</v>
      </c>
      <c r="B9" s="15" t="s">
        <v>10</v>
      </c>
      <c r="C9" s="14">
        <v>519646.33</v>
      </c>
      <c r="D9" s="14"/>
      <c r="E9" s="16">
        <f>C9</f>
        <v>519646.33</v>
      </c>
    </row>
    <row r="10" spans="1:5" s="11" customFormat="1" x14ac:dyDescent="0.25">
      <c r="A10" s="11">
        <f t="shared" ref="A10" si="2">A9+1</f>
        <v>8</v>
      </c>
      <c r="B10" s="15" t="s">
        <v>11</v>
      </c>
      <c r="C10" s="14">
        <v>924317.41</v>
      </c>
      <c r="D10" s="14">
        <v>171327.75</v>
      </c>
      <c r="E10" s="16">
        <f>C10-D10</f>
        <v>752989.66</v>
      </c>
    </row>
    <row r="11" spans="1:5" s="11" customFormat="1" x14ac:dyDescent="0.25">
      <c r="A11" s="11">
        <v>9</v>
      </c>
      <c r="B11" s="15" t="s">
        <v>12</v>
      </c>
      <c r="C11" s="14">
        <v>205983.11</v>
      </c>
      <c r="D11" s="14">
        <v>198500</v>
      </c>
      <c r="E11" s="16">
        <f>C11-D11</f>
        <v>7483.109999999986</v>
      </c>
    </row>
    <row r="12" spans="1:5" s="24" customFormat="1" x14ac:dyDescent="0.25">
      <c r="A12" s="24">
        <f t="shared" ref="A12" si="3">A11+1</f>
        <v>10</v>
      </c>
      <c r="B12" s="15" t="s">
        <v>13</v>
      </c>
      <c r="C12" s="14">
        <v>1148506.8600000001</v>
      </c>
      <c r="D12" s="14"/>
      <c r="E12" s="16">
        <f>C12-D12</f>
        <v>1148506.8600000001</v>
      </c>
    </row>
    <row r="13" spans="1:5" s="24" customFormat="1" x14ac:dyDescent="0.25">
      <c r="A13" s="24">
        <v>11</v>
      </c>
      <c r="B13" s="15" t="s">
        <v>14</v>
      </c>
      <c r="C13" s="14">
        <f>999726.98+46893.35</f>
        <v>1046620.33</v>
      </c>
      <c r="D13" s="14"/>
      <c r="E13" s="16">
        <f>C13-D13</f>
        <v>1046620.33</v>
      </c>
    </row>
    <row r="14" spans="1:5" s="11" customFormat="1" x14ac:dyDescent="0.25">
      <c r="A14" s="11">
        <v>13</v>
      </c>
      <c r="B14" s="15" t="s">
        <v>16</v>
      </c>
      <c r="C14" s="14">
        <f>D14+E14</f>
        <v>829370.18</v>
      </c>
      <c r="D14" s="15"/>
      <c r="E14" s="16">
        <v>829370.18</v>
      </c>
    </row>
    <row r="15" spans="1:5" x14ac:dyDescent="0.25">
      <c r="A15">
        <f>A13+1</f>
        <v>12</v>
      </c>
      <c r="B15" s="19" t="s">
        <v>15</v>
      </c>
      <c r="C15" s="18">
        <v>992234.68</v>
      </c>
      <c r="D15" s="19"/>
      <c r="E15" s="20">
        <f>C15</f>
        <v>992234.68</v>
      </c>
    </row>
    <row r="16" spans="1:5" x14ac:dyDescent="0.25">
      <c r="A16">
        <f t="shared" ref="A16" si="4">A14+1</f>
        <v>14</v>
      </c>
      <c r="B16" s="19" t="s">
        <v>23</v>
      </c>
      <c r="C16" s="18">
        <v>296784.05</v>
      </c>
      <c r="D16" s="19"/>
      <c r="E16" s="20">
        <f>C16</f>
        <v>296784.05</v>
      </c>
    </row>
    <row r="17" spans="1:5" x14ac:dyDescent="0.25">
      <c r="A17">
        <v>15</v>
      </c>
      <c r="B17" s="19" t="s">
        <v>18</v>
      </c>
      <c r="C17" s="18">
        <v>1371554.88</v>
      </c>
      <c r="D17" s="19">
        <v>67321.240000000005</v>
      </c>
      <c r="E17" s="21">
        <f>C17-D17</f>
        <v>1304233.6399999999</v>
      </c>
    </row>
    <row r="18" spans="1:5" x14ac:dyDescent="0.25">
      <c r="A18">
        <f t="shared" ref="A18" si="5">A17+1</f>
        <v>16</v>
      </c>
      <c r="B18" s="19" t="s">
        <v>19</v>
      </c>
      <c r="C18" s="18">
        <v>1162286.3999999999</v>
      </c>
      <c r="D18" s="19">
        <v>409507.67</v>
      </c>
      <c r="E18" s="21">
        <f>C18-D18</f>
        <v>752778.73</v>
      </c>
    </row>
    <row r="19" spans="1:5" x14ac:dyDescent="0.25">
      <c r="A19">
        <v>17</v>
      </c>
      <c r="B19" s="19" t="s">
        <v>34</v>
      </c>
      <c r="C19" s="18">
        <v>840682.78</v>
      </c>
      <c r="D19" s="18">
        <v>771700</v>
      </c>
      <c r="E19" s="22">
        <f>C19-D19</f>
        <v>68982.780000000028</v>
      </c>
    </row>
    <row r="20" spans="1:5" s="11" customFormat="1" x14ac:dyDescent="0.25">
      <c r="A20" s="11">
        <f t="shared" ref="A20" si="6">A19+1</f>
        <v>18</v>
      </c>
      <c r="B20" s="15" t="s">
        <v>24</v>
      </c>
      <c r="C20" s="14">
        <v>355538.73</v>
      </c>
      <c r="D20" s="14"/>
      <c r="E20" s="16">
        <f>C20-D20</f>
        <v>355538.73</v>
      </c>
    </row>
    <row r="21" spans="1:5" x14ac:dyDescent="0.25">
      <c r="A21">
        <v>19</v>
      </c>
      <c r="B21" s="19" t="s">
        <v>26</v>
      </c>
      <c r="C21" s="18">
        <v>3275265.15</v>
      </c>
      <c r="D21" s="19">
        <v>688405.61</v>
      </c>
      <c r="E21" s="20">
        <f>C21-D21</f>
        <v>2586859.54</v>
      </c>
    </row>
    <row r="22" spans="1:5" x14ac:dyDescent="0.25">
      <c r="A22">
        <f t="shared" ref="A22" si="7">A21+1</f>
        <v>20</v>
      </c>
      <c r="B22" s="19" t="s">
        <v>27</v>
      </c>
      <c r="C22" s="18">
        <v>444436.47999999998</v>
      </c>
      <c r="D22" s="19"/>
      <c r="E22" s="20">
        <f>C22</f>
        <v>444436.47999999998</v>
      </c>
    </row>
    <row r="23" spans="1:5" x14ac:dyDescent="0.25">
      <c r="A23">
        <v>21</v>
      </c>
      <c r="B23" s="19" t="s">
        <v>28</v>
      </c>
      <c r="C23" s="18">
        <v>424338.27</v>
      </c>
      <c r="D23" s="19"/>
      <c r="E23" s="20">
        <f>C23-D23</f>
        <v>424338.27</v>
      </c>
    </row>
    <row r="24" spans="1:5" x14ac:dyDescent="0.25">
      <c r="A24">
        <v>22</v>
      </c>
      <c r="B24" s="19" t="s">
        <v>48</v>
      </c>
      <c r="C24" s="18">
        <f>536037.29-5674.03</f>
        <v>530363.26</v>
      </c>
      <c r="D24">
        <v>200000</v>
      </c>
      <c r="E24" s="3">
        <f>C24-D24</f>
        <v>330363.26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16" sqref="C16"/>
    </sheetView>
  </sheetViews>
  <sheetFormatPr defaultRowHeight="15" x14ac:dyDescent="0.25"/>
  <cols>
    <col min="1" max="1" width="15.85546875" customWidth="1"/>
    <col min="2" max="2" width="36.85546875" customWidth="1"/>
    <col min="3" max="3" width="28.28515625" customWidth="1"/>
    <col min="4" max="4" width="22.140625" customWidth="1"/>
    <col min="5" max="5" width="27.5703125" style="3" customWidth="1"/>
    <col min="6" max="6" width="4.28515625" customWidth="1"/>
    <col min="7" max="8" width="9.140625" hidden="1" customWidth="1"/>
  </cols>
  <sheetData>
    <row r="1" spans="1:5" ht="39" customHeight="1" x14ac:dyDescent="0.25">
      <c r="B1" s="73" t="s">
        <v>46</v>
      </c>
      <c r="C1" s="73"/>
      <c r="D1" s="73"/>
      <c r="E1" s="73"/>
    </row>
    <row r="2" spans="1:5" ht="38.25" customHeight="1" x14ac:dyDescent="0.25">
      <c r="A2" t="s">
        <v>2</v>
      </c>
      <c r="B2" s="1" t="s">
        <v>0</v>
      </c>
      <c r="C2" s="1" t="s">
        <v>44</v>
      </c>
      <c r="D2" s="1" t="s">
        <v>43</v>
      </c>
      <c r="E2" s="3" t="s">
        <v>1</v>
      </c>
    </row>
    <row r="3" spans="1:5" x14ac:dyDescent="0.25">
      <c r="A3">
        <v>1</v>
      </c>
      <c r="B3" t="s">
        <v>3</v>
      </c>
      <c r="C3" s="2">
        <f>355000+730000+13071.77+16000+23126.31+20187.65</f>
        <v>1157385.73</v>
      </c>
      <c r="D3">
        <f>355000+730000</f>
        <v>1085000</v>
      </c>
      <c r="E3" s="4">
        <f>C3-D3</f>
        <v>72385.729999999981</v>
      </c>
    </row>
    <row r="4" spans="1:5" s="11" customFormat="1" x14ac:dyDescent="0.25">
      <c r="A4" s="11">
        <f>A3+1</f>
        <v>2</v>
      </c>
      <c r="B4" s="11" t="s">
        <v>4</v>
      </c>
      <c r="C4" s="11">
        <v>485092.84</v>
      </c>
      <c r="E4" s="23">
        <f>C4-D4</f>
        <v>485092.84</v>
      </c>
    </row>
    <row r="5" spans="1:5" s="11" customFormat="1" x14ac:dyDescent="0.25">
      <c r="A5" s="11">
        <v>3</v>
      </c>
      <c r="B5" s="11" t="s">
        <v>5</v>
      </c>
      <c r="C5" s="11">
        <v>1246491.1599999999</v>
      </c>
      <c r="E5" s="23">
        <f>C5-D5</f>
        <v>1246491.1599999999</v>
      </c>
    </row>
    <row r="6" spans="1:5" s="11" customFormat="1" x14ac:dyDescent="0.25">
      <c r="A6" s="11">
        <f t="shared" ref="A6" si="0">A5+1</f>
        <v>4</v>
      </c>
      <c r="B6" s="11" t="s">
        <v>6</v>
      </c>
      <c r="C6" s="12">
        <f>D6+E6</f>
        <v>786876.4</v>
      </c>
      <c r="D6" s="12">
        <v>599075</v>
      </c>
      <c r="E6" s="13">
        <v>187801.4</v>
      </c>
    </row>
    <row r="7" spans="1:5" s="11" customFormat="1" x14ac:dyDescent="0.25">
      <c r="A7" s="11">
        <v>5</v>
      </c>
      <c r="B7" s="11" t="s">
        <v>8</v>
      </c>
      <c r="C7" s="12">
        <v>1792208.57</v>
      </c>
      <c r="E7" s="13">
        <f>C7</f>
        <v>1792208.57</v>
      </c>
    </row>
    <row r="8" spans="1:5" s="11" customFormat="1" x14ac:dyDescent="0.25">
      <c r="A8" s="11">
        <f t="shared" ref="A8" si="1">A7+1</f>
        <v>6</v>
      </c>
      <c r="B8" s="11" t="s">
        <v>9</v>
      </c>
      <c r="C8" s="12">
        <v>528011.54</v>
      </c>
      <c r="E8" s="13">
        <f>C8</f>
        <v>528011.54</v>
      </c>
    </row>
    <row r="9" spans="1:5" s="11" customFormat="1" x14ac:dyDescent="0.25">
      <c r="A9" s="11">
        <v>7</v>
      </c>
      <c r="B9" s="11" t="s">
        <v>10</v>
      </c>
      <c r="C9" s="12">
        <v>487917.42</v>
      </c>
      <c r="E9" s="13">
        <f>C9</f>
        <v>487917.42</v>
      </c>
    </row>
    <row r="10" spans="1:5" s="11" customFormat="1" x14ac:dyDescent="0.25">
      <c r="A10" s="11">
        <f t="shared" ref="A10" si="2">A9+1</f>
        <v>8</v>
      </c>
      <c r="B10" s="11" t="s">
        <v>11</v>
      </c>
      <c r="C10" s="12">
        <v>870918.45</v>
      </c>
      <c r="D10" s="11">
        <v>171327.75</v>
      </c>
      <c r="E10" s="13">
        <f>C10-D10</f>
        <v>699590.7</v>
      </c>
    </row>
    <row r="11" spans="1:5" s="11" customFormat="1" x14ac:dyDescent="0.25">
      <c r="A11" s="11">
        <v>9</v>
      </c>
      <c r="B11" s="11" t="s">
        <v>12</v>
      </c>
      <c r="C11" s="14">
        <v>192882.78</v>
      </c>
      <c r="D11" s="15">
        <v>170500</v>
      </c>
      <c r="E11" s="16">
        <f>C11-D11</f>
        <v>22382.78</v>
      </c>
    </row>
    <row r="12" spans="1:5" s="11" customFormat="1" x14ac:dyDescent="0.25">
      <c r="A12" s="11">
        <f t="shared" ref="A12" si="3">A11+1</f>
        <v>10</v>
      </c>
      <c r="B12" s="11" t="s">
        <v>13</v>
      </c>
      <c r="C12" s="14">
        <f>D12+E12+54103.44</f>
        <v>1095190.8899999999</v>
      </c>
      <c r="D12" s="15"/>
      <c r="E12" s="17">
        <v>1041087.45</v>
      </c>
    </row>
    <row r="13" spans="1:5" s="11" customFormat="1" x14ac:dyDescent="0.25">
      <c r="A13" s="11">
        <v>11</v>
      </c>
      <c r="B13" s="11" t="s">
        <v>14</v>
      </c>
      <c r="C13" s="14">
        <v>999726.98</v>
      </c>
      <c r="D13" s="15"/>
      <c r="E13" s="16">
        <f>C13-D13</f>
        <v>999726.98</v>
      </c>
    </row>
    <row r="14" spans="1:5" s="11" customFormat="1" x14ac:dyDescent="0.25">
      <c r="A14" s="11">
        <v>13</v>
      </c>
      <c r="B14" s="11" t="s">
        <v>16</v>
      </c>
      <c r="C14" s="14">
        <v>789898.72</v>
      </c>
      <c r="D14" s="15"/>
      <c r="E14" s="16">
        <f>C14-D14</f>
        <v>789898.72</v>
      </c>
    </row>
    <row r="15" spans="1:5" x14ac:dyDescent="0.25">
      <c r="A15">
        <f>A13+1</f>
        <v>12</v>
      </c>
      <c r="B15" t="s">
        <v>15</v>
      </c>
      <c r="C15" s="18">
        <v>946821.97</v>
      </c>
      <c r="D15" s="19"/>
      <c r="E15" s="20">
        <f>C15</f>
        <v>946821.97</v>
      </c>
    </row>
    <row r="16" spans="1:5" x14ac:dyDescent="0.25">
      <c r="A16">
        <f t="shared" ref="A16" si="4">A14+1</f>
        <v>14</v>
      </c>
      <c r="B16" t="s">
        <v>23</v>
      </c>
      <c r="C16" s="18">
        <v>272395.5</v>
      </c>
      <c r="D16" s="19"/>
      <c r="E16" s="20">
        <f>C16</f>
        <v>272395.5</v>
      </c>
    </row>
    <row r="17" spans="1:5" x14ac:dyDescent="0.25">
      <c r="A17">
        <v>15</v>
      </c>
      <c r="B17" t="s">
        <v>18</v>
      </c>
      <c r="C17" s="18">
        <v>1152034.1299999999</v>
      </c>
      <c r="D17" s="19"/>
      <c r="E17" s="21">
        <f>C17-D17</f>
        <v>1152034.1299999999</v>
      </c>
    </row>
    <row r="18" spans="1:5" x14ac:dyDescent="0.25">
      <c r="A18">
        <f t="shared" ref="A18" si="5">A17+1</f>
        <v>16</v>
      </c>
      <c r="B18" t="s">
        <v>19</v>
      </c>
      <c r="C18" s="18">
        <v>1049429.72</v>
      </c>
      <c r="D18" s="19"/>
      <c r="E18" s="21">
        <f>C18-D18</f>
        <v>1049429.72</v>
      </c>
    </row>
    <row r="19" spans="1:5" x14ac:dyDescent="0.25">
      <c r="A19">
        <v>17</v>
      </c>
      <c r="B19" t="s">
        <v>34</v>
      </c>
      <c r="C19" s="18">
        <f>E19+D19</f>
        <v>768075.76</v>
      </c>
      <c r="D19" s="19">
        <v>98700</v>
      </c>
      <c r="E19" s="22">
        <v>669375.76</v>
      </c>
    </row>
    <row r="20" spans="1:5" s="11" customFormat="1" x14ac:dyDescent="0.25">
      <c r="A20" s="11">
        <f t="shared" ref="A20" si="6">A19+1</f>
        <v>18</v>
      </c>
      <c r="B20" s="11" t="s">
        <v>24</v>
      </c>
      <c r="C20" s="14">
        <v>333618.08</v>
      </c>
      <c r="D20" s="15"/>
      <c r="E20" s="16">
        <f>C20-D20</f>
        <v>333618.08</v>
      </c>
    </row>
    <row r="21" spans="1:5" x14ac:dyDescent="0.25">
      <c r="A21">
        <v>19</v>
      </c>
      <c r="B21" t="s">
        <v>26</v>
      </c>
      <c r="C21" s="18">
        <v>3078461.91</v>
      </c>
      <c r="D21" s="19">
        <v>688405.61</v>
      </c>
      <c r="E21" s="20">
        <f>C21-D21</f>
        <v>2390056.3000000003</v>
      </c>
    </row>
    <row r="22" spans="1:5" x14ac:dyDescent="0.25">
      <c r="A22">
        <f t="shared" ref="A22" si="7">A21+1</f>
        <v>20</v>
      </c>
      <c r="B22" t="s">
        <v>27</v>
      </c>
      <c r="C22" s="18">
        <v>403444.19</v>
      </c>
      <c r="D22" s="19"/>
      <c r="E22" s="20">
        <f>C22</f>
        <v>403444.19</v>
      </c>
    </row>
    <row r="23" spans="1:5" x14ac:dyDescent="0.25">
      <c r="A23">
        <v>21</v>
      </c>
      <c r="B23" t="s">
        <v>28</v>
      </c>
      <c r="C23" s="18">
        <v>387435.75</v>
      </c>
      <c r="D23" s="19"/>
      <c r="E23" s="20">
        <f>C23-D23</f>
        <v>387435.75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6" sqref="D6"/>
    </sheetView>
  </sheetViews>
  <sheetFormatPr defaultRowHeight="15" x14ac:dyDescent="0.25"/>
  <cols>
    <col min="1" max="1" width="15.85546875" customWidth="1"/>
    <col min="2" max="2" width="36.85546875" customWidth="1"/>
    <col min="3" max="3" width="28.28515625" customWidth="1"/>
    <col min="4" max="4" width="22.140625" customWidth="1"/>
    <col min="5" max="5" width="27.5703125" style="3" customWidth="1"/>
    <col min="6" max="6" width="4.28515625" customWidth="1"/>
    <col min="7" max="8" width="9.140625" hidden="1" customWidth="1"/>
  </cols>
  <sheetData>
    <row r="1" spans="1:5" ht="39" customHeight="1" x14ac:dyDescent="0.25">
      <c r="B1" s="73" t="s">
        <v>45</v>
      </c>
      <c r="C1" s="73"/>
      <c r="D1" s="73"/>
      <c r="E1" s="73"/>
    </row>
    <row r="2" spans="1:5" ht="38.25" customHeight="1" x14ac:dyDescent="0.25">
      <c r="A2" t="s">
        <v>2</v>
      </c>
      <c r="B2" s="1" t="s">
        <v>0</v>
      </c>
      <c r="C2" s="1" t="s">
        <v>44</v>
      </c>
      <c r="D2" s="1" t="s">
        <v>43</v>
      </c>
      <c r="E2" s="3" t="s">
        <v>1</v>
      </c>
    </row>
    <row r="3" spans="1:5" x14ac:dyDescent="0.25">
      <c r="A3">
        <v>1</v>
      </c>
      <c r="B3" t="s">
        <v>3</v>
      </c>
      <c r="C3" s="2">
        <f>355000+730000+13071.77</f>
        <v>1098071.77</v>
      </c>
      <c r="D3">
        <f>355000+730000</f>
        <v>1085000</v>
      </c>
      <c r="E3" s="4">
        <f>C3-D3</f>
        <v>13071.770000000019</v>
      </c>
    </row>
    <row r="4" spans="1:5" x14ac:dyDescent="0.25">
      <c r="A4">
        <f>A3+1</f>
        <v>2</v>
      </c>
      <c r="B4" t="s">
        <v>4</v>
      </c>
      <c r="C4" s="2">
        <f t="shared" ref="C4:C13" si="0">D4+E4</f>
        <v>461057.60000000003</v>
      </c>
      <c r="E4" s="4">
        <f>438836.03+22221.57</f>
        <v>461057.60000000003</v>
      </c>
    </row>
    <row r="5" spans="1:5" x14ac:dyDescent="0.25">
      <c r="A5">
        <v>3</v>
      </c>
      <c r="B5" t="s">
        <v>5</v>
      </c>
      <c r="C5" s="2">
        <f>D5+E5</f>
        <v>1177101.6200000001</v>
      </c>
      <c r="E5" s="4">
        <v>1177101.6200000001</v>
      </c>
    </row>
    <row r="6" spans="1:5" x14ac:dyDescent="0.25">
      <c r="A6">
        <f t="shared" ref="A6" si="1">A5+1</f>
        <v>4</v>
      </c>
      <c r="B6" t="s">
        <v>6</v>
      </c>
      <c r="C6" s="2">
        <f>D6+E6</f>
        <v>743994.3</v>
      </c>
      <c r="D6" s="2">
        <f>298800+300275</f>
        <v>599075</v>
      </c>
      <c r="E6" s="4">
        <v>144919.29999999999</v>
      </c>
    </row>
    <row r="7" spans="1:5" x14ac:dyDescent="0.25">
      <c r="A7">
        <v>5</v>
      </c>
      <c r="B7" t="s">
        <v>8</v>
      </c>
      <c r="C7" s="2">
        <v>1694233.48</v>
      </c>
      <c r="E7" s="3">
        <v>1694233.48</v>
      </c>
    </row>
    <row r="8" spans="1:5" x14ac:dyDescent="0.25">
      <c r="A8">
        <f t="shared" ref="A8" si="2">A7+1</f>
        <v>6</v>
      </c>
      <c r="B8" t="s">
        <v>9</v>
      </c>
      <c r="C8" s="2">
        <v>500268.49</v>
      </c>
      <c r="E8" s="4">
        <v>500268.49</v>
      </c>
    </row>
    <row r="9" spans="1:5" x14ac:dyDescent="0.25">
      <c r="A9">
        <v>7</v>
      </c>
      <c r="B9" t="s">
        <v>10</v>
      </c>
      <c r="C9" s="2">
        <v>455659.14</v>
      </c>
      <c r="E9" s="3">
        <v>455659.14</v>
      </c>
    </row>
    <row r="10" spans="1:5" x14ac:dyDescent="0.25">
      <c r="A10">
        <f t="shared" ref="A10" si="3">A9+1</f>
        <v>8</v>
      </c>
      <c r="B10" t="s">
        <v>11</v>
      </c>
      <c r="C10" s="2">
        <v>823244.59</v>
      </c>
      <c r="D10">
        <v>171327.75</v>
      </c>
      <c r="E10" s="4">
        <f>C10-D10</f>
        <v>651916.84</v>
      </c>
    </row>
    <row r="11" spans="1:5" x14ac:dyDescent="0.25">
      <c r="A11">
        <v>9</v>
      </c>
      <c r="B11" t="s">
        <v>12</v>
      </c>
      <c r="C11" s="2">
        <v>182192.13</v>
      </c>
      <c r="D11">
        <v>170500</v>
      </c>
      <c r="E11" s="4">
        <f>C11-D11</f>
        <v>11692.130000000005</v>
      </c>
    </row>
    <row r="12" spans="1:5" x14ac:dyDescent="0.25">
      <c r="A12">
        <f t="shared" ref="A12" si="4">A11+1</f>
        <v>10</v>
      </c>
      <c r="B12" t="s">
        <v>13</v>
      </c>
      <c r="C12" s="2">
        <f>D12+E12</f>
        <v>986984.01</v>
      </c>
      <c r="E12" s="3">
        <v>986984.01</v>
      </c>
    </row>
    <row r="13" spans="1:5" x14ac:dyDescent="0.25">
      <c r="A13">
        <v>11</v>
      </c>
      <c r="B13" t="s">
        <v>14</v>
      </c>
      <c r="C13" s="2">
        <f t="shared" si="0"/>
        <v>945611.21</v>
      </c>
      <c r="E13" s="3">
        <v>945611.21</v>
      </c>
    </row>
    <row r="14" spans="1:5" x14ac:dyDescent="0.25">
      <c r="A14">
        <v>13</v>
      </c>
      <c r="B14" t="s">
        <v>16</v>
      </c>
      <c r="C14" s="2">
        <v>734584.19</v>
      </c>
      <c r="E14" s="3">
        <v>734584.19</v>
      </c>
    </row>
    <row r="15" spans="1:5" x14ac:dyDescent="0.25">
      <c r="A15">
        <f>A13+1</f>
        <v>12</v>
      </c>
      <c r="B15" t="s">
        <v>15</v>
      </c>
      <c r="C15" s="2">
        <v>894829.17</v>
      </c>
      <c r="E15" s="4">
        <f>C15</f>
        <v>894829.17</v>
      </c>
    </row>
    <row r="16" spans="1:5" x14ac:dyDescent="0.25">
      <c r="A16">
        <f t="shared" ref="A16" si="5">A14+1</f>
        <v>14</v>
      </c>
      <c r="B16" t="s">
        <v>23</v>
      </c>
      <c r="C16" s="2">
        <v>251278.12</v>
      </c>
      <c r="E16" s="4">
        <f>C16</f>
        <v>251278.12</v>
      </c>
    </row>
    <row r="17" spans="1:5" x14ac:dyDescent="0.25">
      <c r="A17">
        <v>15</v>
      </c>
      <c r="B17" t="s">
        <v>18</v>
      </c>
      <c r="C17" s="2">
        <v>1152034.1299999999</v>
      </c>
      <c r="E17" s="9">
        <f>C17-D17</f>
        <v>1152034.1299999999</v>
      </c>
    </row>
    <row r="18" spans="1:5" x14ac:dyDescent="0.25">
      <c r="A18">
        <f t="shared" ref="A18" si="6">A17+1</f>
        <v>16</v>
      </c>
      <c r="B18" t="s">
        <v>19</v>
      </c>
      <c r="C18" s="2">
        <v>1049429.72</v>
      </c>
      <c r="E18" s="9">
        <f>C18-D18</f>
        <v>1049429.72</v>
      </c>
    </row>
    <row r="19" spans="1:5" x14ac:dyDescent="0.25">
      <c r="A19">
        <v>17</v>
      </c>
      <c r="B19" t="s">
        <v>34</v>
      </c>
      <c r="C19" s="2">
        <f>E19+D19</f>
        <v>768075.76</v>
      </c>
      <c r="D19">
        <v>98700</v>
      </c>
      <c r="E19" s="10">
        <v>669375.76</v>
      </c>
    </row>
    <row r="20" spans="1:5" x14ac:dyDescent="0.25">
      <c r="A20">
        <f t="shared" ref="A20" si="7">A19+1</f>
        <v>18</v>
      </c>
      <c r="B20" t="s">
        <v>24</v>
      </c>
      <c r="C20" s="2">
        <v>307769.51</v>
      </c>
      <c r="E20" s="4">
        <f>C20-D20</f>
        <v>307769.51</v>
      </c>
    </row>
    <row r="21" spans="1:5" x14ac:dyDescent="0.25">
      <c r="A21">
        <v>19</v>
      </c>
      <c r="B21" t="s">
        <v>26</v>
      </c>
      <c r="C21" s="2">
        <f>D21+E21</f>
        <v>2915661.3699999996</v>
      </c>
      <c r="D21">
        <v>688405.61</v>
      </c>
      <c r="E21" s="3">
        <v>2227255.7599999998</v>
      </c>
    </row>
    <row r="22" spans="1:5" x14ac:dyDescent="0.25">
      <c r="A22">
        <f t="shared" ref="A22" si="8">A21+1</f>
        <v>20</v>
      </c>
      <c r="B22" t="s">
        <v>27</v>
      </c>
      <c r="C22" s="2">
        <v>392798.86</v>
      </c>
      <c r="E22" s="3">
        <v>392798.86</v>
      </c>
    </row>
    <row r="23" spans="1:5" x14ac:dyDescent="0.25">
      <c r="A23">
        <v>21</v>
      </c>
      <c r="B23" t="s">
        <v>28</v>
      </c>
      <c r="C23" s="2">
        <v>345831.18</v>
      </c>
      <c r="E23" s="4">
        <f>C23-D23</f>
        <v>345831.18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8" sqref="C8"/>
    </sheetView>
  </sheetViews>
  <sheetFormatPr defaultRowHeight="15" x14ac:dyDescent="0.25"/>
  <cols>
    <col min="1" max="1" width="15.85546875" customWidth="1"/>
    <col min="2" max="2" width="36.85546875" customWidth="1"/>
    <col min="3" max="3" width="28.28515625" customWidth="1"/>
    <col min="4" max="4" width="22.140625" customWidth="1"/>
    <col min="5" max="5" width="27.5703125" style="3" customWidth="1"/>
    <col min="6" max="6" width="4.28515625" customWidth="1"/>
    <col min="7" max="8" width="9.140625" hidden="1" customWidth="1"/>
  </cols>
  <sheetData>
    <row r="1" spans="1:5" ht="39" customHeight="1" x14ac:dyDescent="0.25">
      <c r="B1" s="73" t="s">
        <v>42</v>
      </c>
      <c r="C1" s="73"/>
      <c r="D1" s="73"/>
      <c r="E1" s="73"/>
    </row>
    <row r="2" spans="1:5" ht="38.25" customHeight="1" x14ac:dyDescent="0.25">
      <c r="A2" t="s">
        <v>2</v>
      </c>
      <c r="B2" s="1" t="s">
        <v>0</v>
      </c>
      <c r="C2" s="1" t="s">
        <v>44</v>
      </c>
      <c r="D2" s="1" t="s">
        <v>43</v>
      </c>
      <c r="E2" s="3" t="s">
        <v>1</v>
      </c>
    </row>
    <row r="3" spans="1:5" x14ac:dyDescent="0.25">
      <c r="A3">
        <v>1</v>
      </c>
      <c r="B3" t="s">
        <v>3</v>
      </c>
      <c r="C3" s="2">
        <f>D3+E3</f>
        <v>1040142.31</v>
      </c>
      <c r="D3">
        <v>355000</v>
      </c>
      <c r="E3" s="4">
        <v>685142.31</v>
      </c>
    </row>
    <row r="4" spans="1:5" x14ac:dyDescent="0.25">
      <c r="A4">
        <f>A3+1</f>
        <v>2</v>
      </c>
      <c r="B4" t="s">
        <v>4</v>
      </c>
      <c r="C4" s="2">
        <f>D4+E4</f>
        <v>438836.02999999997</v>
      </c>
      <c r="E4" s="4">
        <f>431630.74+7205.29</f>
        <v>438836.02999999997</v>
      </c>
    </row>
    <row r="5" spans="1:5" x14ac:dyDescent="0.25">
      <c r="A5">
        <v>3</v>
      </c>
      <c r="B5" t="s">
        <v>5</v>
      </c>
      <c r="C5" s="2">
        <f t="shared" ref="C5:C23" si="0">D5+E5</f>
        <v>1137366.23</v>
      </c>
      <c r="E5" s="4">
        <v>1137366.23</v>
      </c>
    </row>
    <row r="6" spans="1:5" x14ac:dyDescent="0.25">
      <c r="A6">
        <f t="shared" ref="A6" si="1">A5+1</f>
        <v>4</v>
      </c>
      <c r="B6" t="s">
        <v>6</v>
      </c>
      <c r="C6" s="2">
        <f>D6+E6</f>
        <v>704737.4</v>
      </c>
      <c r="D6">
        <v>298800</v>
      </c>
      <c r="E6" s="4">
        <v>405937.4</v>
      </c>
    </row>
    <row r="7" spans="1:5" x14ac:dyDescent="0.25">
      <c r="A7">
        <v>5</v>
      </c>
      <c r="B7" t="s">
        <v>8</v>
      </c>
      <c r="C7" s="2">
        <f t="shared" si="0"/>
        <v>1591413.32</v>
      </c>
      <c r="E7" s="3">
        <v>1591413.32</v>
      </c>
    </row>
    <row r="8" spans="1:5" x14ac:dyDescent="0.25">
      <c r="A8">
        <f t="shared" ref="A8" si="2">A7+1</f>
        <v>6</v>
      </c>
      <c r="B8" t="s">
        <v>9</v>
      </c>
      <c r="C8" s="2">
        <f t="shared" si="0"/>
        <v>475094.88</v>
      </c>
      <c r="E8" s="4">
        <v>475094.88</v>
      </c>
    </row>
    <row r="9" spans="1:5" x14ac:dyDescent="0.25">
      <c r="A9">
        <v>7</v>
      </c>
      <c r="B9" t="s">
        <v>10</v>
      </c>
      <c r="C9" s="2">
        <f t="shared" si="0"/>
        <v>396655.05</v>
      </c>
      <c r="E9" s="3">
        <v>396655.05</v>
      </c>
    </row>
    <row r="10" spans="1:5" x14ac:dyDescent="0.25">
      <c r="A10">
        <f t="shared" ref="A10" si="3">A9+1</f>
        <v>8</v>
      </c>
      <c r="B10" t="s">
        <v>11</v>
      </c>
      <c r="C10" s="2">
        <f t="shared" si="0"/>
        <v>775923.26</v>
      </c>
      <c r="D10">
        <v>171327.75</v>
      </c>
      <c r="E10" s="3">
        <v>604595.51</v>
      </c>
    </row>
    <row r="11" spans="1:5" x14ac:dyDescent="0.25">
      <c r="A11">
        <v>9</v>
      </c>
      <c r="B11" t="s">
        <v>12</v>
      </c>
      <c r="C11" s="2">
        <f t="shared" si="0"/>
        <v>168510.32</v>
      </c>
      <c r="D11">
        <v>140500</v>
      </c>
      <c r="E11" s="3">
        <v>28010.32</v>
      </c>
    </row>
    <row r="12" spans="1:5" x14ac:dyDescent="0.25">
      <c r="A12">
        <f t="shared" ref="A12" si="4">A11+1</f>
        <v>10</v>
      </c>
      <c r="B12" t="s">
        <v>13</v>
      </c>
      <c r="C12" s="2">
        <f t="shared" si="0"/>
        <v>935660.63</v>
      </c>
      <c r="E12" s="3">
        <v>935660.63</v>
      </c>
    </row>
    <row r="13" spans="1:5" x14ac:dyDescent="0.25">
      <c r="A13">
        <v>11</v>
      </c>
      <c r="B13" t="s">
        <v>14</v>
      </c>
      <c r="C13" s="2">
        <f t="shared" si="0"/>
        <v>896750.76</v>
      </c>
      <c r="E13" s="3">
        <v>896750.76</v>
      </c>
    </row>
    <row r="14" spans="1:5" x14ac:dyDescent="0.25">
      <c r="A14">
        <v>13</v>
      </c>
      <c r="B14" t="s">
        <v>16</v>
      </c>
      <c r="C14" s="2">
        <f>D14+E14</f>
        <v>690169.17</v>
      </c>
      <c r="E14" s="3">
        <v>690169.17</v>
      </c>
    </row>
    <row r="15" spans="1:5" x14ac:dyDescent="0.25">
      <c r="A15">
        <f>A13+1</f>
        <v>12</v>
      </c>
      <c r="B15" t="s">
        <v>15</v>
      </c>
      <c r="C15" s="2">
        <f t="shared" si="0"/>
        <v>868423.16</v>
      </c>
      <c r="E15" s="3">
        <v>868423.16</v>
      </c>
    </row>
    <row r="16" spans="1:5" x14ac:dyDescent="0.25">
      <c r="A16">
        <f t="shared" ref="A16" si="5">A14+1</f>
        <v>14</v>
      </c>
      <c r="B16" t="s">
        <v>23</v>
      </c>
      <c r="C16" s="2">
        <f t="shared" si="0"/>
        <v>228411.01</v>
      </c>
      <c r="E16" s="3">
        <v>228411.01</v>
      </c>
    </row>
    <row r="17" spans="1:5" x14ac:dyDescent="0.25">
      <c r="A17">
        <v>15</v>
      </c>
      <c r="B17" t="s">
        <v>18</v>
      </c>
      <c r="C17" s="2">
        <f t="shared" si="0"/>
        <v>1081288.24</v>
      </c>
      <c r="E17" s="9">
        <v>1081288.24</v>
      </c>
    </row>
    <row r="18" spans="1:5" x14ac:dyDescent="0.25">
      <c r="A18">
        <f t="shared" ref="A18" si="6">A17+1</f>
        <v>16</v>
      </c>
      <c r="B18" t="s">
        <v>19</v>
      </c>
      <c r="C18" s="2">
        <f t="shared" si="0"/>
        <v>994501.39</v>
      </c>
      <c r="E18" s="9">
        <v>994501.39</v>
      </c>
    </row>
    <row r="19" spans="1:5" x14ac:dyDescent="0.25">
      <c r="A19">
        <v>17</v>
      </c>
      <c r="B19" t="s">
        <v>34</v>
      </c>
      <c r="C19" s="2">
        <f t="shared" si="0"/>
        <v>717962.57</v>
      </c>
      <c r="D19">
        <v>29610</v>
      </c>
      <c r="E19" s="10">
        <v>688352.57</v>
      </c>
    </row>
    <row r="20" spans="1:5" x14ac:dyDescent="0.25">
      <c r="A20">
        <f t="shared" ref="A20" si="7">A19+1</f>
        <v>18</v>
      </c>
      <c r="B20" t="s">
        <v>24</v>
      </c>
      <c r="C20" s="2">
        <f>D20+E20</f>
        <v>285538.65999999997</v>
      </c>
      <c r="E20" s="4">
        <v>285538.65999999997</v>
      </c>
    </row>
    <row r="21" spans="1:5" x14ac:dyDescent="0.25">
      <c r="A21">
        <v>19</v>
      </c>
      <c r="B21" t="s">
        <v>26</v>
      </c>
      <c r="C21" s="2">
        <f t="shared" si="0"/>
        <v>2063444.7</v>
      </c>
      <c r="E21" s="3">
        <v>2063444.7</v>
      </c>
    </row>
    <row r="22" spans="1:5" x14ac:dyDescent="0.25">
      <c r="A22">
        <f t="shared" ref="A22" si="8">A21+1</f>
        <v>20</v>
      </c>
      <c r="B22" t="s">
        <v>27</v>
      </c>
      <c r="C22" s="2">
        <f t="shared" si="0"/>
        <v>382153.53</v>
      </c>
      <c r="E22" s="3">
        <v>382153.53</v>
      </c>
    </row>
    <row r="23" spans="1:5" x14ac:dyDescent="0.25">
      <c r="A23">
        <v>21</v>
      </c>
      <c r="B23" t="s">
        <v>28</v>
      </c>
      <c r="C23" s="2">
        <f t="shared" si="0"/>
        <v>306874.74</v>
      </c>
      <c r="E23" s="3">
        <v>306874.74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4" sqref="C4"/>
    </sheetView>
  </sheetViews>
  <sheetFormatPr defaultRowHeight="15" x14ac:dyDescent="0.25"/>
  <cols>
    <col min="1" max="1" width="15.85546875" customWidth="1"/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 x14ac:dyDescent="0.25">
      <c r="B1" s="73" t="s">
        <v>41</v>
      </c>
      <c r="C1" s="73"/>
    </row>
    <row r="2" spans="1:3" ht="38.25" customHeight="1" x14ac:dyDescent="0.25">
      <c r="A2" t="s">
        <v>2</v>
      </c>
      <c r="B2" s="1" t="s">
        <v>0</v>
      </c>
      <c r="C2" s="3" t="s">
        <v>1</v>
      </c>
    </row>
    <row r="3" spans="1:3" x14ac:dyDescent="0.25">
      <c r="A3">
        <v>1</v>
      </c>
      <c r="B3" t="s">
        <v>3</v>
      </c>
      <c r="C3" s="4">
        <v>611304.09</v>
      </c>
    </row>
    <row r="4" spans="1:3" x14ac:dyDescent="0.25">
      <c r="A4">
        <f>A3+1</f>
        <v>2</v>
      </c>
      <c r="B4" t="s">
        <v>4</v>
      </c>
      <c r="C4" s="4">
        <v>431630.74</v>
      </c>
    </row>
    <row r="5" spans="1:3" x14ac:dyDescent="0.25">
      <c r="A5">
        <v>3</v>
      </c>
      <c r="B5" t="s">
        <v>5</v>
      </c>
      <c r="C5" s="4">
        <v>1079040.19</v>
      </c>
    </row>
    <row r="6" spans="1:3" x14ac:dyDescent="0.25">
      <c r="A6">
        <f t="shared" ref="A6" si="0">A5+1</f>
        <v>4</v>
      </c>
      <c r="B6" t="s">
        <v>6</v>
      </c>
      <c r="C6" s="4">
        <v>347172.1</v>
      </c>
    </row>
    <row r="7" spans="1:3" x14ac:dyDescent="0.25">
      <c r="A7">
        <v>5</v>
      </c>
      <c r="B7" t="s">
        <v>8</v>
      </c>
      <c r="C7" s="3">
        <v>1492324.55</v>
      </c>
    </row>
    <row r="8" spans="1:3" x14ac:dyDescent="0.25">
      <c r="A8">
        <f t="shared" ref="A8" si="1">A7+1</f>
        <v>6</v>
      </c>
      <c r="B8" t="s">
        <v>9</v>
      </c>
      <c r="C8" s="4">
        <v>450407.7</v>
      </c>
    </row>
    <row r="9" spans="1:3" x14ac:dyDescent="0.25">
      <c r="A9">
        <v>7</v>
      </c>
      <c r="B9" t="s">
        <v>10</v>
      </c>
      <c r="C9" s="3">
        <v>397098.76</v>
      </c>
    </row>
    <row r="10" spans="1:3" x14ac:dyDescent="0.25">
      <c r="A10">
        <f t="shared" ref="A10" si="2">A9+1</f>
        <v>8</v>
      </c>
      <c r="B10" t="s">
        <v>11</v>
      </c>
      <c r="C10" s="3">
        <v>725347.8</v>
      </c>
    </row>
    <row r="11" spans="1:3" x14ac:dyDescent="0.25">
      <c r="A11">
        <v>9</v>
      </c>
      <c r="B11" t="s">
        <v>12</v>
      </c>
      <c r="C11" s="3">
        <v>18746.009999999998</v>
      </c>
    </row>
    <row r="12" spans="1:3" x14ac:dyDescent="0.25">
      <c r="A12">
        <f t="shared" ref="A12" si="3">A11+1</f>
        <v>10</v>
      </c>
      <c r="B12" t="s">
        <v>13</v>
      </c>
      <c r="C12" s="3">
        <v>895068.27</v>
      </c>
    </row>
    <row r="13" spans="1:3" x14ac:dyDescent="0.25">
      <c r="A13">
        <v>11</v>
      </c>
      <c r="B13" t="s">
        <v>14</v>
      </c>
      <c r="C13" s="3">
        <v>830446.95</v>
      </c>
    </row>
    <row r="14" spans="1:3" x14ac:dyDescent="0.25">
      <c r="A14">
        <f t="shared" ref="A14" si="4">A13+1</f>
        <v>12</v>
      </c>
      <c r="B14" t="s">
        <v>15</v>
      </c>
      <c r="C14" s="3">
        <v>843555.91</v>
      </c>
    </row>
    <row r="15" spans="1:3" x14ac:dyDescent="0.25">
      <c r="A15">
        <v>13</v>
      </c>
      <c r="B15" t="s">
        <v>16</v>
      </c>
      <c r="C15" s="3">
        <v>642481.79</v>
      </c>
    </row>
    <row r="16" spans="1:3" x14ac:dyDescent="0.25">
      <c r="A16">
        <f t="shared" ref="A16" si="5">A15+1</f>
        <v>14</v>
      </c>
      <c r="B16" t="s">
        <v>23</v>
      </c>
      <c r="C16" s="3">
        <v>205910.88</v>
      </c>
    </row>
    <row r="17" spans="1:3" x14ac:dyDescent="0.25">
      <c r="A17">
        <v>15</v>
      </c>
      <c r="B17" t="s">
        <v>18</v>
      </c>
      <c r="C17" s="5">
        <v>1032592.67</v>
      </c>
    </row>
    <row r="18" spans="1:3" x14ac:dyDescent="0.25">
      <c r="A18">
        <f t="shared" ref="A18" si="6">A17+1</f>
        <v>16</v>
      </c>
      <c r="B18" t="s">
        <v>19</v>
      </c>
      <c r="C18" s="5">
        <v>937251.07</v>
      </c>
    </row>
    <row r="19" spans="1:3" x14ac:dyDescent="0.25">
      <c r="A19">
        <v>17</v>
      </c>
      <c r="B19" t="s">
        <v>34</v>
      </c>
      <c r="C19" s="3">
        <v>608801.46</v>
      </c>
    </row>
    <row r="20" spans="1:3" x14ac:dyDescent="0.25">
      <c r="A20">
        <f t="shared" ref="A20" si="7">A19+1</f>
        <v>18</v>
      </c>
      <c r="B20" t="s">
        <v>24</v>
      </c>
      <c r="C20" s="4">
        <v>260869.77</v>
      </c>
    </row>
    <row r="21" spans="1:3" x14ac:dyDescent="0.25">
      <c r="A21">
        <v>19</v>
      </c>
      <c r="B21" t="s">
        <v>26</v>
      </c>
      <c r="C21" s="3">
        <v>1875192.63</v>
      </c>
    </row>
    <row r="22" spans="1:3" x14ac:dyDescent="0.25">
      <c r="A22">
        <f t="shared" ref="A22" si="8">A21+1</f>
        <v>20</v>
      </c>
      <c r="B22" t="s">
        <v>27</v>
      </c>
      <c r="C22" s="3">
        <v>371508.2</v>
      </c>
    </row>
    <row r="23" spans="1:3" x14ac:dyDescent="0.25">
      <c r="A23">
        <v>21</v>
      </c>
      <c r="B23" t="s">
        <v>28</v>
      </c>
      <c r="C23" s="3">
        <v>276733.71999999997</v>
      </c>
    </row>
  </sheetData>
  <mergeCells count="1">
    <mergeCell ref="B1:C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20" sqref="C20"/>
    </sheetView>
  </sheetViews>
  <sheetFormatPr defaultRowHeight="15" x14ac:dyDescent="0.25"/>
  <cols>
    <col min="1" max="1" width="15.85546875" customWidth="1"/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 x14ac:dyDescent="0.25">
      <c r="B1" s="73" t="s">
        <v>40</v>
      </c>
      <c r="C1" s="73"/>
    </row>
    <row r="2" spans="1:3" ht="38.25" customHeight="1" x14ac:dyDescent="0.25">
      <c r="A2" t="s">
        <v>2</v>
      </c>
      <c r="B2" s="1" t="s">
        <v>0</v>
      </c>
      <c r="C2" s="3" t="s">
        <v>1</v>
      </c>
    </row>
    <row r="3" spans="1:3" x14ac:dyDescent="0.25">
      <c r="A3">
        <v>1</v>
      </c>
      <c r="B3" t="s">
        <v>3</v>
      </c>
      <c r="C3" s="4">
        <v>557412.4</v>
      </c>
    </row>
    <row r="4" spans="1:3" x14ac:dyDescent="0.25">
      <c r="A4">
        <f>A3+1</f>
        <v>2</v>
      </c>
      <c r="B4" t="s">
        <v>4</v>
      </c>
      <c r="C4" s="4">
        <f>300648.31+105707.9</f>
        <v>406356.20999999996</v>
      </c>
    </row>
    <row r="5" spans="1:3" x14ac:dyDescent="0.25">
      <c r="A5">
        <v>3</v>
      </c>
      <c r="B5" t="s">
        <v>5</v>
      </c>
      <c r="C5" s="4">
        <v>1021016.35</v>
      </c>
    </row>
    <row r="6" spans="1:3" x14ac:dyDescent="0.25">
      <c r="A6">
        <f t="shared" ref="A6" si="0">A5+1</f>
        <v>4</v>
      </c>
      <c r="B6" t="s">
        <v>6</v>
      </c>
      <c r="C6" s="4">
        <v>302267.03999999998</v>
      </c>
    </row>
    <row r="7" spans="1:3" x14ac:dyDescent="0.25">
      <c r="A7">
        <v>5</v>
      </c>
      <c r="B7" t="s">
        <v>8</v>
      </c>
      <c r="C7" s="3">
        <v>1392925</v>
      </c>
    </row>
    <row r="8" spans="1:3" x14ac:dyDescent="0.25">
      <c r="A8">
        <f t="shared" ref="A8" si="1">A7+1</f>
        <v>6</v>
      </c>
      <c r="B8" t="s">
        <v>9</v>
      </c>
      <c r="C8" s="4">
        <v>428729.26</v>
      </c>
    </row>
    <row r="9" spans="1:3" x14ac:dyDescent="0.25">
      <c r="A9">
        <v>7</v>
      </c>
      <c r="B9" t="s">
        <v>10</v>
      </c>
      <c r="C9" s="3">
        <v>366810.15</v>
      </c>
    </row>
    <row r="10" spans="1:3" x14ac:dyDescent="0.25">
      <c r="A10">
        <f t="shared" ref="A10" si="2">A9+1</f>
        <v>8</v>
      </c>
      <c r="B10" t="s">
        <v>11</v>
      </c>
      <c r="C10" s="3">
        <v>677438.91</v>
      </c>
    </row>
    <row r="11" spans="1:3" x14ac:dyDescent="0.25">
      <c r="A11">
        <v>9</v>
      </c>
      <c r="B11" t="s">
        <v>12</v>
      </c>
      <c r="C11" s="3">
        <v>4075.7</v>
      </c>
    </row>
    <row r="12" spans="1:3" x14ac:dyDescent="0.25">
      <c r="A12">
        <f t="shared" ref="A12" si="3">A11+1</f>
        <v>10</v>
      </c>
      <c r="B12" t="s">
        <v>13</v>
      </c>
      <c r="C12" s="3">
        <v>817559.15</v>
      </c>
    </row>
    <row r="13" spans="1:3" x14ac:dyDescent="0.25">
      <c r="A13">
        <v>11</v>
      </c>
      <c r="B13" t="s">
        <v>14</v>
      </c>
      <c r="C13" s="3">
        <v>775742.81</v>
      </c>
    </row>
    <row r="14" spans="1:3" x14ac:dyDescent="0.25">
      <c r="A14">
        <f t="shared" ref="A14" si="4">A13+1</f>
        <v>12</v>
      </c>
      <c r="B14" t="s">
        <v>15</v>
      </c>
      <c r="C14" s="3">
        <v>765895.19</v>
      </c>
    </row>
    <row r="15" spans="1:3" x14ac:dyDescent="0.25">
      <c r="A15">
        <v>13</v>
      </c>
      <c r="B15" t="s">
        <v>16</v>
      </c>
      <c r="C15" s="3">
        <v>603334.59</v>
      </c>
    </row>
    <row r="16" spans="1:3" x14ac:dyDescent="0.25">
      <c r="A16">
        <f t="shared" ref="A16" si="5">A15+1</f>
        <v>14</v>
      </c>
      <c r="B16" t="s">
        <v>23</v>
      </c>
      <c r="C16" s="3">
        <v>186973.91</v>
      </c>
    </row>
    <row r="17" spans="1:3" x14ac:dyDescent="0.25">
      <c r="A17">
        <v>15</v>
      </c>
      <c r="B17" t="s">
        <v>18</v>
      </c>
      <c r="C17" s="5">
        <v>983826.77</v>
      </c>
    </row>
    <row r="18" spans="1:3" x14ac:dyDescent="0.25">
      <c r="A18">
        <f t="shared" ref="A18" si="6">A17+1</f>
        <v>16</v>
      </c>
      <c r="B18" t="s">
        <v>19</v>
      </c>
      <c r="C18" s="5">
        <v>883475.51</v>
      </c>
    </row>
    <row r="19" spans="1:3" x14ac:dyDescent="0.25">
      <c r="A19">
        <v>17</v>
      </c>
      <c r="B19" t="s">
        <v>34</v>
      </c>
      <c r="C19" s="3">
        <v>635312.77</v>
      </c>
    </row>
    <row r="20" spans="1:3" x14ac:dyDescent="0.25">
      <c r="A20">
        <f t="shared" ref="A20" si="7">A19+1</f>
        <v>18</v>
      </c>
      <c r="B20" t="s">
        <v>24</v>
      </c>
      <c r="C20" s="4">
        <v>238249.59</v>
      </c>
    </row>
    <row r="21" spans="1:3" x14ac:dyDescent="0.25">
      <c r="A21">
        <v>19</v>
      </c>
      <c r="B21" t="s">
        <v>26</v>
      </c>
      <c r="C21" s="3">
        <v>1581583.2</v>
      </c>
    </row>
    <row r="22" spans="1:3" x14ac:dyDescent="0.25">
      <c r="A22">
        <f t="shared" ref="A22" si="8">A21+1</f>
        <v>20</v>
      </c>
      <c r="B22" t="s">
        <v>27</v>
      </c>
      <c r="C22" s="3">
        <v>344757.92</v>
      </c>
    </row>
    <row r="23" spans="1:3" x14ac:dyDescent="0.25">
      <c r="A23">
        <v>21</v>
      </c>
      <c r="B23" t="s">
        <v>28</v>
      </c>
      <c r="C23" s="3">
        <v>241038.96</v>
      </c>
    </row>
  </sheetData>
  <mergeCells count="1">
    <mergeCell ref="B1:C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XFD1048576"/>
    </sheetView>
  </sheetViews>
  <sheetFormatPr defaultRowHeight="15" x14ac:dyDescent="0.25"/>
  <cols>
    <col min="1" max="1" width="9.28515625" customWidth="1"/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 x14ac:dyDescent="0.25">
      <c r="B1" s="73" t="s">
        <v>39</v>
      </c>
      <c r="C1" s="73"/>
    </row>
    <row r="2" spans="1:3" ht="38.25" customHeight="1" x14ac:dyDescent="0.25">
      <c r="A2" t="s">
        <v>2</v>
      </c>
      <c r="B2" s="1" t="s">
        <v>0</v>
      </c>
      <c r="C2" s="3" t="s">
        <v>1</v>
      </c>
    </row>
    <row r="3" spans="1:3" x14ac:dyDescent="0.25">
      <c r="A3">
        <v>1</v>
      </c>
      <c r="B3" t="s">
        <v>3</v>
      </c>
      <c r="C3" s="4">
        <v>500424.02</v>
      </c>
    </row>
    <row r="4" spans="1:3" x14ac:dyDescent="0.25">
      <c r="A4">
        <f>A3+1</f>
        <v>2</v>
      </c>
      <c r="B4" t="s">
        <v>4</v>
      </c>
      <c r="C4" s="4">
        <f>300648.31+79485.4</f>
        <v>380133.70999999996</v>
      </c>
    </row>
    <row r="5" spans="1:3" x14ac:dyDescent="0.25">
      <c r="A5">
        <f t="shared" ref="A5:A19" si="0">A4+1</f>
        <v>3</v>
      </c>
      <c r="B5" t="s">
        <v>5</v>
      </c>
      <c r="C5" s="4">
        <v>935373.12</v>
      </c>
    </row>
    <row r="6" spans="1:3" x14ac:dyDescent="0.25">
      <c r="A6">
        <f t="shared" si="0"/>
        <v>4</v>
      </c>
      <c r="B6" t="s">
        <v>6</v>
      </c>
      <c r="C6" s="4">
        <v>263064.51</v>
      </c>
    </row>
    <row r="7" spans="1:3" x14ac:dyDescent="0.25">
      <c r="A7">
        <f t="shared" si="0"/>
        <v>5</v>
      </c>
      <c r="B7" t="s">
        <v>8</v>
      </c>
      <c r="C7" s="3">
        <v>1295851.4099999999</v>
      </c>
    </row>
    <row r="8" spans="1:3" x14ac:dyDescent="0.25">
      <c r="A8">
        <f t="shared" si="0"/>
        <v>6</v>
      </c>
      <c r="B8" t="s">
        <v>9</v>
      </c>
      <c r="C8" s="4">
        <v>396413.76</v>
      </c>
    </row>
    <row r="9" spans="1:3" x14ac:dyDescent="0.25">
      <c r="A9">
        <f t="shared" si="0"/>
        <v>7</v>
      </c>
      <c r="B9" t="s">
        <v>10</v>
      </c>
      <c r="C9" s="3">
        <v>338372.66</v>
      </c>
    </row>
    <row r="10" spans="1:3" x14ac:dyDescent="0.25">
      <c r="A10">
        <f t="shared" si="0"/>
        <v>8</v>
      </c>
      <c r="B10" t="s">
        <v>11</v>
      </c>
      <c r="C10" s="3">
        <v>622331.56000000006</v>
      </c>
    </row>
    <row r="11" spans="1:3" x14ac:dyDescent="0.25">
      <c r="A11">
        <f t="shared" si="0"/>
        <v>9</v>
      </c>
      <c r="B11" t="s">
        <v>12</v>
      </c>
      <c r="C11" s="3">
        <v>13404.21</v>
      </c>
    </row>
    <row r="12" spans="1:3" x14ac:dyDescent="0.25">
      <c r="A12">
        <f t="shared" si="0"/>
        <v>10</v>
      </c>
      <c r="B12" t="s">
        <v>13</v>
      </c>
      <c r="C12" s="3">
        <v>764764.35</v>
      </c>
    </row>
    <row r="13" spans="1:3" x14ac:dyDescent="0.25">
      <c r="A13">
        <f t="shared" si="0"/>
        <v>11</v>
      </c>
      <c r="B13" t="s">
        <v>14</v>
      </c>
      <c r="C13" s="3">
        <v>723469.47</v>
      </c>
    </row>
    <row r="14" spans="1:3" x14ac:dyDescent="0.25">
      <c r="A14">
        <f t="shared" si="0"/>
        <v>12</v>
      </c>
      <c r="B14" t="s">
        <v>15</v>
      </c>
      <c r="C14" s="3">
        <v>712748.1</v>
      </c>
    </row>
    <row r="15" spans="1:3" x14ac:dyDescent="0.25">
      <c r="A15">
        <f t="shared" si="0"/>
        <v>13</v>
      </c>
      <c r="B15" t="s">
        <v>16</v>
      </c>
      <c r="C15" s="3">
        <v>554826.14</v>
      </c>
    </row>
    <row r="16" spans="1:3" x14ac:dyDescent="0.25">
      <c r="A16">
        <f t="shared" si="0"/>
        <v>14</v>
      </c>
      <c r="B16" t="s">
        <v>23</v>
      </c>
      <c r="C16" s="3">
        <v>165928.60999999999</v>
      </c>
    </row>
    <row r="17" spans="1:3" x14ac:dyDescent="0.25">
      <c r="A17" t="e">
        <f>#REF!+1</f>
        <v>#REF!</v>
      </c>
      <c r="B17" t="s">
        <v>18</v>
      </c>
      <c r="C17" s="5">
        <v>944722.81</v>
      </c>
    </row>
    <row r="18" spans="1:3" x14ac:dyDescent="0.25">
      <c r="A18" t="e">
        <f t="shared" si="0"/>
        <v>#REF!</v>
      </c>
      <c r="B18" t="s">
        <v>19</v>
      </c>
      <c r="C18" s="5">
        <v>828899.35</v>
      </c>
    </row>
    <row r="19" spans="1:3" x14ac:dyDescent="0.25">
      <c r="A19" t="e">
        <f t="shared" si="0"/>
        <v>#REF!</v>
      </c>
      <c r="B19" t="s">
        <v>34</v>
      </c>
      <c r="C19" s="3">
        <v>596439.81000000006</v>
      </c>
    </row>
    <row r="20" spans="1:3" x14ac:dyDescent="0.25">
      <c r="A20">
        <v>19</v>
      </c>
      <c r="B20" t="s">
        <v>24</v>
      </c>
      <c r="C20" s="4">
        <v>211072.73</v>
      </c>
    </row>
    <row r="21" spans="1:3" x14ac:dyDescent="0.25">
      <c r="A21">
        <v>20</v>
      </c>
      <c r="B21" t="s">
        <v>26</v>
      </c>
      <c r="C21" s="3">
        <v>1410239.56</v>
      </c>
    </row>
    <row r="22" spans="1:3" x14ac:dyDescent="0.25">
      <c r="A22">
        <v>21</v>
      </c>
      <c r="B22" t="s">
        <v>27</v>
      </c>
      <c r="C22" s="3">
        <v>304299.81</v>
      </c>
    </row>
    <row r="23" spans="1:3" x14ac:dyDescent="0.25">
      <c r="A23">
        <v>22</v>
      </c>
      <c r="B23" t="s">
        <v>28</v>
      </c>
      <c r="C23" s="3">
        <v>205067.05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4" sqref="C4"/>
    </sheetView>
  </sheetViews>
  <sheetFormatPr defaultRowHeight="15" x14ac:dyDescent="0.25"/>
  <cols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 x14ac:dyDescent="0.25">
      <c r="B1" s="73" t="s">
        <v>38</v>
      </c>
      <c r="C1" s="73"/>
    </row>
    <row r="2" spans="1:3" ht="38.25" customHeight="1" x14ac:dyDescent="0.25">
      <c r="A2" t="s">
        <v>2</v>
      </c>
      <c r="B2" s="1" t="s">
        <v>0</v>
      </c>
      <c r="C2" s="3" t="s">
        <v>1</v>
      </c>
    </row>
    <row r="3" spans="1:3" x14ac:dyDescent="0.25">
      <c r="A3">
        <v>1</v>
      </c>
      <c r="B3" t="s">
        <v>3</v>
      </c>
      <c r="C3" s="4">
        <v>772958.52</v>
      </c>
    </row>
    <row r="4" spans="1:3" x14ac:dyDescent="0.25">
      <c r="A4">
        <f>A3+1</f>
        <v>2</v>
      </c>
      <c r="B4" t="s">
        <v>4</v>
      </c>
      <c r="C4" s="4">
        <f>300648.31+52756.7</f>
        <v>353405.01</v>
      </c>
    </row>
    <row r="5" spans="1:3" x14ac:dyDescent="0.25">
      <c r="A5">
        <f t="shared" ref="A5:A20" si="0">A4+1</f>
        <v>3</v>
      </c>
      <c r="B5" t="s">
        <v>5</v>
      </c>
      <c r="C5" s="4">
        <v>836942.35</v>
      </c>
    </row>
    <row r="6" spans="1:3" x14ac:dyDescent="0.25">
      <c r="A6">
        <f t="shared" si="0"/>
        <v>4</v>
      </c>
      <c r="B6" t="s">
        <v>6</v>
      </c>
      <c r="C6" s="4">
        <v>515343.9</v>
      </c>
    </row>
    <row r="7" spans="1:3" x14ac:dyDescent="0.25">
      <c r="A7">
        <f t="shared" si="0"/>
        <v>5</v>
      </c>
      <c r="B7" t="s">
        <v>8</v>
      </c>
      <c r="C7" s="3">
        <v>1184655.27</v>
      </c>
    </row>
    <row r="8" spans="1:3" x14ac:dyDescent="0.25">
      <c r="A8">
        <f t="shared" si="0"/>
        <v>6</v>
      </c>
      <c r="B8" t="s">
        <v>9</v>
      </c>
      <c r="C8" s="4">
        <v>360550.88</v>
      </c>
    </row>
    <row r="9" spans="1:3" x14ac:dyDescent="0.25">
      <c r="A9">
        <f t="shared" si="0"/>
        <v>7</v>
      </c>
      <c r="B9" t="s">
        <v>10</v>
      </c>
      <c r="C9" s="3">
        <v>300210.12</v>
      </c>
    </row>
    <row r="10" spans="1:3" x14ac:dyDescent="0.25">
      <c r="A10">
        <f t="shared" si="0"/>
        <v>8</v>
      </c>
      <c r="B10" t="s">
        <v>11</v>
      </c>
      <c r="C10" s="3">
        <v>563781.26</v>
      </c>
    </row>
    <row r="11" spans="1:3" x14ac:dyDescent="0.25">
      <c r="A11">
        <f t="shared" si="0"/>
        <v>9</v>
      </c>
      <c r="B11" t="s">
        <v>12</v>
      </c>
      <c r="C11" s="3">
        <v>121099.67</v>
      </c>
    </row>
    <row r="12" spans="1:3" x14ac:dyDescent="0.25">
      <c r="A12">
        <f t="shared" si="0"/>
        <v>10</v>
      </c>
      <c r="B12" t="s">
        <v>13</v>
      </c>
      <c r="C12" s="3">
        <v>706883.96</v>
      </c>
    </row>
    <row r="13" spans="1:3" x14ac:dyDescent="0.25">
      <c r="A13">
        <f t="shared" si="0"/>
        <v>11</v>
      </c>
      <c r="B13" t="s">
        <v>14</v>
      </c>
      <c r="C13" s="3">
        <v>671841.37</v>
      </c>
    </row>
    <row r="14" spans="1:3" x14ac:dyDescent="0.25">
      <c r="A14">
        <f t="shared" si="0"/>
        <v>12</v>
      </c>
      <c r="B14" t="s">
        <v>15</v>
      </c>
      <c r="C14" s="3">
        <v>679241.14</v>
      </c>
    </row>
    <row r="15" spans="1:3" x14ac:dyDescent="0.25">
      <c r="A15">
        <f t="shared" si="0"/>
        <v>13</v>
      </c>
      <c r="B15" t="s">
        <v>16</v>
      </c>
      <c r="C15" s="3">
        <v>487087.27</v>
      </c>
    </row>
    <row r="16" spans="1:3" x14ac:dyDescent="0.25">
      <c r="A16">
        <f t="shared" si="0"/>
        <v>14</v>
      </c>
      <c r="B16" t="s">
        <v>23</v>
      </c>
      <c r="C16" s="3">
        <v>153681.16</v>
      </c>
    </row>
    <row r="17" spans="1:3" x14ac:dyDescent="0.25">
      <c r="A17">
        <f t="shared" si="0"/>
        <v>15</v>
      </c>
      <c r="B17" t="s">
        <v>17</v>
      </c>
      <c r="C17" s="8"/>
    </row>
    <row r="18" spans="1:3" x14ac:dyDescent="0.25">
      <c r="A18">
        <f t="shared" si="0"/>
        <v>16</v>
      </c>
      <c r="B18" t="s">
        <v>18</v>
      </c>
      <c r="C18" s="5">
        <v>892094.64</v>
      </c>
    </row>
    <row r="19" spans="1:3" x14ac:dyDescent="0.25">
      <c r="A19">
        <f t="shared" si="0"/>
        <v>17</v>
      </c>
      <c r="B19" t="s">
        <v>19</v>
      </c>
      <c r="C19" s="5">
        <v>771510.13</v>
      </c>
    </row>
    <row r="20" spans="1:3" x14ac:dyDescent="0.25">
      <c r="A20">
        <f t="shared" si="0"/>
        <v>18</v>
      </c>
      <c r="B20" t="s">
        <v>34</v>
      </c>
      <c r="C20" s="3">
        <v>517067.36</v>
      </c>
    </row>
    <row r="21" spans="1:3" x14ac:dyDescent="0.25">
      <c r="A21">
        <v>19</v>
      </c>
      <c r="B21" t="s">
        <v>24</v>
      </c>
      <c r="C21" s="4">
        <v>186054.47</v>
      </c>
    </row>
    <row r="22" spans="1:3" x14ac:dyDescent="0.25">
      <c r="A22">
        <v>20</v>
      </c>
      <c r="B22" t="s">
        <v>26</v>
      </c>
      <c r="C22" s="3">
        <v>1171313.94</v>
      </c>
    </row>
    <row r="23" spans="1:3" x14ac:dyDescent="0.25">
      <c r="A23">
        <v>21</v>
      </c>
      <c r="B23" t="s">
        <v>27</v>
      </c>
      <c r="C23" s="3">
        <v>253737.65</v>
      </c>
    </row>
    <row r="24" spans="1:3" x14ac:dyDescent="0.25">
      <c r="A24">
        <v>22</v>
      </c>
      <c r="B24" t="s">
        <v>28</v>
      </c>
      <c r="C24" s="3">
        <v>138353.66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4" sqref="E4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 x14ac:dyDescent="0.25">
      <c r="B1" s="73" t="s">
        <v>71</v>
      </c>
      <c r="C1" s="73"/>
      <c r="D1" s="73"/>
      <c r="E1" s="73"/>
    </row>
    <row r="2" spans="1:5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 x14ac:dyDescent="0.25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1198405.34+61628.71+55224.6+55725.8+51506.44+51388.62+79931.77+56783.34+61433.64+66573+48000.74+109480.08+60996.09+64053.18+57256.32+86515.27+65979.17+58313.83+82492.28+69153.91</f>
        <v>2440842.1300000004</v>
      </c>
      <c r="D3" s="32">
        <f>1082751.87+16000+858545.29+170514.71+130000+65000</f>
        <v>2322811.87</v>
      </c>
      <c r="E3" s="63">
        <f>C3-D3</f>
        <v>118030.26000000024</v>
      </c>
    </row>
    <row r="4" spans="1:5" s="15" customFormat="1" x14ac:dyDescent="0.25">
      <c r="A4" s="31">
        <f>A3+1</f>
        <v>2</v>
      </c>
      <c r="B4" s="31" t="s">
        <v>4</v>
      </c>
      <c r="C4" s="32">
        <f>D4+E4</f>
        <v>1031369.6699999999</v>
      </c>
      <c r="D4" s="32">
        <f>156000+364454</f>
        <v>520454</v>
      </c>
      <c r="E4" s="63">
        <f>482557.19+28358.48</f>
        <v>510915.67</v>
      </c>
    </row>
    <row r="5" spans="1:5" s="15" customFormat="1" x14ac:dyDescent="0.25">
      <c r="A5" s="31">
        <v>3</v>
      </c>
      <c r="B5" s="31" t="s">
        <v>5</v>
      </c>
      <c r="C5" s="32">
        <f>D5+E5</f>
        <v>3060623.9399999995</v>
      </c>
      <c r="D5" s="32"/>
      <c r="E5" s="35">
        <f>2116692.9+98468.42+97921.51+70568.76+110096.23+75640.03+87494.39+163293.49+72649.77+74954.58+92843.86</f>
        <v>3060623.9399999995</v>
      </c>
    </row>
    <row r="6" spans="1:5" s="15" customFormat="1" x14ac:dyDescent="0.25">
      <c r="A6" s="31">
        <f t="shared" ref="A6" si="0">A5+1</f>
        <v>4</v>
      </c>
      <c r="B6" s="31" t="s">
        <v>6</v>
      </c>
      <c r="C6" s="32">
        <f>D6+E6</f>
        <v>1758418.17</v>
      </c>
      <c r="D6" s="32">
        <f>599075+75400+75468+173143+173143.97</f>
        <v>1096229.97</v>
      </c>
      <c r="E6" s="63">
        <v>662188.19999999995</v>
      </c>
    </row>
    <row r="7" spans="1:5" s="15" customFormat="1" x14ac:dyDescent="0.25">
      <c r="A7" s="31">
        <v>5</v>
      </c>
      <c r="B7" s="31" t="s">
        <v>8</v>
      </c>
      <c r="C7" s="32">
        <v>3903522.61</v>
      </c>
      <c r="D7" s="32"/>
      <c r="E7" s="63">
        <f>C7</f>
        <v>3903522.61</v>
      </c>
    </row>
    <row r="8" spans="1:5" s="15" customFormat="1" x14ac:dyDescent="0.25">
      <c r="A8" s="31">
        <f t="shared" ref="A8" si="1">A7+1</f>
        <v>6</v>
      </c>
      <c r="B8" s="31" t="s">
        <v>9</v>
      </c>
      <c r="C8" s="32">
        <v>1125795.1599999999</v>
      </c>
      <c r="D8" s="32"/>
      <c r="E8" s="63">
        <f>C8</f>
        <v>1125795.1599999999</v>
      </c>
    </row>
    <row r="9" spans="1:5" s="15" customFormat="1" x14ac:dyDescent="0.25">
      <c r="A9" s="31">
        <v>7</v>
      </c>
      <c r="B9" s="31" t="s">
        <v>10</v>
      </c>
      <c r="C9" s="32">
        <v>1193943.53</v>
      </c>
      <c r="D9" s="32"/>
      <c r="E9" s="63">
        <f>C9</f>
        <v>1193943.53</v>
      </c>
    </row>
    <row r="10" spans="1:5" s="15" customFormat="1" x14ac:dyDescent="0.25">
      <c r="A10" s="31">
        <f t="shared" ref="A10" si="2">A9+1</f>
        <v>8</v>
      </c>
      <c r="B10" s="31" t="s">
        <v>11</v>
      </c>
      <c r="C10" s="32">
        <f>1426796.9+49164.05+54345.59+50217.87+64217.66+56735.24+53528.79+54376.64+47289.29+77572.92+47569.42</f>
        <v>1981814.3699999999</v>
      </c>
      <c r="D10" s="32">
        <v>171327.75</v>
      </c>
      <c r="E10" s="63">
        <f>C10-D10</f>
        <v>1810486.6199999999</v>
      </c>
    </row>
    <row r="11" spans="1:5" s="15" customFormat="1" x14ac:dyDescent="0.25">
      <c r="A11" s="31">
        <v>9</v>
      </c>
      <c r="B11" s="31" t="s">
        <v>12</v>
      </c>
      <c r="C11" s="32">
        <f>392830.67+10227.98+7507.27+37359.94+15099.61</f>
        <v>463025.47</v>
      </c>
      <c r="D11" s="32">
        <f>240000+164875.6</f>
        <v>404875.6</v>
      </c>
      <c r="E11" s="63">
        <f>C11-D11</f>
        <v>58149.869999999995</v>
      </c>
    </row>
    <row r="12" spans="1:5" s="15" customFormat="1" x14ac:dyDescent="0.25">
      <c r="A12" s="31">
        <f t="shared" ref="A12" si="3">A11+1</f>
        <v>10</v>
      </c>
      <c r="B12" s="31" t="s">
        <v>13</v>
      </c>
      <c r="C12" s="32">
        <f>1873546.99+59634.56+57087.18+58719.75+60861.51+68001.27+54902.43</f>
        <v>2232753.69</v>
      </c>
      <c r="D12" s="32"/>
      <c r="E12" s="63">
        <f>C12-D12</f>
        <v>2232753.69</v>
      </c>
    </row>
    <row r="13" spans="1:5" s="15" customFormat="1" x14ac:dyDescent="0.25">
      <c r="A13" s="31">
        <v>11</v>
      </c>
      <c r="B13" s="31" t="s">
        <v>14</v>
      </c>
      <c r="C13" s="32">
        <f>1726987.63+56085.46+52117.68+55483.96+53801.15+66336.23+50317.17</f>
        <v>2061129.2799999996</v>
      </c>
      <c r="D13" s="32"/>
      <c r="E13" s="63">
        <f>C13-D13</f>
        <v>2061129.2799999996</v>
      </c>
    </row>
    <row r="14" spans="1:5" s="15" customFormat="1" x14ac:dyDescent="0.25">
      <c r="A14" s="31">
        <v>13</v>
      </c>
      <c r="B14" s="31" t="s">
        <v>16</v>
      </c>
      <c r="C14" s="32">
        <f>D14+E14</f>
        <v>2573358.7699999996</v>
      </c>
      <c r="D14" s="32"/>
      <c r="E14" s="35">
        <f>1680872.01+107870.69+115716.23+78935.88+79402.42+74796.29+97957.16+80778.36+59717.02+64290.94+72043.76+60978.01</f>
        <v>2573358.7699999996</v>
      </c>
    </row>
    <row r="15" spans="1:5" s="15" customFormat="1" x14ac:dyDescent="0.25">
      <c r="A15" s="31">
        <f>A13+1</f>
        <v>12</v>
      </c>
      <c r="B15" s="31" t="s">
        <v>15</v>
      </c>
      <c r="C15" s="32">
        <f>1638673.3+64083.01+60114.23+50325.89+43436.56+66814.4+44056.38</f>
        <v>1967503.7699999998</v>
      </c>
      <c r="D15" s="31"/>
      <c r="E15" s="63">
        <f>C15</f>
        <v>1967503.7699999998</v>
      </c>
    </row>
    <row r="16" spans="1:5" s="15" customFormat="1" x14ac:dyDescent="0.25">
      <c r="A16" s="31">
        <f>A14+1</f>
        <v>14</v>
      </c>
      <c r="B16" s="31" t="s">
        <v>23</v>
      </c>
      <c r="C16" s="32">
        <f>E16+D16</f>
        <v>713712.35</v>
      </c>
      <c r="D16" s="61">
        <f>248000+292700+40000+50000+60000</f>
        <v>690700</v>
      </c>
      <c r="E16" s="63">
        <v>23012.35</v>
      </c>
    </row>
    <row r="17" spans="1:9" s="15" customFormat="1" x14ac:dyDescent="0.25">
      <c r="A17" s="31">
        <v>15</v>
      </c>
      <c r="B17" s="31" t="s">
        <v>18</v>
      </c>
      <c r="C17" s="32">
        <f>1927381.82+581181.42+150328.58+69057.1+65263.95+227.75+235122.55+75421.82+78833+44293.06+1138.75+170751.71+20627.85+114673.32+931+141251.17+66530.76+68580.39+98135.23+73302.77</f>
        <v>3983034</v>
      </c>
      <c r="D17" s="31">
        <f>238142.93+625976.1</f>
        <v>864119.03</v>
      </c>
      <c r="E17" s="35">
        <f>C17-D17</f>
        <v>3118914.9699999997</v>
      </c>
    </row>
    <row r="18" spans="1:9" s="15" customFormat="1" x14ac:dyDescent="0.25">
      <c r="A18" s="31">
        <f t="shared" ref="A18" si="4">A17+1</f>
        <v>16</v>
      </c>
      <c r="B18" s="31" t="s">
        <v>19</v>
      </c>
      <c r="C18" s="32">
        <f>1430168.98+28150.03+105029.89+1891.93+53561.01+56398.95+66972.53+54824.74+61243.97+39742.57+64667.57+63523.47+66961.15+57952.32+60569.58+72741.31+56105.33</f>
        <v>2340505.33</v>
      </c>
      <c r="D18" s="31">
        <f>629968.1+105030</f>
        <v>734998.1</v>
      </c>
      <c r="E18" s="35">
        <f>C18-D18</f>
        <v>1605507.23</v>
      </c>
      <c r="I18" s="67"/>
    </row>
    <row r="19" spans="1:9" s="15" customFormat="1" x14ac:dyDescent="0.25">
      <c r="A19" s="31">
        <v>17</v>
      </c>
      <c r="B19" s="31" t="s">
        <v>34</v>
      </c>
      <c r="C19" s="31">
        <f>1011152.61+47100.97+38.91+49797.16+42564.45+36144.08+50297.73+41790.2+45743.79+42383.57+46782.43+47151.31+44150.67+46969.97+36821+54633+41617.1</f>
        <v>1685138.95</v>
      </c>
      <c r="D19" s="31">
        <f>807750+203011+221000+129000</f>
        <v>1360761</v>
      </c>
      <c r="E19" s="35">
        <f>C19-D19</f>
        <v>324377.94999999995</v>
      </c>
    </row>
    <row r="20" spans="1:9" s="15" customFormat="1" x14ac:dyDescent="0.25">
      <c r="A20" s="31">
        <v>19</v>
      </c>
      <c r="B20" s="31" t="s">
        <v>26</v>
      </c>
      <c r="C20" s="32">
        <f>E20+D20</f>
        <v>6935771.6299999999</v>
      </c>
      <c r="D20" s="31">
        <v>688405.61</v>
      </c>
      <c r="E20" s="63">
        <v>6247366.0199999996</v>
      </c>
      <c r="H20" s="14"/>
    </row>
    <row r="21" spans="1:9" s="15" customFormat="1" x14ac:dyDescent="0.25">
      <c r="A21" s="31">
        <f t="shared" ref="A21" si="5">A20+1</f>
        <v>20</v>
      </c>
      <c r="B21" s="31" t="s">
        <v>27</v>
      </c>
      <c r="C21" s="32">
        <f>889433.59+39350.9+44229.36+43365.32+45078.28+31666.17+54786.43+37997.99+33596.17+37543.12</f>
        <v>1257047.3299999998</v>
      </c>
      <c r="D21" s="31"/>
      <c r="E21" s="63">
        <f>C21</f>
        <v>1257047.3299999998</v>
      </c>
    </row>
    <row r="22" spans="1:9" s="15" customFormat="1" x14ac:dyDescent="0.25">
      <c r="A22" s="31">
        <v>21</v>
      </c>
      <c r="B22" s="31" t="s">
        <v>28</v>
      </c>
      <c r="C22" s="32">
        <f>5566.73+82248.54+613635.28+63748.73+1657.36+34894.87+38.51+3911.59+625.75+40159.59+37410.39+19930.35+47876.66+76048.03+69722.05+37833.55</f>
        <v>1135307.98</v>
      </c>
      <c r="D22" s="31"/>
      <c r="E22" s="63">
        <f>C22-D22</f>
        <v>1135307.98</v>
      </c>
    </row>
    <row r="23" spans="1:9" s="15" customFormat="1" x14ac:dyDescent="0.25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536037.29-5674.03+30089.15+36989.2+60.53+35059.37+28224.71+25783.78+48033.66+27339.76+41632.91+39526.17+35094.74+28437.64+42127.29+35434.77+32632.57+38484.24+34803.57+25388.9+42595.51+27496.36</f>
        <v>1185598.0900000003</v>
      </c>
      <c r="D23" s="31">
        <v>200000</v>
      </c>
      <c r="E23" s="63">
        <f>C23-D23</f>
        <v>985598.09000000032</v>
      </c>
    </row>
    <row r="24" spans="1:9" s="15" customFormat="1" x14ac:dyDescent="0.25">
      <c r="A24" s="31">
        <v>23</v>
      </c>
      <c r="B24" s="31" t="s">
        <v>55</v>
      </c>
      <c r="C24" s="31">
        <f>19243.97+890303.39+61201.14+75730.82+81724.42+27616.97+22147.67+25601.14+42293.88+35808.96+27642.12+16454.74+43308.8+30294.61</f>
        <v>1399372.63</v>
      </c>
      <c r="D24" s="31"/>
      <c r="E24" s="63">
        <f>C24-D24</f>
        <v>1399372.63</v>
      </c>
    </row>
    <row r="25" spans="1:9" s="15" customFormat="1" x14ac:dyDescent="0.25">
      <c r="A25" s="31">
        <v>24</v>
      </c>
      <c r="B25" s="31" t="s">
        <v>58</v>
      </c>
      <c r="C25" s="31">
        <v>2273124.56</v>
      </c>
      <c r="D25" s="31">
        <v>860175.16</v>
      </c>
      <c r="E25" s="63">
        <v>1412949.4</v>
      </c>
    </row>
    <row r="26" spans="1:9" s="11" customFormat="1" x14ac:dyDescent="0.25">
      <c r="A26" s="30">
        <v>25</v>
      </c>
      <c r="B26" s="30" t="s">
        <v>65</v>
      </c>
      <c r="C26" s="30">
        <f>60928.09+1836125.58+214047.89+120437.88+75783.1+152088.98+89211.3</f>
        <v>2548622.8199999998</v>
      </c>
      <c r="D26" s="30">
        <f>659947.16+512306</f>
        <v>1172253.1600000001</v>
      </c>
      <c r="E26" s="63">
        <f>C26-D26</f>
        <v>1376369.6599999997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4" sqref="C4"/>
    </sheetView>
  </sheetViews>
  <sheetFormatPr defaultRowHeight="15" x14ac:dyDescent="0.25"/>
  <cols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 x14ac:dyDescent="0.25">
      <c r="B1" s="73" t="s">
        <v>36</v>
      </c>
      <c r="C1" s="73"/>
    </row>
    <row r="2" spans="1:3" ht="38.25" customHeight="1" x14ac:dyDescent="0.25">
      <c r="A2" t="s">
        <v>2</v>
      </c>
      <c r="B2" s="1" t="s">
        <v>0</v>
      </c>
      <c r="C2" s="3" t="s">
        <v>1</v>
      </c>
    </row>
    <row r="3" spans="1:3" x14ac:dyDescent="0.25">
      <c r="A3">
        <v>1</v>
      </c>
      <c r="B3" t="s">
        <v>3</v>
      </c>
      <c r="C3" s="4">
        <v>722175.09</v>
      </c>
    </row>
    <row r="4" spans="1:3" x14ac:dyDescent="0.25">
      <c r="A4">
        <f>A3+1</f>
        <v>2</v>
      </c>
      <c r="B4" t="s">
        <v>4</v>
      </c>
      <c r="C4" s="4">
        <f>249532.66+26145.67+24867.55+23130.78</f>
        <v>323676.66000000003</v>
      </c>
    </row>
    <row r="5" spans="1:3" x14ac:dyDescent="0.25">
      <c r="A5">
        <f t="shared" ref="A5:A20" si="0">A4+1</f>
        <v>3</v>
      </c>
      <c r="B5" t="s">
        <v>5</v>
      </c>
      <c r="C5" s="4">
        <v>763265.2</v>
      </c>
    </row>
    <row r="6" spans="1:3" x14ac:dyDescent="0.25">
      <c r="A6">
        <f t="shared" si="0"/>
        <v>4</v>
      </c>
      <c r="B6" t="s">
        <v>6</v>
      </c>
      <c r="C6" s="3">
        <v>483281.67</v>
      </c>
    </row>
    <row r="7" spans="1:3" x14ac:dyDescent="0.25">
      <c r="A7">
        <f t="shared" si="0"/>
        <v>5</v>
      </c>
      <c r="B7" t="s">
        <v>8</v>
      </c>
      <c r="C7" s="3">
        <v>1107542.1599999999</v>
      </c>
    </row>
    <row r="8" spans="1:3" x14ac:dyDescent="0.25">
      <c r="A8">
        <f t="shared" si="0"/>
        <v>6</v>
      </c>
      <c r="B8" t="s">
        <v>9</v>
      </c>
      <c r="C8" s="4">
        <v>340911.1</v>
      </c>
    </row>
    <row r="9" spans="1:3" x14ac:dyDescent="0.25">
      <c r="A9">
        <f t="shared" si="0"/>
        <v>7</v>
      </c>
      <c r="B9" t="s">
        <v>10</v>
      </c>
      <c r="C9" s="3">
        <v>277140.34999999998</v>
      </c>
    </row>
    <row r="10" spans="1:3" x14ac:dyDescent="0.25">
      <c r="A10">
        <f t="shared" si="0"/>
        <v>8</v>
      </c>
      <c r="B10" t="s">
        <v>11</v>
      </c>
      <c r="C10" s="3">
        <v>512484.6</v>
      </c>
    </row>
    <row r="11" spans="1:3" x14ac:dyDescent="0.25">
      <c r="A11">
        <f t="shared" si="0"/>
        <v>9</v>
      </c>
      <c r="B11" t="s">
        <v>12</v>
      </c>
      <c r="C11" s="3">
        <v>113129.88</v>
      </c>
    </row>
    <row r="12" spans="1:3" x14ac:dyDescent="0.25">
      <c r="A12">
        <f t="shared" si="0"/>
        <v>10</v>
      </c>
      <c r="B12" t="s">
        <v>13</v>
      </c>
      <c r="C12" s="3">
        <v>661991.46</v>
      </c>
    </row>
    <row r="13" spans="1:3" x14ac:dyDescent="0.25">
      <c r="A13">
        <f t="shared" si="0"/>
        <v>11</v>
      </c>
      <c r="B13" t="s">
        <v>14</v>
      </c>
      <c r="C13" s="3">
        <v>625267.89</v>
      </c>
    </row>
    <row r="14" spans="1:3" x14ac:dyDescent="0.25">
      <c r="A14">
        <f t="shared" si="0"/>
        <v>12</v>
      </c>
      <c r="B14" t="s">
        <v>15</v>
      </c>
      <c r="C14" s="3">
        <v>662458.82999999996</v>
      </c>
    </row>
    <row r="15" spans="1:3" x14ac:dyDescent="0.25">
      <c r="A15">
        <f t="shared" si="0"/>
        <v>13</v>
      </c>
      <c r="B15" t="s">
        <v>16</v>
      </c>
      <c r="C15" s="3">
        <v>481841.07</v>
      </c>
    </row>
    <row r="16" spans="1:3" x14ac:dyDescent="0.25">
      <c r="A16">
        <f t="shared" si="0"/>
        <v>14</v>
      </c>
      <c r="B16" t="s">
        <v>23</v>
      </c>
      <c r="C16" s="3">
        <v>110751.3</v>
      </c>
    </row>
    <row r="17" spans="1:3" x14ac:dyDescent="0.25">
      <c r="A17">
        <f t="shared" si="0"/>
        <v>15</v>
      </c>
      <c r="B17" t="s">
        <v>17</v>
      </c>
      <c r="C17" s="8" t="s">
        <v>37</v>
      </c>
    </row>
    <row r="18" spans="1:3" x14ac:dyDescent="0.25">
      <c r="A18">
        <f t="shared" si="0"/>
        <v>16</v>
      </c>
      <c r="B18" t="s">
        <v>18</v>
      </c>
      <c r="C18" s="5">
        <v>845756.67</v>
      </c>
    </row>
    <row r="19" spans="1:3" x14ac:dyDescent="0.25">
      <c r="A19">
        <f t="shared" si="0"/>
        <v>17</v>
      </c>
      <c r="B19" t="s">
        <v>19</v>
      </c>
      <c r="C19" s="5">
        <v>719347.04</v>
      </c>
    </row>
    <row r="20" spans="1:3" x14ac:dyDescent="0.25">
      <c r="A20">
        <f t="shared" si="0"/>
        <v>18</v>
      </c>
      <c r="B20" t="s">
        <v>34</v>
      </c>
      <c r="C20" s="3">
        <v>491038.67</v>
      </c>
    </row>
    <row r="21" spans="1:3" x14ac:dyDescent="0.25">
      <c r="A21">
        <v>19</v>
      </c>
      <c r="B21" t="s">
        <v>24</v>
      </c>
      <c r="C21" s="4">
        <f>145733.1+11883.65+7184.99+1616.88+1016.46</f>
        <v>167435.07999999999</v>
      </c>
    </row>
    <row r="22" spans="1:3" x14ac:dyDescent="0.25">
      <c r="A22">
        <v>20</v>
      </c>
      <c r="B22" t="s">
        <v>26</v>
      </c>
      <c r="C22" s="3">
        <v>963382.05</v>
      </c>
    </row>
    <row r="23" spans="1:3" x14ac:dyDescent="0.25">
      <c r="A23">
        <v>21</v>
      </c>
      <c r="B23" t="s">
        <v>27</v>
      </c>
      <c r="C23" s="3">
        <v>205201.23</v>
      </c>
    </row>
    <row r="24" spans="1:3" x14ac:dyDescent="0.25">
      <c r="A24">
        <v>22</v>
      </c>
      <c r="B24" t="s">
        <v>28</v>
      </c>
      <c r="C24" s="3">
        <f>107456.32+4395.84+17365.3+6334.92</f>
        <v>135552.38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24" sqref="C24"/>
    </sheetView>
  </sheetViews>
  <sheetFormatPr defaultRowHeight="15" x14ac:dyDescent="0.25"/>
  <cols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 x14ac:dyDescent="0.25">
      <c r="B1" s="73" t="s">
        <v>33</v>
      </c>
      <c r="C1" s="73"/>
    </row>
    <row r="2" spans="1:3" ht="38.25" customHeight="1" x14ac:dyDescent="0.25">
      <c r="A2" t="s">
        <v>2</v>
      </c>
      <c r="B2" s="1" t="s">
        <v>0</v>
      </c>
      <c r="C2" s="3" t="s">
        <v>1</v>
      </c>
    </row>
    <row r="3" spans="1:3" x14ac:dyDescent="0.25">
      <c r="A3">
        <v>1</v>
      </c>
      <c r="B3" t="s">
        <v>3</v>
      </c>
      <c r="C3" s="4">
        <v>678821.86</v>
      </c>
    </row>
    <row r="4" spans="1:3" x14ac:dyDescent="0.25">
      <c r="A4">
        <f>A3+1</f>
        <v>2</v>
      </c>
      <c r="B4" t="s">
        <v>4</v>
      </c>
      <c r="C4" s="4">
        <f>249532.66+26145.67+24867.55</f>
        <v>300545.88</v>
      </c>
    </row>
    <row r="5" spans="1:3" x14ac:dyDescent="0.25">
      <c r="A5">
        <f t="shared" ref="A5:A20" si="0">A4+1</f>
        <v>3</v>
      </c>
      <c r="B5" t="s">
        <v>5</v>
      </c>
      <c r="C5" s="4">
        <v>728909.11</v>
      </c>
    </row>
    <row r="6" spans="1:3" x14ac:dyDescent="0.25">
      <c r="A6">
        <f t="shared" si="0"/>
        <v>4</v>
      </c>
      <c r="B6" t="s">
        <v>6</v>
      </c>
      <c r="C6" s="3">
        <v>452346.94</v>
      </c>
    </row>
    <row r="7" spans="1:3" x14ac:dyDescent="0.25">
      <c r="A7">
        <f t="shared" si="0"/>
        <v>5</v>
      </c>
      <c r="B7" t="s">
        <v>8</v>
      </c>
      <c r="C7" s="3">
        <v>1023443.34</v>
      </c>
    </row>
    <row r="8" spans="1:3" x14ac:dyDescent="0.25">
      <c r="A8">
        <f t="shared" si="0"/>
        <v>6</v>
      </c>
      <c r="B8" t="s">
        <v>9</v>
      </c>
      <c r="C8" s="4">
        <v>316200.17</v>
      </c>
    </row>
    <row r="9" spans="1:3" x14ac:dyDescent="0.25">
      <c r="A9">
        <f t="shared" si="0"/>
        <v>7</v>
      </c>
      <c r="B9" t="s">
        <v>10</v>
      </c>
      <c r="C9" s="3">
        <v>252557.17</v>
      </c>
    </row>
    <row r="10" spans="1:3" x14ac:dyDescent="0.25">
      <c r="A10">
        <f t="shared" si="0"/>
        <v>8</v>
      </c>
      <c r="B10" t="s">
        <v>11</v>
      </c>
      <c r="C10" s="3">
        <v>470773.86</v>
      </c>
    </row>
    <row r="11" spans="1:3" x14ac:dyDescent="0.25">
      <c r="A11">
        <f t="shared" si="0"/>
        <v>9</v>
      </c>
      <c r="B11" t="s">
        <v>12</v>
      </c>
      <c r="C11" s="3">
        <v>106062.96</v>
      </c>
    </row>
    <row r="12" spans="1:3" x14ac:dyDescent="0.25">
      <c r="A12">
        <f t="shared" si="0"/>
        <v>10</v>
      </c>
      <c r="B12" t="s">
        <v>13</v>
      </c>
      <c r="C12" s="3">
        <v>617047.38</v>
      </c>
    </row>
    <row r="13" spans="1:3" x14ac:dyDescent="0.25">
      <c r="A13">
        <f t="shared" si="0"/>
        <v>11</v>
      </c>
      <c r="B13" t="s">
        <v>14</v>
      </c>
      <c r="C13" s="3">
        <v>580686.74</v>
      </c>
    </row>
    <row r="14" spans="1:3" x14ac:dyDescent="0.25">
      <c r="A14">
        <f t="shared" si="0"/>
        <v>12</v>
      </c>
      <c r="B14" t="s">
        <v>15</v>
      </c>
      <c r="C14" s="3">
        <v>629151.15</v>
      </c>
    </row>
    <row r="15" spans="1:3" x14ac:dyDescent="0.25">
      <c r="A15">
        <f t="shared" si="0"/>
        <v>13</v>
      </c>
      <c r="B15" t="s">
        <v>16</v>
      </c>
      <c r="C15" s="3">
        <v>447226.08</v>
      </c>
    </row>
    <row r="16" spans="1:3" x14ac:dyDescent="0.25">
      <c r="A16">
        <f t="shared" si="0"/>
        <v>14</v>
      </c>
      <c r="B16" t="s">
        <v>23</v>
      </c>
      <c r="C16" s="3">
        <v>93900.44</v>
      </c>
    </row>
    <row r="17" spans="1:3" x14ac:dyDescent="0.25">
      <c r="A17">
        <f t="shared" si="0"/>
        <v>15</v>
      </c>
      <c r="B17" t="s">
        <v>17</v>
      </c>
      <c r="C17" s="3" t="s">
        <v>35</v>
      </c>
    </row>
    <row r="18" spans="1:3" x14ac:dyDescent="0.25">
      <c r="A18">
        <f t="shared" si="0"/>
        <v>16</v>
      </c>
      <c r="B18" t="s">
        <v>18</v>
      </c>
      <c r="C18" s="5">
        <v>785848.56</v>
      </c>
    </row>
    <row r="19" spans="1:3" x14ac:dyDescent="0.25">
      <c r="A19">
        <f t="shared" si="0"/>
        <v>17</v>
      </c>
      <c r="B19" t="s">
        <v>19</v>
      </c>
      <c r="C19" s="5">
        <v>627793.29</v>
      </c>
    </row>
    <row r="20" spans="1:3" x14ac:dyDescent="0.25">
      <c r="A20">
        <f t="shared" si="0"/>
        <v>18</v>
      </c>
      <c r="B20" t="s">
        <v>34</v>
      </c>
      <c r="C20" s="3">
        <v>490941.21</v>
      </c>
    </row>
    <row r="21" spans="1:3" x14ac:dyDescent="0.25">
      <c r="A21">
        <v>19</v>
      </c>
      <c r="B21" t="s">
        <v>24</v>
      </c>
      <c r="C21" s="4">
        <v>145733.1</v>
      </c>
    </row>
    <row r="22" spans="1:3" x14ac:dyDescent="0.25">
      <c r="A22">
        <v>20</v>
      </c>
      <c r="B22" t="s">
        <v>26</v>
      </c>
      <c r="C22" s="3">
        <v>814042.82</v>
      </c>
    </row>
    <row r="23" spans="1:3" x14ac:dyDescent="0.25">
      <c r="A23">
        <v>21</v>
      </c>
      <c r="B23" t="s">
        <v>27</v>
      </c>
      <c r="C23" s="3">
        <v>204912.47</v>
      </c>
    </row>
    <row r="24" spans="1:3" x14ac:dyDescent="0.25">
      <c r="A24">
        <v>22</v>
      </c>
      <c r="B24" t="s">
        <v>28</v>
      </c>
      <c r="C24" s="3">
        <v>107456.32000000001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6" sqref="C16"/>
    </sheetView>
  </sheetViews>
  <sheetFormatPr defaultRowHeight="15" x14ac:dyDescent="0.25"/>
  <cols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 x14ac:dyDescent="0.25">
      <c r="B1" s="73" t="s">
        <v>32</v>
      </c>
      <c r="C1" s="73"/>
    </row>
    <row r="2" spans="1:3" ht="38.25" customHeight="1" x14ac:dyDescent="0.25">
      <c r="A2" t="s">
        <v>2</v>
      </c>
      <c r="B2" s="1" t="s">
        <v>0</v>
      </c>
      <c r="C2" s="3" t="s">
        <v>1</v>
      </c>
    </row>
    <row r="3" spans="1:3" x14ac:dyDescent="0.25">
      <c r="A3">
        <v>1</v>
      </c>
      <c r="B3" t="s">
        <v>3</v>
      </c>
      <c r="C3" s="4">
        <v>604412.17000000004</v>
      </c>
    </row>
    <row r="4" spans="1:3" x14ac:dyDescent="0.25">
      <c r="A4">
        <f>A3+1</f>
        <v>2</v>
      </c>
      <c r="B4" t="s">
        <v>4</v>
      </c>
      <c r="C4" s="4">
        <f>249532.66+26145.67</f>
        <v>275678.33</v>
      </c>
    </row>
    <row r="5" spans="1:3" x14ac:dyDescent="0.25">
      <c r="A5">
        <f t="shared" ref="A5:A20" si="0">A4+1</f>
        <v>3</v>
      </c>
      <c r="B5" t="s">
        <v>5</v>
      </c>
      <c r="C5" s="4">
        <v>594133.06000000006</v>
      </c>
    </row>
    <row r="6" spans="1:3" x14ac:dyDescent="0.25">
      <c r="A6">
        <f t="shared" si="0"/>
        <v>4</v>
      </c>
      <c r="B6" t="s">
        <v>6</v>
      </c>
      <c r="C6" s="3">
        <v>395571.08</v>
      </c>
    </row>
    <row r="7" spans="1:3" x14ac:dyDescent="0.25">
      <c r="A7">
        <f t="shared" si="0"/>
        <v>5</v>
      </c>
      <c r="B7" t="s">
        <v>8</v>
      </c>
      <c r="C7" s="3">
        <v>931316.63</v>
      </c>
    </row>
    <row r="8" spans="1:3" x14ac:dyDescent="0.25">
      <c r="A8">
        <f t="shared" si="0"/>
        <v>6</v>
      </c>
      <c r="B8" t="s">
        <v>9</v>
      </c>
      <c r="C8" s="4">
        <v>294461.02</v>
      </c>
    </row>
    <row r="9" spans="1:3" x14ac:dyDescent="0.25">
      <c r="A9">
        <f t="shared" si="0"/>
        <v>7</v>
      </c>
      <c r="B9" t="s">
        <v>10</v>
      </c>
      <c r="C9" s="3">
        <v>221754.97</v>
      </c>
    </row>
    <row r="10" spans="1:3" x14ac:dyDescent="0.25">
      <c r="A10">
        <f t="shared" si="0"/>
        <v>8</v>
      </c>
      <c r="B10" t="s">
        <v>11</v>
      </c>
      <c r="C10" s="3">
        <v>414531.99</v>
      </c>
    </row>
    <row r="11" spans="1:3" x14ac:dyDescent="0.25">
      <c r="A11">
        <f t="shared" si="0"/>
        <v>9</v>
      </c>
      <c r="B11" t="s">
        <v>12</v>
      </c>
      <c r="C11" s="3">
        <v>96647.78</v>
      </c>
    </row>
    <row r="12" spans="1:3" x14ac:dyDescent="0.25">
      <c r="A12">
        <f t="shared" si="0"/>
        <v>10</v>
      </c>
      <c r="B12" t="s">
        <v>13</v>
      </c>
      <c r="C12" s="3">
        <v>549979.04</v>
      </c>
    </row>
    <row r="13" spans="1:3" x14ac:dyDescent="0.25">
      <c r="A13">
        <f t="shared" si="0"/>
        <v>11</v>
      </c>
      <c r="B13" t="s">
        <v>14</v>
      </c>
      <c r="C13" s="3">
        <v>521471.81</v>
      </c>
    </row>
    <row r="14" spans="1:3" x14ac:dyDescent="0.25">
      <c r="A14">
        <f t="shared" si="0"/>
        <v>12</v>
      </c>
      <c r="B14" t="s">
        <v>15</v>
      </c>
      <c r="C14" s="7">
        <v>493665.57</v>
      </c>
    </row>
    <row r="15" spans="1:3" x14ac:dyDescent="0.25">
      <c r="A15">
        <f t="shared" si="0"/>
        <v>13</v>
      </c>
      <c r="B15" t="s">
        <v>16</v>
      </c>
      <c r="C15" s="6">
        <v>393429.06</v>
      </c>
    </row>
    <row r="16" spans="1:3" x14ac:dyDescent="0.25">
      <c r="A16">
        <f t="shared" si="0"/>
        <v>14</v>
      </c>
      <c r="B16" t="s">
        <v>23</v>
      </c>
      <c r="C16" s="4">
        <v>76532.92</v>
      </c>
    </row>
    <row r="17" spans="1:3" x14ac:dyDescent="0.25">
      <c r="A17">
        <f t="shared" si="0"/>
        <v>15</v>
      </c>
      <c r="B17" t="s">
        <v>17</v>
      </c>
      <c r="C17" s="3" t="s">
        <v>31</v>
      </c>
    </row>
    <row r="18" spans="1:3" x14ac:dyDescent="0.25">
      <c r="A18">
        <f t="shared" si="0"/>
        <v>16</v>
      </c>
      <c r="B18" t="s">
        <v>18</v>
      </c>
      <c r="C18" s="5">
        <v>726263.09</v>
      </c>
    </row>
    <row r="19" spans="1:3" x14ac:dyDescent="0.25">
      <c r="A19">
        <f t="shared" si="0"/>
        <v>17</v>
      </c>
      <c r="B19" t="s">
        <v>19</v>
      </c>
      <c r="C19" s="5">
        <f>527154.14+49757.21+1912.38+6109.86+21612+16209.1</f>
        <v>622754.68999999994</v>
      </c>
    </row>
    <row r="20" spans="1:3" x14ac:dyDescent="0.25">
      <c r="A20">
        <f t="shared" si="0"/>
        <v>18</v>
      </c>
      <c r="B20" t="s">
        <v>20</v>
      </c>
      <c r="C20" s="3">
        <v>455712.4</v>
      </c>
    </row>
    <row r="21" spans="1:3" x14ac:dyDescent="0.25">
      <c r="A21">
        <v>19</v>
      </c>
      <c r="B21" t="s">
        <v>24</v>
      </c>
      <c r="C21" s="4">
        <v>115382.91</v>
      </c>
    </row>
    <row r="22" spans="1:3" x14ac:dyDescent="0.25">
      <c r="A22">
        <v>20</v>
      </c>
      <c r="B22" t="s">
        <v>26</v>
      </c>
      <c r="C22" s="3">
        <v>643864.93999999994</v>
      </c>
    </row>
    <row r="23" spans="1:3" x14ac:dyDescent="0.25">
      <c r="A23">
        <v>21</v>
      </c>
      <c r="B23" t="s">
        <v>27</v>
      </c>
      <c r="C23" s="3">
        <v>157013.54999999999</v>
      </c>
    </row>
    <row r="24" spans="1:3" x14ac:dyDescent="0.25">
      <c r="A24">
        <v>22</v>
      </c>
      <c r="B24" t="s">
        <v>28</v>
      </c>
      <c r="C24" s="3">
        <v>78324.27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4" sqref="C4"/>
    </sheetView>
  </sheetViews>
  <sheetFormatPr defaultRowHeight="15" x14ac:dyDescent="0.25"/>
  <cols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 x14ac:dyDescent="0.25">
      <c r="B1" s="73" t="s">
        <v>30</v>
      </c>
      <c r="C1" s="73"/>
    </row>
    <row r="2" spans="1:3" ht="38.25" customHeight="1" x14ac:dyDescent="0.25">
      <c r="A2" t="s">
        <v>2</v>
      </c>
      <c r="B2" s="1" t="s">
        <v>0</v>
      </c>
      <c r="C2" s="3" t="s">
        <v>1</v>
      </c>
    </row>
    <row r="3" spans="1:3" x14ac:dyDescent="0.25">
      <c r="A3">
        <v>1</v>
      </c>
      <c r="B3" t="s">
        <v>3</v>
      </c>
      <c r="C3" s="4">
        <v>574398.84</v>
      </c>
    </row>
    <row r="4" spans="1:3" x14ac:dyDescent="0.25">
      <c r="A4">
        <f>A3+1</f>
        <v>2</v>
      </c>
      <c r="B4" t="s">
        <v>4</v>
      </c>
      <c r="C4" s="4">
        <v>249532.66</v>
      </c>
    </row>
    <row r="5" spans="1:3" x14ac:dyDescent="0.25">
      <c r="A5">
        <f t="shared" ref="A5:A20" si="0">A4+1</f>
        <v>3</v>
      </c>
      <c r="B5" t="s">
        <v>5</v>
      </c>
      <c r="C5" s="4">
        <v>568617</v>
      </c>
    </row>
    <row r="6" spans="1:3" x14ac:dyDescent="0.25">
      <c r="A6">
        <f t="shared" si="0"/>
        <v>4</v>
      </c>
      <c r="B6" t="s">
        <v>6</v>
      </c>
      <c r="C6" s="3">
        <v>375475.59</v>
      </c>
    </row>
    <row r="7" spans="1:3" x14ac:dyDescent="0.25">
      <c r="A7">
        <f t="shared" si="0"/>
        <v>5</v>
      </c>
      <c r="B7" t="s">
        <v>8</v>
      </c>
      <c r="C7" s="3">
        <v>856231.56</v>
      </c>
    </row>
    <row r="8" spans="1:3" x14ac:dyDescent="0.25">
      <c r="A8">
        <f t="shared" si="0"/>
        <v>6</v>
      </c>
      <c r="B8" t="s">
        <v>9</v>
      </c>
      <c r="C8" s="4">
        <v>271621.64</v>
      </c>
    </row>
    <row r="9" spans="1:3" x14ac:dyDescent="0.25">
      <c r="A9">
        <f t="shared" si="0"/>
        <v>7</v>
      </c>
      <c r="B9" t="s">
        <v>10</v>
      </c>
      <c r="C9" s="3">
        <v>195070.29</v>
      </c>
    </row>
    <row r="10" spans="1:3" x14ac:dyDescent="0.25">
      <c r="A10">
        <f t="shared" si="0"/>
        <v>8</v>
      </c>
      <c r="B10" t="s">
        <v>11</v>
      </c>
      <c r="C10" s="3">
        <v>366920.63</v>
      </c>
    </row>
    <row r="11" spans="1:3" x14ac:dyDescent="0.25">
      <c r="A11">
        <f t="shared" si="0"/>
        <v>9</v>
      </c>
      <c r="B11" t="s">
        <v>12</v>
      </c>
      <c r="C11" s="3">
        <v>88107.97</v>
      </c>
    </row>
    <row r="12" spans="1:3" x14ac:dyDescent="0.25">
      <c r="A12">
        <f t="shared" si="0"/>
        <v>10</v>
      </c>
      <c r="B12" t="s">
        <v>13</v>
      </c>
      <c r="C12" s="3">
        <v>525994.13</v>
      </c>
    </row>
    <row r="13" spans="1:3" x14ac:dyDescent="0.25">
      <c r="A13">
        <f t="shared" si="0"/>
        <v>11</v>
      </c>
      <c r="B13" t="s">
        <v>14</v>
      </c>
      <c r="C13" s="3">
        <v>489896.17</v>
      </c>
    </row>
    <row r="14" spans="1:3" x14ac:dyDescent="0.25">
      <c r="A14">
        <f t="shared" si="0"/>
        <v>12</v>
      </c>
      <c r="B14" t="s">
        <v>15</v>
      </c>
      <c r="C14" s="4">
        <v>474961</v>
      </c>
    </row>
    <row r="15" spans="1:3" x14ac:dyDescent="0.25">
      <c r="A15">
        <f t="shared" si="0"/>
        <v>13</v>
      </c>
      <c r="B15" t="s">
        <v>16</v>
      </c>
      <c r="C15" s="3">
        <v>347015.83</v>
      </c>
    </row>
    <row r="16" spans="1:3" x14ac:dyDescent="0.25">
      <c r="A16">
        <f t="shared" si="0"/>
        <v>14</v>
      </c>
      <c r="B16" t="s">
        <v>23</v>
      </c>
      <c r="C16" s="4">
        <v>68033.5</v>
      </c>
    </row>
    <row r="17" spans="1:3" x14ac:dyDescent="0.25">
      <c r="A17">
        <f t="shared" si="0"/>
        <v>15</v>
      </c>
      <c r="B17" t="s">
        <v>17</v>
      </c>
      <c r="C17" s="3">
        <v>211574.8</v>
      </c>
    </row>
    <row r="18" spans="1:3" x14ac:dyDescent="0.25">
      <c r="A18">
        <f t="shared" si="0"/>
        <v>16</v>
      </c>
      <c r="B18" t="s">
        <v>18</v>
      </c>
      <c r="C18" s="5">
        <v>644071.76</v>
      </c>
    </row>
    <row r="19" spans="1:3" x14ac:dyDescent="0.25">
      <c r="A19">
        <f t="shared" si="0"/>
        <v>17</v>
      </c>
      <c r="B19" t="s">
        <v>19</v>
      </c>
      <c r="C19" s="5">
        <f>527154.14+49757.21</f>
        <v>576911.35</v>
      </c>
    </row>
    <row r="20" spans="1:3" x14ac:dyDescent="0.25">
      <c r="A20">
        <f t="shared" si="0"/>
        <v>18</v>
      </c>
      <c r="B20" t="s">
        <v>20</v>
      </c>
      <c r="C20" s="3">
        <v>425531.56</v>
      </c>
    </row>
    <row r="21" spans="1:3" x14ac:dyDescent="0.25">
      <c r="A21">
        <v>19</v>
      </c>
      <c r="B21" t="s">
        <v>24</v>
      </c>
      <c r="C21" s="4">
        <f>25320.04+'сентябрь 2015'!C21</f>
        <v>99315.9</v>
      </c>
    </row>
    <row r="22" spans="1:3" x14ac:dyDescent="0.25">
      <c r="A22">
        <v>20</v>
      </c>
      <c r="B22" t="s">
        <v>26</v>
      </c>
      <c r="C22" s="3">
        <v>457488.86</v>
      </c>
    </row>
    <row r="23" spans="1:3" x14ac:dyDescent="0.25">
      <c r="A23">
        <v>21</v>
      </c>
      <c r="B23" t="s">
        <v>27</v>
      </c>
      <c r="C23" s="3">
        <v>126243.56</v>
      </c>
    </row>
    <row r="24" spans="1:3" x14ac:dyDescent="0.25">
      <c r="A24">
        <v>22</v>
      </c>
      <c r="B24" t="s">
        <v>28</v>
      </c>
      <c r="C24" s="3">
        <v>52199.99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4" workbookViewId="0">
      <selection activeCell="C19" sqref="C19"/>
    </sheetView>
  </sheetViews>
  <sheetFormatPr defaultRowHeight="15" x14ac:dyDescent="0.25"/>
  <cols>
    <col min="2" max="2" width="36.85546875" customWidth="1"/>
    <col min="3" max="3" width="27.5703125" customWidth="1"/>
    <col min="4" max="4" width="4.28515625" customWidth="1"/>
    <col min="5" max="6" width="9.140625" hidden="1" customWidth="1"/>
  </cols>
  <sheetData>
    <row r="1" spans="1:3" ht="39" customHeight="1" x14ac:dyDescent="0.25">
      <c r="B1" s="73" t="s">
        <v>29</v>
      </c>
      <c r="C1" s="73"/>
    </row>
    <row r="2" spans="1:3" ht="38.25" customHeight="1" x14ac:dyDescent="0.25">
      <c r="A2" t="s">
        <v>2</v>
      </c>
      <c r="B2" s="1" t="s">
        <v>0</v>
      </c>
      <c r="C2" t="s">
        <v>1</v>
      </c>
    </row>
    <row r="3" spans="1:3" x14ac:dyDescent="0.25">
      <c r="A3">
        <v>1</v>
      </c>
      <c r="B3" t="s">
        <v>3</v>
      </c>
      <c r="C3" s="2">
        <v>522975.3</v>
      </c>
    </row>
    <row r="4" spans="1:3" x14ac:dyDescent="0.25">
      <c r="A4">
        <f>A3+1</f>
        <v>2</v>
      </c>
      <c r="B4" t="s">
        <v>4</v>
      </c>
      <c r="C4" s="2">
        <v>224478.68</v>
      </c>
    </row>
    <row r="5" spans="1:3" x14ac:dyDescent="0.25">
      <c r="A5">
        <f t="shared" ref="A5:A20" si="0">A4+1</f>
        <v>3</v>
      </c>
      <c r="B5" t="s">
        <v>5</v>
      </c>
      <c r="C5">
        <v>499109.18</v>
      </c>
    </row>
    <row r="6" spans="1:3" x14ac:dyDescent="0.25">
      <c r="A6">
        <f t="shared" si="0"/>
        <v>4</v>
      </c>
      <c r="B6" t="s">
        <v>6</v>
      </c>
      <c r="C6">
        <v>343330.44</v>
      </c>
    </row>
    <row r="7" spans="1:3" x14ac:dyDescent="0.25">
      <c r="A7">
        <f t="shared" si="0"/>
        <v>5</v>
      </c>
      <c r="B7" t="s">
        <v>8</v>
      </c>
      <c r="C7">
        <v>776437.96</v>
      </c>
    </row>
    <row r="8" spans="1:3" x14ac:dyDescent="0.25">
      <c r="A8">
        <f t="shared" si="0"/>
        <v>6</v>
      </c>
      <c r="B8" t="s">
        <v>9</v>
      </c>
      <c r="C8" s="2">
        <v>248212.78</v>
      </c>
    </row>
    <row r="9" spans="1:3" x14ac:dyDescent="0.25">
      <c r="A9">
        <f t="shared" si="0"/>
        <v>7</v>
      </c>
      <c r="B9" t="s">
        <v>10</v>
      </c>
      <c r="C9">
        <v>177836.88</v>
      </c>
    </row>
    <row r="10" spans="1:3" x14ac:dyDescent="0.25">
      <c r="A10">
        <f t="shared" si="0"/>
        <v>8</v>
      </c>
      <c r="B10" t="s">
        <v>11</v>
      </c>
      <c r="C10">
        <v>324048.34999999998</v>
      </c>
    </row>
    <row r="11" spans="1:3" x14ac:dyDescent="0.25">
      <c r="A11">
        <f t="shared" si="0"/>
        <v>9</v>
      </c>
      <c r="B11" t="s">
        <v>12</v>
      </c>
      <c r="C11">
        <v>79960.789999999994</v>
      </c>
    </row>
    <row r="12" spans="1:3" x14ac:dyDescent="0.25">
      <c r="A12">
        <f t="shared" si="0"/>
        <v>10</v>
      </c>
      <c r="B12" t="s">
        <v>13</v>
      </c>
      <c r="C12">
        <v>484129.47</v>
      </c>
    </row>
    <row r="13" spans="1:3" x14ac:dyDescent="0.25">
      <c r="A13">
        <f t="shared" si="0"/>
        <v>11</v>
      </c>
      <c r="B13" t="s">
        <v>14</v>
      </c>
      <c r="C13">
        <v>450603.55</v>
      </c>
    </row>
    <row r="14" spans="1:3" x14ac:dyDescent="0.25">
      <c r="A14">
        <f t="shared" si="0"/>
        <v>12</v>
      </c>
      <c r="B14" t="s">
        <v>15</v>
      </c>
      <c r="C14">
        <v>430975.19</v>
      </c>
    </row>
    <row r="15" spans="1:3" x14ac:dyDescent="0.25">
      <c r="A15">
        <f t="shared" si="0"/>
        <v>13</v>
      </c>
      <c r="B15" t="s">
        <v>16</v>
      </c>
      <c r="C15">
        <v>309388.45</v>
      </c>
    </row>
    <row r="16" spans="1:3" x14ac:dyDescent="0.25">
      <c r="A16">
        <f t="shared" si="0"/>
        <v>14</v>
      </c>
      <c r="B16" t="s">
        <v>23</v>
      </c>
      <c r="C16">
        <v>50460.75</v>
      </c>
    </row>
    <row r="17" spans="1:3" x14ac:dyDescent="0.25">
      <c r="A17">
        <f t="shared" si="0"/>
        <v>15</v>
      </c>
      <c r="B17" t="s">
        <v>17</v>
      </c>
      <c r="C17">
        <v>111128.51</v>
      </c>
    </row>
    <row r="18" spans="1:3" x14ac:dyDescent="0.25">
      <c r="A18">
        <f t="shared" si="0"/>
        <v>16</v>
      </c>
      <c r="B18" t="s">
        <v>18</v>
      </c>
      <c r="C18">
        <v>644071.76</v>
      </c>
    </row>
    <row r="19" spans="1:3" x14ac:dyDescent="0.25">
      <c r="A19">
        <f t="shared" si="0"/>
        <v>17</v>
      </c>
      <c r="B19" t="s">
        <v>19</v>
      </c>
      <c r="C19">
        <v>527154.14</v>
      </c>
    </row>
    <row r="20" spans="1:3" x14ac:dyDescent="0.25">
      <c r="A20">
        <f t="shared" si="0"/>
        <v>18</v>
      </c>
      <c r="B20" t="s">
        <v>20</v>
      </c>
      <c r="C20">
        <v>391767.46</v>
      </c>
    </row>
    <row r="21" spans="1:3" x14ac:dyDescent="0.25">
      <c r="A21">
        <v>19</v>
      </c>
      <c r="B21" t="s">
        <v>24</v>
      </c>
      <c r="C21" s="2">
        <v>73995.86</v>
      </c>
    </row>
    <row r="22" spans="1:3" x14ac:dyDescent="0.25">
      <c r="A22">
        <v>20</v>
      </c>
      <c r="B22" t="s">
        <v>26</v>
      </c>
      <c r="C22">
        <v>349939.04</v>
      </c>
    </row>
    <row r="23" spans="1:3" x14ac:dyDescent="0.25">
      <c r="A23">
        <v>21</v>
      </c>
      <c r="B23" t="s">
        <v>27</v>
      </c>
      <c r="C23">
        <v>113203.88</v>
      </c>
    </row>
    <row r="24" spans="1:3" x14ac:dyDescent="0.25">
      <c r="A24">
        <v>22</v>
      </c>
      <c r="B24" t="s">
        <v>28</v>
      </c>
      <c r="C24">
        <v>23996.400000000001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38" sqref="B38"/>
    </sheetView>
  </sheetViews>
  <sheetFormatPr defaultRowHeight="15" x14ac:dyDescent="0.25"/>
  <cols>
    <col min="2" max="2" width="36.85546875" customWidth="1"/>
    <col min="3" max="3" width="27.5703125" customWidth="1"/>
    <col min="4" max="4" width="4.28515625" customWidth="1"/>
    <col min="5" max="6" width="9.140625" hidden="1" customWidth="1"/>
  </cols>
  <sheetData>
    <row r="1" spans="1:3" ht="39" customHeight="1" x14ac:dyDescent="0.25">
      <c r="B1" s="73" t="s">
        <v>25</v>
      </c>
      <c r="C1" s="73"/>
    </row>
    <row r="2" spans="1:3" ht="38.25" customHeight="1" x14ac:dyDescent="0.25">
      <c r="A2" t="s">
        <v>2</v>
      </c>
      <c r="B2" s="1" t="s">
        <v>0</v>
      </c>
      <c r="C2" t="s">
        <v>1</v>
      </c>
    </row>
    <row r="3" spans="1:3" x14ac:dyDescent="0.25">
      <c r="A3">
        <v>1</v>
      </c>
      <c r="B3" t="s">
        <v>3</v>
      </c>
      <c r="C3">
        <v>471098.86</v>
      </c>
    </row>
    <row r="4" spans="1:3" x14ac:dyDescent="0.25">
      <c r="A4">
        <f>A3+1</f>
        <v>2</v>
      </c>
      <c r="B4" t="s">
        <v>4</v>
      </c>
      <c r="C4" s="2">
        <f>185348.72+19832.28</f>
        <v>205181</v>
      </c>
    </row>
    <row r="5" spans="1:3" x14ac:dyDescent="0.25">
      <c r="A5">
        <f t="shared" ref="A5:A20" si="0">A4+1</f>
        <v>3</v>
      </c>
      <c r="B5" t="s">
        <v>5</v>
      </c>
      <c r="C5">
        <v>381513.74</v>
      </c>
    </row>
    <row r="6" spans="1:3" x14ac:dyDescent="0.25">
      <c r="A6">
        <f t="shared" si="0"/>
        <v>4</v>
      </c>
      <c r="B6" t="s">
        <v>6</v>
      </c>
      <c r="C6">
        <v>309291.84999999998</v>
      </c>
    </row>
    <row r="7" spans="1:3" x14ac:dyDescent="0.25">
      <c r="A7">
        <f t="shared" si="0"/>
        <v>5</v>
      </c>
      <c r="B7" t="s">
        <v>8</v>
      </c>
      <c r="C7">
        <v>688521.65</v>
      </c>
    </row>
    <row r="8" spans="1:3" x14ac:dyDescent="0.25">
      <c r="A8">
        <f t="shared" si="0"/>
        <v>6</v>
      </c>
      <c r="B8" t="s">
        <v>9</v>
      </c>
      <c r="C8" s="2">
        <v>225352.1</v>
      </c>
    </row>
    <row r="9" spans="1:3" x14ac:dyDescent="0.25">
      <c r="A9">
        <f t="shared" si="0"/>
        <v>7</v>
      </c>
      <c r="B9" t="s">
        <v>10</v>
      </c>
      <c r="C9">
        <v>138471.28</v>
      </c>
    </row>
    <row r="10" spans="1:3" x14ac:dyDescent="0.25">
      <c r="A10">
        <f t="shared" si="0"/>
        <v>8</v>
      </c>
      <c r="B10" t="s">
        <v>11</v>
      </c>
      <c r="C10">
        <v>251070.12</v>
      </c>
    </row>
    <row r="11" spans="1:3" x14ac:dyDescent="0.25">
      <c r="A11">
        <f t="shared" si="0"/>
        <v>9</v>
      </c>
      <c r="B11" t="s">
        <v>12</v>
      </c>
      <c r="C11">
        <v>62926.03</v>
      </c>
    </row>
    <row r="12" spans="1:3" x14ac:dyDescent="0.25">
      <c r="A12">
        <f t="shared" si="0"/>
        <v>10</v>
      </c>
      <c r="B12" t="s">
        <v>13</v>
      </c>
      <c r="C12">
        <v>436452.37</v>
      </c>
    </row>
    <row r="13" spans="1:3" x14ac:dyDescent="0.25">
      <c r="A13">
        <f t="shared" si="0"/>
        <v>11</v>
      </c>
      <c r="B13" t="s">
        <v>14</v>
      </c>
      <c r="C13">
        <v>404179.08</v>
      </c>
    </row>
    <row r="14" spans="1:3" x14ac:dyDescent="0.25">
      <c r="A14">
        <f t="shared" si="0"/>
        <v>12</v>
      </c>
      <c r="B14" t="s">
        <v>15</v>
      </c>
      <c r="C14">
        <v>388957.34</v>
      </c>
    </row>
    <row r="15" spans="1:3" x14ac:dyDescent="0.25">
      <c r="A15">
        <f t="shared" si="0"/>
        <v>13</v>
      </c>
      <c r="B15" t="s">
        <v>16</v>
      </c>
      <c r="C15">
        <v>266704.57</v>
      </c>
    </row>
    <row r="16" spans="1:3" x14ac:dyDescent="0.25">
      <c r="A16">
        <f t="shared" si="0"/>
        <v>14</v>
      </c>
      <c r="B16" t="s">
        <v>23</v>
      </c>
      <c r="C16">
        <v>29727.66</v>
      </c>
    </row>
    <row r="17" spans="1:3" x14ac:dyDescent="0.25">
      <c r="A17">
        <f t="shared" si="0"/>
        <v>15</v>
      </c>
      <c r="B17" t="s">
        <v>17</v>
      </c>
      <c r="C17">
        <v>151480.68</v>
      </c>
    </row>
    <row r="18" spans="1:3" x14ac:dyDescent="0.25">
      <c r="A18">
        <f t="shared" si="0"/>
        <v>16</v>
      </c>
      <c r="B18" t="s">
        <v>18</v>
      </c>
      <c r="C18">
        <v>340946.55</v>
      </c>
    </row>
    <row r="19" spans="1:3" x14ac:dyDescent="0.25">
      <c r="A19">
        <f t="shared" si="0"/>
        <v>17</v>
      </c>
      <c r="B19" t="s">
        <v>19</v>
      </c>
      <c r="C19">
        <v>479859.51</v>
      </c>
    </row>
    <row r="20" spans="1:3" x14ac:dyDescent="0.25">
      <c r="A20">
        <f t="shared" si="0"/>
        <v>18</v>
      </c>
      <c r="B20" t="s">
        <v>20</v>
      </c>
      <c r="C20">
        <v>361174.8</v>
      </c>
    </row>
    <row r="21" spans="1:3" x14ac:dyDescent="0.25">
      <c r="A21">
        <v>19</v>
      </c>
      <c r="B21" t="s">
        <v>24</v>
      </c>
      <c r="C21" s="2">
        <v>55730.9</v>
      </c>
    </row>
    <row r="22" spans="1:3" x14ac:dyDescent="0.25">
      <c r="A22">
        <v>20</v>
      </c>
      <c r="B22" t="s">
        <v>26</v>
      </c>
      <c r="C22">
        <v>256649.36</v>
      </c>
    </row>
    <row r="23" spans="1:3" x14ac:dyDescent="0.25">
      <c r="A23">
        <v>21</v>
      </c>
      <c r="B23" t="s">
        <v>27</v>
      </c>
      <c r="C23">
        <v>83526.66</v>
      </c>
    </row>
    <row r="24" spans="1:3" x14ac:dyDescent="0.25">
      <c r="A24">
        <v>22</v>
      </c>
      <c r="B24" t="s">
        <v>28</v>
      </c>
      <c r="C24">
        <v>8419.4500000000007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2" sqref="C12"/>
    </sheetView>
  </sheetViews>
  <sheetFormatPr defaultRowHeight="15" x14ac:dyDescent="0.25"/>
  <cols>
    <col min="2" max="2" width="36.85546875" customWidth="1"/>
    <col min="3" max="3" width="27.5703125" customWidth="1"/>
    <col min="4" max="4" width="4.28515625" customWidth="1"/>
    <col min="5" max="6" width="9.140625" hidden="1" customWidth="1"/>
  </cols>
  <sheetData>
    <row r="1" spans="1:3" ht="39" customHeight="1" x14ac:dyDescent="0.25">
      <c r="B1" s="73" t="s">
        <v>22</v>
      </c>
      <c r="C1" s="73"/>
    </row>
    <row r="2" spans="1:3" ht="38.25" customHeight="1" x14ac:dyDescent="0.25">
      <c r="A2" t="s">
        <v>2</v>
      </c>
      <c r="B2" s="1" t="s">
        <v>0</v>
      </c>
      <c r="C2" t="s">
        <v>1</v>
      </c>
    </row>
    <row r="3" spans="1:3" x14ac:dyDescent="0.25">
      <c r="A3">
        <v>1</v>
      </c>
      <c r="B3" t="s">
        <v>3</v>
      </c>
      <c r="C3">
        <v>432422.15</v>
      </c>
    </row>
    <row r="4" spans="1:3" x14ac:dyDescent="0.25">
      <c r="A4">
        <f>A3+1</f>
        <v>2</v>
      </c>
      <c r="B4" t="s">
        <v>4</v>
      </c>
      <c r="C4">
        <v>185348.72</v>
      </c>
    </row>
    <row r="5" spans="1:3" x14ac:dyDescent="0.25">
      <c r="A5">
        <f t="shared" ref="A5:A20" si="0">A4+1</f>
        <v>3</v>
      </c>
      <c r="B5" t="s">
        <v>5</v>
      </c>
      <c r="C5">
        <v>353752.71</v>
      </c>
    </row>
    <row r="6" spans="1:3" x14ac:dyDescent="0.25">
      <c r="A6">
        <f t="shared" si="0"/>
        <v>4</v>
      </c>
      <c r="B6" t="s">
        <v>6</v>
      </c>
      <c r="C6">
        <v>281437.65000000002</v>
      </c>
    </row>
    <row r="7" spans="1:3" x14ac:dyDescent="0.25">
      <c r="A7">
        <f t="shared" si="0"/>
        <v>5</v>
      </c>
      <c r="B7" t="s">
        <v>8</v>
      </c>
      <c r="C7">
        <v>612432.37</v>
      </c>
    </row>
    <row r="8" spans="1:3" x14ac:dyDescent="0.25">
      <c r="A8">
        <f t="shared" si="0"/>
        <v>6</v>
      </c>
      <c r="B8" t="s">
        <v>9</v>
      </c>
      <c r="C8">
        <v>202726</v>
      </c>
    </row>
    <row r="9" spans="1:3" x14ac:dyDescent="0.25">
      <c r="A9">
        <f t="shared" si="0"/>
        <v>7</v>
      </c>
      <c r="B9" t="s">
        <v>10</v>
      </c>
      <c r="C9">
        <v>117815.49</v>
      </c>
    </row>
    <row r="10" spans="1:3" x14ac:dyDescent="0.25">
      <c r="A10">
        <f t="shared" si="0"/>
        <v>8</v>
      </c>
      <c r="B10" t="s">
        <v>11</v>
      </c>
      <c r="C10">
        <v>248601.67</v>
      </c>
    </row>
    <row r="11" spans="1:3" x14ac:dyDescent="0.25">
      <c r="A11">
        <f t="shared" si="0"/>
        <v>9</v>
      </c>
      <c r="B11" t="s">
        <v>12</v>
      </c>
      <c r="C11">
        <v>63023.56</v>
      </c>
    </row>
    <row r="12" spans="1:3" x14ac:dyDescent="0.25">
      <c r="A12">
        <f t="shared" si="0"/>
        <v>10</v>
      </c>
      <c r="B12" t="s">
        <v>13</v>
      </c>
      <c r="C12">
        <v>393081.37</v>
      </c>
    </row>
    <row r="13" spans="1:3" x14ac:dyDescent="0.25">
      <c r="A13">
        <f t="shared" si="0"/>
        <v>11</v>
      </c>
      <c r="B13" t="s">
        <v>14</v>
      </c>
      <c r="C13">
        <v>366296.82</v>
      </c>
    </row>
    <row r="14" spans="1:3" x14ac:dyDescent="0.25">
      <c r="A14">
        <f t="shared" si="0"/>
        <v>12</v>
      </c>
      <c r="B14" t="s">
        <v>15</v>
      </c>
      <c r="C14">
        <v>312482.95</v>
      </c>
    </row>
    <row r="15" spans="1:3" x14ac:dyDescent="0.25">
      <c r="A15">
        <f t="shared" si="0"/>
        <v>13</v>
      </c>
      <c r="B15" t="s">
        <v>16</v>
      </c>
      <c r="C15">
        <v>215974.14</v>
      </c>
    </row>
    <row r="16" spans="1:3" x14ac:dyDescent="0.25">
      <c r="A16">
        <f t="shared" si="0"/>
        <v>14</v>
      </c>
      <c r="B16" t="s">
        <v>23</v>
      </c>
      <c r="C16">
        <v>14121.42</v>
      </c>
    </row>
    <row r="17" spans="1:3" x14ac:dyDescent="0.25">
      <c r="A17">
        <f t="shared" si="0"/>
        <v>15</v>
      </c>
      <c r="B17" t="s">
        <v>17</v>
      </c>
      <c r="C17">
        <v>142713.74</v>
      </c>
    </row>
    <row r="18" spans="1:3" x14ac:dyDescent="0.25">
      <c r="A18">
        <f t="shared" si="0"/>
        <v>16</v>
      </c>
      <c r="B18" t="s">
        <v>18</v>
      </c>
      <c r="C18">
        <v>296937.25</v>
      </c>
    </row>
    <row r="19" spans="1:3" x14ac:dyDescent="0.25">
      <c r="A19">
        <f t="shared" si="0"/>
        <v>17</v>
      </c>
      <c r="B19" t="s">
        <v>19</v>
      </c>
      <c r="C19">
        <v>424815.48</v>
      </c>
    </row>
    <row r="20" spans="1:3" x14ac:dyDescent="0.25">
      <c r="A20">
        <f t="shared" si="0"/>
        <v>18</v>
      </c>
      <c r="B20" t="s">
        <v>20</v>
      </c>
      <c r="C20">
        <v>326999.28000000003</v>
      </c>
    </row>
    <row r="21" spans="1:3" x14ac:dyDescent="0.25">
      <c r="A21">
        <v>19</v>
      </c>
      <c r="B21" t="s">
        <v>24</v>
      </c>
      <c r="C21">
        <v>36811.129999999997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21" sqref="C21"/>
    </sheetView>
  </sheetViews>
  <sheetFormatPr defaultRowHeight="15" x14ac:dyDescent="0.25"/>
  <cols>
    <col min="2" max="2" width="36.85546875" customWidth="1"/>
    <col min="3" max="3" width="27.5703125" customWidth="1"/>
    <col min="4" max="4" width="4.28515625" customWidth="1"/>
    <col min="5" max="6" width="9.140625" hidden="1" customWidth="1"/>
  </cols>
  <sheetData>
    <row r="1" spans="1:3" ht="39" customHeight="1" x14ac:dyDescent="0.25">
      <c r="B1" s="73" t="s">
        <v>21</v>
      </c>
      <c r="C1" s="73"/>
    </row>
    <row r="2" spans="1:3" ht="38.25" customHeight="1" x14ac:dyDescent="0.25">
      <c r="A2" t="s">
        <v>2</v>
      </c>
      <c r="B2" s="1" t="s">
        <v>0</v>
      </c>
      <c r="C2" t="s">
        <v>1</v>
      </c>
    </row>
    <row r="3" spans="1:3" x14ac:dyDescent="0.25">
      <c r="A3">
        <v>1</v>
      </c>
      <c r="B3" t="s">
        <v>3</v>
      </c>
      <c r="C3">
        <v>380954.44</v>
      </c>
    </row>
    <row r="4" spans="1:3" x14ac:dyDescent="0.25">
      <c r="A4">
        <f>A3+1</f>
        <v>2</v>
      </c>
      <c r="B4" t="s">
        <v>4</v>
      </c>
      <c r="C4">
        <v>160481.46</v>
      </c>
    </row>
    <row r="5" spans="1:3" x14ac:dyDescent="0.25">
      <c r="A5">
        <f t="shared" ref="A5:A19" si="0">A4+1</f>
        <v>3</v>
      </c>
      <c r="B5" t="s">
        <v>5</v>
      </c>
      <c r="C5">
        <v>213203.25</v>
      </c>
    </row>
    <row r="6" spans="1:3" x14ac:dyDescent="0.25">
      <c r="A6">
        <f t="shared" si="0"/>
        <v>4</v>
      </c>
      <c r="B6" t="s">
        <v>6</v>
      </c>
      <c r="C6">
        <v>247131.72</v>
      </c>
    </row>
    <row r="7" spans="1:3" x14ac:dyDescent="0.25">
      <c r="A7">
        <f t="shared" si="0"/>
        <v>5</v>
      </c>
      <c r="B7" t="s">
        <v>8</v>
      </c>
      <c r="C7">
        <v>534865.94999999995</v>
      </c>
    </row>
    <row r="8" spans="1:3" x14ac:dyDescent="0.25">
      <c r="A8">
        <f t="shared" si="0"/>
        <v>6</v>
      </c>
      <c r="B8" t="s">
        <v>9</v>
      </c>
      <c r="C8">
        <v>182052.56</v>
      </c>
    </row>
    <row r="9" spans="1:3" x14ac:dyDescent="0.25">
      <c r="A9">
        <f t="shared" si="0"/>
        <v>7</v>
      </c>
      <c r="B9" t="s">
        <v>10</v>
      </c>
      <c r="C9">
        <v>91522.3</v>
      </c>
    </row>
    <row r="10" spans="1:3" x14ac:dyDescent="0.25">
      <c r="A10">
        <f t="shared" si="0"/>
        <v>8</v>
      </c>
      <c r="B10" t="s">
        <v>11</v>
      </c>
      <c r="C10">
        <v>203391.52</v>
      </c>
    </row>
    <row r="11" spans="1:3" x14ac:dyDescent="0.25">
      <c r="A11">
        <f t="shared" si="0"/>
        <v>9</v>
      </c>
      <c r="B11" t="s">
        <v>12</v>
      </c>
      <c r="C11">
        <v>55567.22</v>
      </c>
    </row>
    <row r="12" spans="1:3" x14ac:dyDescent="0.25">
      <c r="A12">
        <f t="shared" si="0"/>
        <v>10</v>
      </c>
      <c r="B12" t="s">
        <v>13</v>
      </c>
      <c r="C12">
        <v>349404.97</v>
      </c>
    </row>
    <row r="13" spans="1:3" x14ac:dyDescent="0.25">
      <c r="A13">
        <f t="shared" si="0"/>
        <v>11</v>
      </c>
      <c r="B13" t="s">
        <v>14</v>
      </c>
      <c r="C13">
        <v>324646.13</v>
      </c>
    </row>
    <row r="14" spans="1:3" x14ac:dyDescent="0.25">
      <c r="A14">
        <f t="shared" si="0"/>
        <v>12</v>
      </c>
      <c r="B14" t="s">
        <v>15</v>
      </c>
      <c r="C14">
        <v>312482.95</v>
      </c>
    </row>
    <row r="15" spans="1:3" x14ac:dyDescent="0.25">
      <c r="A15">
        <f t="shared" si="0"/>
        <v>13</v>
      </c>
      <c r="B15" t="s">
        <v>16</v>
      </c>
      <c r="C15">
        <v>166424.93</v>
      </c>
    </row>
    <row r="16" spans="1:3" x14ac:dyDescent="0.25">
      <c r="A16">
        <f t="shared" si="0"/>
        <v>14</v>
      </c>
      <c r="B16" t="s">
        <v>17</v>
      </c>
      <c r="C16">
        <v>104695.6</v>
      </c>
    </row>
    <row r="17" spans="1:3" x14ac:dyDescent="0.25">
      <c r="A17">
        <f t="shared" si="0"/>
        <v>15</v>
      </c>
      <c r="B17" t="s">
        <v>18</v>
      </c>
      <c r="C17">
        <v>220247.65</v>
      </c>
    </row>
    <row r="18" spans="1:3" x14ac:dyDescent="0.25">
      <c r="A18">
        <f t="shared" si="0"/>
        <v>16</v>
      </c>
      <c r="B18" t="s">
        <v>19</v>
      </c>
      <c r="C18">
        <v>359745.03</v>
      </c>
    </row>
    <row r="19" spans="1:3" x14ac:dyDescent="0.25">
      <c r="A19">
        <f t="shared" si="0"/>
        <v>17</v>
      </c>
      <c r="B19" t="s">
        <v>20</v>
      </c>
      <c r="C19">
        <v>294280.28000000003</v>
      </c>
    </row>
    <row r="20" spans="1:3" x14ac:dyDescent="0.25">
      <c r="A20">
        <v>18</v>
      </c>
      <c r="B20" t="s">
        <v>24</v>
      </c>
      <c r="C20">
        <v>15601.64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11" sqref="C11"/>
    </sheetView>
  </sheetViews>
  <sheetFormatPr defaultRowHeight="15" x14ac:dyDescent="0.25"/>
  <cols>
    <col min="2" max="2" width="36.85546875" customWidth="1"/>
    <col min="3" max="3" width="27.5703125" customWidth="1"/>
    <col min="4" max="4" width="4.28515625" customWidth="1"/>
    <col min="5" max="6" width="9.140625" hidden="1" customWidth="1"/>
  </cols>
  <sheetData>
    <row r="1" spans="1:3" ht="39" customHeight="1" x14ac:dyDescent="0.25">
      <c r="B1" s="73" t="s">
        <v>7</v>
      </c>
      <c r="C1" s="73"/>
    </row>
    <row r="2" spans="1:3" ht="38.25" customHeight="1" x14ac:dyDescent="0.25">
      <c r="A2" t="s">
        <v>2</v>
      </c>
      <c r="B2" s="1" t="s">
        <v>0</v>
      </c>
      <c r="C2" t="s">
        <v>1</v>
      </c>
    </row>
    <row r="3" spans="1:3" x14ac:dyDescent="0.25">
      <c r="A3">
        <v>1</v>
      </c>
      <c r="B3" t="s">
        <v>3</v>
      </c>
      <c r="C3">
        <v>328839.43</v>
      </c>
    </row>
    <row r="4" spans="1:3" x14ac:dyDescent="0.25">
      <c r="A4">
        <f>A3+1</f>
        <v>2</v>
      </c>
      <c r="B4" t="s">
        <v>4</v>
      </c>
      <c r="C4">
        <v>138335.69</v>
      </c>
    </row>
    <row r="5" spans="1:3" x14ac:dyDescent="0.25">
      <c r="A5">
        <f t="shared" ref="A5:A27" si="0">A4+1</f>
        <v>3</v>
      </c>
      <c r="B5" t="s">
        <v>5</v>
      </c>
      <c r="C5">
        <v>162754.14000000001</v>
      </c>
    </row>
    <row r="6" spans="1:3" x14ac:dyDescent="0.25">
      <c r="A6">
        <f t="shared" si="0"/>
        <v>4</v>
      </c>
      <c r="B6" t="s">
        <v>6</v>
      </c>
      <c r="C6">
        <v>215004.2</v>
      </c>
    </row>
    <row r="7" spans="1:3" x14ac:dyDescent="0.25">
      <c r="A7">
        <f t="shared" si="0"/>
        <v>5</v>
      </c>
      <c r="B7" t="s">
        <v>8</v>
      </c>
      <c r="C7">
        <v>460766.69</v>
      </c>
    </row>
    <row r="8" spans="1:3" x14ac:dyDescent="0.25">
      <c r="A8">
        <f t="shared" si="0"/>
        <v>6</v>
      </c>
      <c r="B8" t="s">
        <v>9</v>
      </c>
      <c r="C8">
        <v>161896.79</v>
      </c>
    </row>
    <row r="9" spans="1:3" x14ac:dyDescent="0.25">
      <c r="A9">
        <f t="shared" si="0"/>
        <v>7</v>
      </c>
      <c r="B9" t="s">
        <v>10</v>
      </c>
      <c r="C9">
        <v>66776.25</v>
      </c>
    </row>
    <row r="10" spans="1:3" x14ac:dyDescent="0.25">
      <c r="A10">
        <f t="shared" si="0"/>
        <v>8</v>
      </c>
      <c r="B10" t="s">
        <v>11</v>
      </c>
      <c r="C10">
        <v>158356.25</v>
      </c>
    </row>
    <row r="11" spans="1:3" x14ac:dyDescent="0.25">
      <c r="A11">
        <f t="shared" si="0"/>
        <v>9</v>
      </c>
      <c r="B11" t="s">
        <v>12</v>
      </c>
      <c r="C11">
        <v>46317.67</v>
      </c>
    </row>
    <row r="12" spans="1:3" x14ac:dyDescent="0.25">
      <c r="A12">
        <f t="shared" si="0"/>
        <v>10</v>
      </c>
      <c r="B12" t="s">
        <v>13</v>
      </c>
      <c r="C12">
        <v>305279.52</v>
      </c>
    </row>
    <row r="13" spans="1:3" x14ac:dyDescent="0.25">
      <c r="A13">
        <f t="shared" si="0"/>
        <v>11</v>
      </c>
      <c r="B13" t="s">
        <v>14</v>
      </c>
      <c r="C13">
        <v>285416.15999999997</v>
      </c>
    </row>
    <row r="14" spans="1:3" x14ac:dyDescent="0.25">
      <c r="A14">
        <f t="shared" si="0"/>
        <v>12</v>
      </c>
      <c r="B14" t="s">
        <v>15</v>
      </c>
      <c r="C14">
        <v>278085.45</v>
      </c>
    </row>
    <row r="15" spans="1:3" x14ac:dyDescent="0.25">
      <c r="A15">
        <f t="shared" si="0"/>
        <v>13</v>
      </c>
      <c r="B15" t="s">
        <v>16</v>
      </c>
      <c r="C15">
        <v>117515.7</v>
      </c>
    </row>
    <row r="16" spans="1:3" x14ac:dyDescent="0.25">
      <c r="A16">
        <f t="shared" si="0"/>
        <v>14</v>
      </c>
      <c r="B16" t="s">
        <v>17</v>
      </c>
      <c r="C16">
        <v>76665.2</v>
      </c>
    </row>
    <row r="17" spans="1:3" x14ac:dyDescent="0.25">
      <c r="A17">
        <f t="shared" si="0"/>
        <v>15</v>
      </c>
      <c r="B17" t="s">
        <v>18</v>
      </c>
      <c r="C17">
        <v>183922.67</v>
      </c>
    </row>
    <row r="18" spans="1:3" x14ac:dyDescent="0.25">
      <c r="A18">
        <f t="shared" si="0"/>
        <v>16</v>
      </c>
      <c r="B18" t="s">
        <v>19</v>
      </c>
      <c r="C18">
        <v>199244.02</v>
      </c>
    </row>
    <row r="19" spans="1:3" x14ac:dyDescent="0.25">
      <c r="A19">
        <f t="shared" si="0"/>
        <v>17</v>
      </c>
      <c r="B19" t="s">
        <v>20</v>
      </c>
      <c r="C19">
        <v>249031.6</v>
      </c>
    </row>
    <row r="20" spans="1:3" x14ac:dyDescent="0.25">
      <c r="A20">
        <f t="shared" si="0"/>
        <v>18</v>
      </c>
    </row>
    <row r="21" spans="1:3" x14ac:dyDescent="0.25">
      <c r="A21">
        <f t="shared" si="0"/>
        <v>19</v>
      </c>
    </row>
    <row r="22" spans="1:3" x14ac:dyDescent="0.25">
      <c r="A22">
        <f t="shared" si="0"/>
        <v>20</v>
      </c>
    </row>
    <row r="23" spans="1:3" x14ac:dyDescent="0.25">
      <c r="A23">
        <f t="shared" si="0"/>
        <v>21</v>
      </c>
    </row>
    <row r="24" spans="1:3" x14ac:dyDescent="0.25">
      <c r="A24">
        <f t="shared" si="0"/>
        <v>22</v>
      </c>
    </row>
    <row r="25" spans="1:3" x14ac:dyDescent="0.25">
      <c r="A25">
        <f t="shared" si="0"/>
        <v>23</v>
      </c>
    </row>
    <row r="26" spans="1:3" x14ac:dyDescent="0.25">
      <c r="A26">
        <f t="shared" si="0"/>
        <v>24</v>
      </c>
    </row>
    <row r="27" spans="1:3" x14ac:dyDescent="0.25">
      <c r="A27">
        <f t="shared" si="0"/>
        <v>25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I11" sqref="I11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 x14ac:dyDescent="0.25">
      <c r="B1" s="73" t="s">
        <v>70</v>
      </c>
      <c r="C1" s="73"/>
      <c r="D1" s="73"/>
      <c r="E1" s="73"/>
    </row>
    <row r="2" spans="1:5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 x14ac:dyDescent="0.25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</f>
        <v>2371688.2200000002</v>
      </c>
      <c r="D3" s="32">
        <f>1082751.87+16000+858545.29+170514.71+130000+65000</f>
        <v>2322811.87</v>
      </c>
      <c r="E3" s="63">
        <f>C3-D3</f>
        <v>48876.350000000093</v>
      </c>
    </row>
    <row r="4" spans="1:5" s="15" customFormat="1" x14ac:dyDescent="0.25">
      <c r="A4" s="31">
        <f>A3+1</f>
        <v>2</v>
      </c>
      <c r="B4" s="31" t="s">
        <v>4</v>
      </c>
      <c r="C4" s="32">
        <f>D4+E4</f>
        <v>1003011.19</v>
      </c>
      <c r="D4" s="32">
        <f>156000+364454</f>
        <v>520454</v>
      </c>
      <c r="E4" s="63">
        <v>482557.19</v>
      </c>
    </row>
    <row r="5" spans="1:5" s="15" customFormat="1" x14ac:dyDescent="0.25">
      <c r="A5" s="31">
        <v>3</v>
      </c>
      <c r="B5" s="31" t="s">
        <v>5</v>
      </c>
      <c r="C5" s="32">
        <f>D5+E5</f>
        <v>2967780.0799999996</v>
      </c>
      <c r="D5" s="32"/>
      <c r="E5" s="35">
        <f>2116692.9+98468.42+97921.51+70568.76+110096.23+75640.03+87494.39+163293.49+72649.77+74954.58</f>
        <v>2967780.0799999996</v>
      </c>
    </row>
    <row r="6" spans="1:5" s="15" customFormat="1" x14ac:dyDescent="0.25">
      <c r="A6" s="31">
        <f t="shared" ref="A6" si="0">A5+1</f>
        <v>4</v>
      </c>
      <c r="B6" s="31" t="s">
        <v>6</v>
      </c>
      <c r="C6" s="32">
        <f>D6+E6</f>
        <v>1719856.23</v>
      </c>
      <c r="D6" s="32">
        <f>599075+75400+75468+173143+173143.97</f>
        <v>1096229.97</v>
      </c>
      <c r="E6" s="63">
        <v>623626.26</v>
      </c>
    </row>
    <row r="7" spans="1:5" s="15" customFormat="1" x14ac:dyDescent="0.25">
      <c r="A7" s="31">
        <v>5</v>
      </c>
      <c r="B7" s="31" t="s">
        <v>8</v>
      </c>
      <c r="C7" s="32">
        <v>3810703.01</v>
      </c>
      <c r="D7" s="32"/>
      <c r="E7" s="63">
        <f>C7</f>
        <v>3810703.01</v>
      </c>
    </row>
    <row r="8" spans="1:5" s="15" customFormat="1" x14ac:dyDescent="0.25">
      <c r="A8" s="31">
        <f t="shared" ref="A8" si="1">A7+1</f>
        <v>6</v>
      </c>
      <c r="B8" s="31" t="s">
        <v>9</v>
      </c>
      <c r="C8" s="32">
        <v>1102852.6599999999</v>
      </c>
      <c r="D8" s="32"/>
      <c r="E8" s="63">
        <f>C8</f>
        <v>1102852.6599999999</v>
      </c>
    </row>
    <row r="9" spans="1:5" s="15" customFormat="1" x14ac:dyDescent="0.25">
      <c r="A9" s="31">
        <v>7</v>
      </c>
      <c r="B9" s="31" t="s">
        <v>10</v>
      </c>
      <c r="C9" s="32">
        <v>1168674.3999999999</v>
      </c>
      <c r="D9" s="32"/>
      <c r="E9" s="63">
        <f>C9</f>
        <v>1168674.3999999999</v>
      </c>
    </row>
    <row r="10" spans="1:5" s="15" customFormat="1" x14ac:dyDescent="0.25">
      <c r="A10" s="31">
        <f t="shared" ref="A10" si="2">A9+1</f>
        <v>8</v>
      </c>
      <c r="B10" s="31" t="s">
        <v>11</v>
      </c>
      <c r="C10" s="32">
        <f>1426796.9+49164.05+54345.59+50217.87+64217.66+56735.24+53528.79+54376.64+47289.29+77572.92</f>
        <v>1934244.95</v>
      </c>
      <c r="D10" s="32">
        <v>171327.75</v>
      </c>
      <c r="E10" s="63">
        <f>C10-D10</f>
        <v>1762917.2</v>
      </c>
    </row>
    <row r="11" spans="1:5" s="15" customFormat="1" x14ac:dyDescent="0.25">
      <c r="A11" s="31">
        <v>9</v>
      </c>
      <c r="B11" s="31" t="s">
        <v>12</v>
      </c>
      <c r="C11" s="32">
        <f>392830.67+10227.98+7507.27+37359.94</f>
        <v>447925.86</v>
      </c>
      <c r="D11" s="32">
        <v>240000</v>
      </c>
      <c r="E11" s="63">
        <f>C11-D11</f>
        <v>207925.86</v>
      </c>
    </row>
    <row r="12" spans="1:5" s="15" customFormat="1" x14ac:dyDescent="0.25">
      <c r="A12" s="31">
        <f t="shared" ref="A12" si="3">A11+1</f>
        <v>10</v>
      </c>
      <c r="B12" s="31" t="s">
        <v>13</v>
      </c>
      <c r="C12" s="32">
        <f>1873546.99+59634.56+57087.18+58719.75+60861.51+68001.27</f>
        <v>2177851.2599999998</v>
      </c>
      <c r="D12" s="32"/>
      <c r="E12" s="63">
        <f>C12-D12</f>
        <v>2177851.2599999998</v>
      </c>
    </row>
    <row r="13" spans="1:5" s="15" customFormat="1" x14ac:dyDescent="0.25">
      <c r="A13" s="31">
        <v>11</v>
      </c>
      <c r="B13" s="31" t="s">
        <v>14</v>
      </c>
      <c r="C13" s="32">
        <f>1726987.63+56085.46+52117.68+55483.96+53801.15+66336.23</f>
        <v>2010812.1099999996</v>
      </c>
      <c r="D13" s="32"/>
      <c r="E13" s="63">
        <f>C13-D13</f>
        <v>2010812.1099999996</v>
      </c>
    </row>
    <row r="14" spans="1:5" s="15" customFormat="1" x14ac:dyDescent="0.25">
      <c r="A14" s="31">
        <v>13</v>
      </c>
      <c r="B14" s="31" t="s">
        <v>16</v>
      </c>
      <c r="C14" s="32">
        <f>D14+E14</f>
        <v>2512380.7599999998</v>
      </c>
      <c r="D14" s="32"/>
      <c r="E14" s="35">
        <f>1680872.01+107870.69+115716.23+78935.88+79402.42+74796.29+97957.16+80778.36+59717.02+64290.94+72043.76</f>
        <v>2512380.7599999998</v>
      </c>
    </row>
    <row r="15" spans="1:5" s="15" customFormat="1" x14ac:dyDescent="0.25">
      <c r="A15" s="31">
        <f>A13+1</f>
        <v>12</v>
      </c>
      <c r="B15" s="31" t="s">
        <v>15</v>
      </c>
      <c r="C15" s="32">
        <f>1638673.3+64083.01+60114.23+50325.89+43436.56+66814.4</f>
        <v>1923447.39</v>
      </c>
      <c r="D15" s="31"/>
      <c r="E15" s="63">
        <f>C15</f>
        <v>1923447.39</v>
      </c>
    </row>
    <row r="16" spans="1:5" s="15" customFormat="1" x14ac:dyDescent="0.25">
      <c r="A16" s="31">
        <f>A14+1</f>
        <v>14</v>
      </c>
      <c r="B16" s="31" t="s">
        <v>23</v>
      </c>
      <c r="C16" s="32">
        <f>E16+D16</f>
        <v>699216.33</v>
      </c>
      <c r="D16" s="61">
        <f>248000+292700+40000+50000+60000</f>
        <v>690700</v>
      </c>
      <c r="E16" s="63">
        <v>8516.33</v>
      </c>
    </row>
    <row r="17" spans="1:9" s="15" customFormat="1" x14ac:dyDescent="0.25">
      <c r="A17" s="31">
        <v>15</v>
      </c>
      <c r="B17" s="31" t="s">
        <v>18</v>
      </c>
      <c r="C17" s="32">
        <f>1927381.82+581181.42+150328.58+69057.1+65263.95+227.75+235122.55+75421.82+78833+44293.06+1138.75+170751.71+20627.85+114673.32+931+141251.17+66530.76+68580.39+98135.23</f>
        <v>3909731.23</v>
      </c>
      <c r="D17" s="31">
        <f>238142.93+625976.1</f>
        <v>864119.03</v>
      </c>
      <c r="E17" s="35">
        <f>C17-D17</f>
        <v>3045612.2</v>
      </c>
    </row>
    <row r="18" spans="1:9" s="15" customFormat="1" x14ac:dyDescent="0.25">
      <c r="A18" s="31">
        <f t="shared" ref="A18" si="4">A17+1</f>
        <v>16</v>
      </c>
      <c r="B18" s="31" t="s">
        <v>19</v>
      </c>
      <c r="C18" s="32">
        <f>1430168.98+28150.03+105029.89+1891.93+53561.01+56398.95+66972.53+54824.74+61243.97+39742.57+64667.57+63523.47+66961.15+57952.32+60569.58+72741.31</f>
        <v>2284400</v>
      </c>
      <c r="D18" s="31">
        <f>629968.1+105030</f>
        <v>734998.1</v>
      </c>
      <c r="E18" s="35">
        <f>C18-D18</f>
        <v>1549401.9</v>
      </c>
      <c r="I18" s="67"/>
    </row>
    <row r="19" spans="1:9" s="15" customFormat="1" x14ac:dyDescent="0.25">
      <c r="A19" s="31">
        <v>17</v>
      </c>
      <c r="B19" s="31" t="s">
        <v>34</v>
      </c>
      <c r="C19" s="31">
        <f>1011152.61+47100.97+38.91+49797.16+42564.45+36144.08+50297.73+41790.2+45743.79+42383.57+46782.43+47151.31+44150.67+46969.97+36821+54633</f>
        <v>1643521.8499999999</v>
      </c>
      <c r="D19" s="31">
        <f>807750+203011+221000+129000</f>
        <v>1360761</v>
      </c>
      <c r="E19" s="35">
        <f>C19-D19</f>
        <v>282760.84999999986</v>
      </c>
    </row>
    <row r="20" spans="1:9" s="15" customFormat="1" x14ac:dyDescent="0.25">
      <c r="A20" s="31">
        <v>19</v>
      </c>
      <c r="B20" s="31" t="s">
        <v>26</v>
      </c>
      <c r="C20" s="32">
        <f>E20+D20</f>
        <v>6739425.7800000003</v>
      </c>
      <c r="D20" s="31">
        <v>688405.61</v>
      </c>
      <c r="E20" s="63">
        <v>6051020.1699999999</v>
      </c>
      <c r="H20" s="14"/>
    </row>
    <row r="21" spans="1:9" s="15" customFormat="1" x14ac:dyDescent="0.25">
      <c r="A21" s="31">
        <f t="shared" ref="A21" si="5">A20+1</f>
        <v>20</v>
      </c>
      <c r="B21" s="31" t="s">
        <v>27</v>
      </c>
      <c r="C21" s="32">
        <f>889433.59+39350.9+44229.36+43365.32+45078.28+31666.17+54786.43+37997.99+33596.17</f>
        <v>1219504.2099999997</v>
      </c>
      <c r="D21" s="31"/>
      <c r="E21" s="63">
        <f>C21</f>
        <v>1219504.2099999997</v>
      </c>
    </row>
    <row r="22" spans="1:9" s="15" customFormat="1" x14ac:dyDescent="0.25">
      <c r="A22" s="31">
        <v>21</v>
      </c>
      <c r="B22" s="31" t="s">
        <v>28</v>
      </c>
      <c r="C22" s="32">
        <f>5566.73+82248.54+613635.28+63748.73+1657.36+34894.87+38.51+3911.59+625.75+40159.59+37410.39+19930.35+47876.66+76048.03+69722.05</f>
        <v>1097474.43</v>
      </c>
      <c r="D22" s="31"/>
      <c r="E22" s="63">
        <f>C22-D22</f>
        <v>1097474.43</v>
      </c>
    </row>
    <row r="23" spans="1:9" s="15" customFormat="1" x14ac:dyDescent="0.25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536037.29-5674.03+30089.15+36989.2+60.53+35059.37+28224.71+25783.78+48033.66+27339.76+41632.91+39526.17+35094.74+28437.64+42127.29+35434.77+32632.57+38484.24+34803.57+25388.9+42595.51</f>
        <v>1158101.7300000002</v>
      </c>
      <c r="D23" s="31">
        <v>200000</v>
      </c>
      <c r="E23" s="63">
        <f>C23-D23</f>
        <v>958101.73000000021</v>
      </c>
    </row>
    <row r="24" spans="1:9" s="15" customFormat="1" x14ac:dyDescent="0.25">
      <c r="A24" s="31">
        <v>23</v>
      </c>
      <c r="B24" s="31" t="s">
        <v>55</v>
      </c>
      <c r="C24" s="31">
        <f>19243.97+890303.39+61201.14+75730.82+81724.42+27616.97+22147.67+25601.14+42293.88+35808.96+27642.12+16454.74+43308.8</f>
        <v>1369078.0199999998</v>
      </c>
      <c r="D24" s="31"/>
      <c r="E24" s="63">
        <f>C24-D24</f>
        <v>1369078.0199999998</v>
      </c>
    </row>
    <row r="25" spans="1:9" s="15" customFormat="1" x14ac:dyDescent="0.25">
      <c r="A25" s="31">
        <v>24</v>
      </c>
      <c r="B25" s="31" t="s">
        <v>58</v>
      </c>
      <c r="C25" s="31">
        <v>2226492.14</v>
      </c>
      <c r="D25" s="31">
        <v>860175.16</v>
      </c>
      <c r="E25" s="63">
        <v>1366316.98</v>
      </c>
    </row>
    <row r="26" spans="1:9" s="11" customFormat="1" x14ac:dyDescent="0.25">
      <c r="A26" s="30">
        <v>25</v>
      </c>
      <c r="B26" s="30" t="s">
        <v>65</v>
      </c>
      <c r="C26" s="30">
        <f>60928.09+1836125.58+214047.89+120437.88+75783.1+152088.98</f>
        <v>2459411.52</v>
      </c>
      <c r="D26" s="30">
        <f>659947.16</f>
        <v>659947.16</v>
      </c>
      <c r="E26" s="63">
        <f>C26-D26</f>
        <v>1799464.3599999999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17" sqref="C17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 x14ac:dyDescent="0.25">
      <c r="B1" s="73" t="s">
        <v>69</v>
      </c>
      <c r="C1" s="73"/>
      <c r="D1" s="73"/>
      <c r="E1" s="73"/>
    </row>
    <row r="2" spans="1:5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 x14ac:dyDescent="0.25">
      <c r="A3" s="69">
        <v>1</v>
      </c>
      <c r="B3" s="69" t="s">
        <v>3</v>
      </c>
      <c r="C3" s="70">
        <f>1198405.34+61628.71+55224.6+55725.8+51506.44+51388.62+79931.77+56783.34+61433.64+66573+48000.74+109480.08+60996.09+64053.18+57256.32+86515.27+65979.17+58313.83</f>
        <v>2289195.9400000004</v>
      </c>
      <c r="D3" s="70">
        <f>1082751.87+16000+858545.29+170514.71+130000</f>
        <v>2257811.87</v>
      </c>
      <c r="E3" s="71">
        <f>C3-D3</f>
        <v>31384.070000000298</v>
      </c>
    </row>
    <row r="4" spans="1:5" s="15" customFormat="1" x14ac:dyDescent="0.25">
      <c r="A4" s="31">
        <f>A3+1</f>
        <v>2</v>
      </c>
      <c r="B4" s="31" t="s">
        <v>4</v>
      </c>
      <c r="C4" s="32">
        <f>D4+E4</f>
        <v>970810.34000000008</v>
      </c>
      <c r="D4" s="32">
        <f>156000+364454</f>
        <v>520454</v>
      </c>
      <c r="E4" s="63">
        <v>450356.34</v>
      </c>
    </row>
    <row r="5" spans="1:5" s="15" customFormat="1" x14ac:dyDescent="0.25">
      <c r="A5" s="31">
        <v>3</v>
      </c>
      <c r="B5" s="31" t="s">
        <v>5</v>
      </c>
      <c r="C5" s="32">
        <f>D5+E5</f>
        <v>2892825.4999999995</v>
      </c>
      <c r="D5" s="32"/>
      <c r="E5" s="35">
        <f>2116692.9+98468.42+97921.51+70568.76+110096.23+75640.03+87494.39+163293.49+72649.77</f>
        <v>2892825.4999999995</v>
      </c>
    </row>
    <row r="6" spans="1:5" s="15" customFormat="1" x14ac:dyDescent="0.25">
      <c r="A6" s="31">
        <f t="shared" ref="A6" si="0">A5+1</f>
        <v>4</v>
      </c>
      <c r="B6" s="31" t="s">
        <v>6</v>
      </c>
      <c r="C6" s="32">
        <f>D6+E6</f>
        <v>1657447.71</v>
      </c>
      <c r="D6" s="32">
        <f>599075+75400+75468+173143+173143.97</f>
        <v>1096229.97</v>
      </c>
      <c r="E6" s="63">
        <v>561217.74</v>
      </c>
    </row>
    <row r="7" spans="1:5" s="15" customFormat="1" x14ac:dyDescent="0.25">
      <c r="A7" s="31">
        <v>5</v>
      </c>
      <c r="B7" s="31" t="s">
        <v>8</v>
      </c>
      <c r="C7" s="32">
        <v>3691082.99</v>
      </c>
      <c r="D7" s="32"/>
      <c r="E7" s="63">
        <f>C7</f>
        <v>3691082.99</v>
      </c>
    </row>
    <row r="8" spans="1:5" s="15" customFormat="1" x14ac:dyDescent="0.25">
      <c r="A8" s="31">
        <f t="shared" ref="A8" si="1">A7+1</f>
        <v>6</v>
      </c>
      <c r="B8" s="31" t="s">
        <v>9</v>
      </c>
      <c r="C8" s="32">
        <v>1056768.6499999999</v>
      </c>
      <c r="D8" s="32"/>
      <c r="E8" s="63">
        <f>C8</f>
        <v>1056768.6499999999</v>
      </c>
    </row>
    <row r="9" spans="1:5" s="15" customFormat="1" x14ac:dyDescent="0.25">
      <c r="A9" s="31">
        <v>7</v>
      </c>
      <c r="B9" s="31" t="s">
        <v>10</v>
      </c>
      <c r="C9" s="32">
        <v>1116672.43</v>
      </c>
      <c r="D9" s="32"/>
      <c r="E9" s="63">
        <f>C9</f>
        <v>1116672.43</v>
      </c>
    </row>
    <row r="10" spans="1:5" s="15" customFormat="1" x14ac:dyDescent="0.25">
      <c r="A10" s="31">
        <f t="shared" ref="A10" si="2">A9+1</f>
        <v>8</v>
      </c>
      <c r="B10" s="31" t="s">
        <v>11</v>
      </c>
      <c r="C10" s="32">
        <f>1426796.9+49164.05+54345.59+50217.87+64217.66+56735.24+53528.79+54376.64+47289.29</f>
        <v>1856672.03</v>
      </c>
      <c r="D10" s="32">
        <v>171327.75</v>
      </c>
      <c r="E10" s="63">
        <f>C10-D10</f>
        <v>1685344.28</v>
      </c>
    </row>
    <row r="11" spans="1:5" s="15" customFormat="1" x14ac:dyDescent="0.25">
      <c r="A11" s="31">
        <v>9</v>
      </c>
      <c r="B11" s="31" t="s">
        <v>12</v>
      </c>
      <c r="C11" s="32">
        <f>392830.67+10227.98+7507.27</f>
        <v>410565.92</v>
      </c>
      <c r="D11" s="32">
        <v>240000</v>
      </c>
      <c r="E11" s="63">
        <f>C11-D11</f>
        <v>170565.91999999998</v>
      </c>
    </row>
    <row r="12" spans="1:5" s="15" customFormat="1" x14ac:dyDescent="0.25">
      <c r="A12" s="31">
        <f t="shared" ref="A12" si="3">A11+1</f>
        <v>10</v>
      </c>
      <c r="B12" s="31" t="s">
        <v>13</v>
      </c>
      <c r="C12" s="32">
        <f>1873546.99+59634.56+57087.18+58719.75+60861.51</f>
        <v>2109849.9899999998</v>
      </c>
      <c r="D12" s="32"/>
      <c r="E12" s="63">
        <f>C12-D12</f>
        <v>2109849.9899999998</v>
      </c>
    </row>
    <row r="13" spans="1:5" s="15" customFormat="1" x14ac:dyDescent="0.25">
      <c r="A13" s="31">
        <v>11</v>
      </c>
      <c r="B13" s="31" t="s">
        <v>14</v>
      </c>
      <c r="C13" s="32">
        <f>1726987.63+56085.46+52117.68+55483.96+53801.15</f>
        <v>1944475.8799999997</v>
      </c>
      <c r="D13" s="32"/>
      <c r="E13" s="63">
        <f>C13-D13</f>
        <v>1944475.8799999997</v>
      </c>
    </row>
    <row r="14" spans="1:5" s="15" customFormat="1" x14ac:dyDescent="0.25">
      <c r="A14" s="31">
        <v>13</v>
      </c>
      <c r="B14" s="31" t="s">
        <v>16</v>
      </c>
      <c r="C14" s="32">
        <f>D14+E14</f>
        <v>2440337</v>
      </c>
      <c r="D14" s="32"/>
      <c r="E14" s="35">
        <f>1680872.01+107870.69+115716.23+78935.88+79402.42+74796.29+97957.16+80778.36+59717.02+64290.94</f>
        <v>2440337</v>
      </c>
    </row>
    <row r="15" spans="1:5" s="15" customFormat="1" x14ac:dyDescent="0.25">
      <c r="A15" s="31">
        <f>A13+1</f>
        <v>12</v>
      </c>
      <c r="B15" s="31" t="s">
        <v>15</v>
      </c>
      <c r="C15" s="32">
        <f>1638673.3+64083.01+60114.23+50325.89+43436.56</f>
        <v>1856632.99</v>
      </c>
      <c r="D15" s="31"/>
      <c r="E15" s="63">
        <f>C15</f>
        <v>1856632.99</v>
      </c>
    </row>
    <row r="16" spans="1:5" s="15" customFormat="1" x14ac:dyDescent="0.25">
      <c r="A16" s="31">
        <f>A14+1</f>
        <v>14</v>
      </c>
      <c r="B16" s="31" t="s">
        <v>23</v>
      </c>
      <c r="C16" s="32">
        <f>E16+D16</f>
        <v>674055.95</v>
      </c>
      <c r="D16" s="61">
        <f>248000+292700+40000+50000</f>
        <v>630700</v>
      </c>
      <c r="E16" s="63">
        <v>43355.95</v>
      </c>
    </row>
    <row r="17" spans="1:9" s="15" customFormat="1" x14ac:dyDescent="0.25">
      <c r="A17" s="31">
        <v>15</v>
      </c>
      <c r="B17" s="31" t="s">
        <v>18</v>
      </c>
      <c r="C17" s="32">
        <f>1927381.82+581181.42+150328.58+69057.1+65263.95+227.75+235122.55+75421.82+78833+44293.06+1138.75+170751.71+20627.85+114673.32+931+141251.17+66530.76+68580.39</f>
        <v>3811596</v>
      </c>
      <c r="D17" s="31">
        <f>238142.93+625976.1</f>
        <v>864119.03</v>
      </c>
      <c r="E17" s="35">
        <f>C17-D17</f>
        <v>2947476.9699999997</v>
      </c>
    </row>
    <row r="18" spans="1:9" s="15" customFormat="1" x14ac:dyDescent="0.25">
      <c r="A18" s="31">
        <f t="shared" ref="A18" si="4">A17+1</f>
        <v>16</v>
      </c>
      <c r="B18" s="31" t="s">
        <v>19</v>
      </c>
      <c r="C18" s="32">
        <f>1430168.98+28150.03+105029.89+1891.93+53561.01+56398.95+66972.53+54824.74+61243.97+39742.57+64667.57+63523.47+66961.15+57952.32+60569.58</f>
        <v>2211658.69</v>
      </c>
      <c r="D18" s="31">
        <f>629968.1+105030</f>
        <v>734998.1</v>
      </c>
      <c r="E18" s="35">
        <f>C18-D18</f>
        <v>1476660.5899999999</v>
      </c>
      <c r="I18" s="67"/>
    </row>
    <row r="19" spans="1:9" s="15" customFormat="1" x14ac:dyDescent="0.25">
      <c r="A19" s="31">
        <v>17</v>
      </c>
      <c r="B19" s="31" t="s">
        <v>34</v>
      </c>
      <c r="C19" s="31">
        <f>1011152.61+47100.97+38.91+49797.16+42564.45+36144.08+50297.73+41790.2+45743.79+42383.57+46782.43+47151.31+44150.67+46969.97+36821</f>
        <v>1588888.8499999999</v>
      </c>
      <c r="D19" s="31">
        <f>807750+203011+221000+129000</f>
        <v>1360761</v>
      </c>
      <c r="E19" s="35">
        <f>C19-D19</f>
        <v>228127.84999999986</v>
      </c>
    </row>
    <row r="20" spans="1:9" s="15" customFormat="1" x14ac:dyDescent="0.25">
      <c r="A20" s="31">
        <v>19</v>
      </c>
      <c r="B20" s="31" t="s">
        <v>26</v>
      </c>
      <c r="C20" s="32">
        <f>E20+D20</f>
        <v>6525723.7600000007</v>
      </c>
      <c r="D20" s="31">
        <v>688405.61</v>
      </c>
      <c r="E20" s="63">
        <v>5837318.1500000004</v>
      </c>
      <c r="H20" s="14"/>
    </row>
    <row r="21" spans="1:9" s="15" customFormat="1" x14ac:dyDescent="0.25">
      <c r="A21" s="31">
        <f t="shared" ref="A21" si="5">A20+1</f>
        <v>20</v>
      </c>
      <c r="B21" s="31" t="s">
        <v>27</v>
      </c>
      <c r="C21" s="32">
        <f>889433.59+39350.9+44229.36+43365.32+45078.28+31666.17+54786.43+37997.99</f>
        <v>1185908.0399999998</v>
      </c>
      <c r="D21" s="31"/>
      <c r="E21" s="63">
        <f>C21</f>
        <v>1185908.0399999998</v>
      </c>
    </row>
    <row r="22" spans="1:9" s="15" customFormat="1" x14ac:dyDescent="0.25">
      <c r="A22" s="31">
        <v>21</v>
      </c>
      <c r="B22" s="31" t="s">
        <v>28</v>
      </c>
      <c r="C22" s="32">
        <f>5566.73+82248.54+613635.28+63748.73+1657.36+34894.87+38.51+3911.59+625.75+40159.59+37410.39+19930.35+47876.66+76048.03</f>
        <v>1027752.38</v>
      </c>
      <c r="D22" s="31"/>
      <c r="E22" s="63">
        <f>C22-D22</f>
        <v>1027752.38</v>
      </c>
    </row>
    <row r="23" spans="1:9" s="15" customFormat="1" x14ac:dyDescent="0.25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536037.29-5674.03+30089.15+36989.2+60.53+35059.37+28224.71+25783.78+48033.66+27339.76+41632.91+39526.17+35094.74+28437.64+42127.29+35434.77+32632.57+38484.24+34803.57+25388.9</f>
        <v>1115506.2200000002</v>
      </c>
      <c r="D23" s="31">
        <v>200000</v>
      </c>
      <c r="E23" s="63">
        <f>C23-D23</f>
        <v>915506.2200000002</v>
      </c>
    </row>
    <row r="24" spans="1:9" s="15" customFormat="1" x14ac:dyDescent="0.25">
      <c r="A24" s="31">
        <v>23</v>
      </c>
      <c r="B24" s="31" t="s">
        <v>55</v>
      </c>
      <c r="C24" s="31">
        <f>19243.97+890303.39+61201.14+75730.82+81724.42+27616.97+22147.67+25601.14+42293.88+35808.96+27642.12+16454.74</f>
        <v>1325769.2199999997</v>
      </c>
      <c r="D24" s="31"/>
      <c r="E24" s="63">
        <f>C24-D24</f>
        <v>1325769.2199999997</v>
      </c>
    </row>
    <row r="25" spans="1:9" s="15" customFormat="1" x14ac:dyDescent="0.25">
      <c r="A25" s="31">
        <v>24</v>
      </c>
      <c r="B25" s="31" t="s">
        <v>58</v>
      </c>
      <c r="C25" s="31">
        <v>2121827.2799999998</v>
      </c>
      <c r="D25" s="31">
        <v>860175.16</v>
      </c>
      <c r="E25" s="63">
        <v>1261652.1200000001</v>
      </c>
    </row>
    <row r="26" spans="1:9" s="11" customFormat="1" x14ac:dyDescent="0.25">
      <c r="A26" s="30">
        <v>25</v>
      </c>
      <c r="B26" s="30" t="s">
        <v>65</v>
      </c>
      <c r="C26" s="30">
        <f>60928.09+1836125.58+214047.89+120437.88+75783.1</f>
        <v>2307322.54</v>
      </c>
      <c r="D26" s="30">
        <v>659947.16</v>
      </c>
      <c r="E26" s="63">
        <f>C26-D26</f>
        <v>1647375.38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17" sqref="E17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 x14ac:dyDescent="0.25">
      <c r="B1" s="73" t="s">
        <v>68</v>
      </c>
      <c r="C1" s="73"/>
      <c r="D1" s="73"/>
      <c r="E1" s="73"/>
    </row>
    <row r="2" spans="1:5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 x14ac:dyDescent="0.25">
      <c r="A3" s="69">
        <v>1</v>
      </c>
      <c r="B3" s="69" t="s">
        <v>3</v>
      </c>
      <c r="C3" s="70">
        <f>1198405.34+61628.71+55224.6+55725.8+51506.44+51388.62+79931.77+56783.34+61433.64+66573+48000.74+109480.08+60996.09+64053.18+57256.32+86515.27+65979.17</f>
        <v>2230882.1100000003</v>
      </c>
      <c r="D3" s="70">
        <f>1082751.87+16000+858545.29+170514.71</f>
        <v>2127811.87</v>
      </c>
      <c r="E3" s="71">
        <f>C3-D3</f>
        <v>103070.24000000022</v>
      </c>
    </row>
    <row r="4" spans="1:5" s="47" customFormat="1" x14ac:dyDescent="0.25">
      <c r="A4" s="42">
        <f>A3+1</f>
        <v>2</v>
      </c>
      <c r="B4" s="42" t="s">
        <v>4</v>
      </c>
      <c r="C4" s="43">
        <f>D4+E4</f>
        <v>955436.54</v>
      </c>
      <c r="D4" s="43">
        <f>156000+364454</f>
        <v>520454</v>
      </c>
      <c r="E4" s="64">
        <v>434982.54</v>
      </c>
    </row>
    <row r="5" spans="1:5" s="47" customFormat="1" x14ac:dyDescent="0.25">
      <c r="A5" s="42">
        <v>3</v>
      </c>
      <c r="B5" s="42" t="s">
        <v>5</v>
      </c>
      <c r="C5" s="43">
        <f>D5+E5</f>
        <v>2820175.7299999995</v>
      </c>
      <c r="D5" s="43"/>
      <c r="E5" s="49">
        <f>2116692.9+98468.42+97921.51+70568.76+110096.23+75640.03+87494.39+163293.49</f>
        <v>2820175.7299999995</v>
      </c>
    </row>
    <row r="6" spans="1:5" s="47" customFormat="1" x14ac:dyDescent="0.25">
      <c r="A6" s="42">
        <f t="shared" ref="A6" si="0">A5+1</f>
        <v>4</v>
      </c>
      <c r="B6" s="42" t="s">
        <v>6</v>
      </c>
      <c r="C6" s="43">
        <f>D6+E6</f>
        <v>1541776.8</v>
      </c>
      <c r="D6" s="43">
        <f>599075+75400+75468+173143+173143.97</f>
        <v>1096229.97</v>
      </c>
      <c r="E6" s="64">
        <v>445546.83</v>
      </c>
    </row>
    <row r="7" spans="1:5" s="15" customFormat="1" x14ac:dyDescent="0.25">
      <c r="A7" s="31">
        <v>5</v>
      </c>
      <c r="B7" s="31" t="s">
        <v>8</v>
      </c>
      <c r="C7" s="32">
        <v>3607390.76</v>
      </c>
      <c r="D7" s="32"/>
      <c r="E7" s="63">
        <f>C7</f>
        <v>3607390.76</v>
      </c>
    </row>
    <row r="8" spans="1:5" s="15" customFormat="1" x14ac:dyDescent="0.25">
      <c r="A8" s="31">
        <f t="shared" ref="A8" si="1">A7+1</f>
        <v>6</v>
      </c>
      <c r="B8" s="31" t="s">
        <v>9</v>
      </c>
      <c r="C8" s="32">
        <v>1039265.66</v>
      </c>
      <c r="D8" s="32"/>
      <c r="E8" s="63">
        <f>C8</f>
        <v>1039265.66</v>
      </c>
    </row>
    <row r="9" spans="1:5" s="15" customFormat="1" x14ac:dyDescent="0.25">
      <c r="A9" s="31">
        <v>7</v>
      </c>
      <c r="B9" s="31" t="s">
        <v>10</v>
      </c>
      <c r="C9" s="32">
        <v>1096328.3400000001</v>
      </c>
      <c r="D9" s="32"/>
      <c r="E9" s="63">
        <f>C9</f>
        <v>1096328.3400000001</v>
      </c>
    </row>
    <row r="10" spans="1:5" s="15" customFormat="1" x14ac:dyDescent="0.25">
      <c r="A10" s="31">
        <f t="shared" ref="A10" si="2">A9+1</f>
        <v>8</v>
      </c>
      <c r="B10" s="31" t="s">
        <v>11</v>
      </c>
      <c r="C10" s="32">
        <f>1426796.9+49164.05+54345.59+50217.87+64217.66+56735.24+53528.79+54376.64</f>
        <v>1809382.74</v>
      </c>
      <c r="D10" s="32">
        <v>171327.75</v>
      </c>
      <c r="E10" s="63">
        <f>C10-D10</f>
        <v>1638054.99</v>
      </c>
    </row>
    <row r="11" spans="1:5" s="15" customFormat="1" x14ac:dyDescent="0.25">
      <c r="A11" s="31">
        <v>9</v>
      </c>
      <c r="B11" s="31" t="s">
        <v>12</v>
      </c>
      <c r="C11" s="32">
        <f>392830.67+10227.98</f>
        <v>403058.64999999997</v>
      </c>
      <c r="D11" s="32">
        <v>240000</v>
      </c>
      <c r="E11" s="63">
        <f>C11-D11</f>
        <v>163058.64999999997</v>
      </c>
    </row>
    <row r="12" spans="1:5" s="15" customFormat="1" x14ac:dyDescent="0.25">
      <c r="A12" s="31">
        <f t="shared" ref="A12" si="3">A11+1</f>
        <v>10</v>
      </c>
      <c r="B12" s="31" t="s">
        <v>13</v>
      </c>
      <c r="C12" s="32">
        <f>1873546.99+59634.56+57087.18+58719.75</f>
        <v>2048988.48</v>
      </c>
      <c r="D12" s="32"/>
      <c r="E12" s="63">
        <f>C12-D12</f>
        <v>2048988.48</v>
      </c>
    </row>
    <row r="13" spans="1:5" s="15" customFormat="1" x14ac:dyDescent="0.25">
      <c r="A13" s="31">
        <v>11</v>
      </c>
      <c r="B13" s="31" t="s">
        <v>14</v>
      </c>
      <c r="C13" s="32">
        <f>1726987.63+56085.46+52117.68+55483.96</f>
        <v>1890674.7299999997</v>
      </c>
      <c r="D13" s="32"/>
      <c r="E13" s="63">
        <f>C13-D13</f>
        <v>1890674.7299999997</v>
      </c>
    </row>
    <row r="14" spans="1:5" s="47" customFormat="1" x14ac:dyDescent="0.25">
      <c r="A14" s="42">
        <v>13</v>
      </c>
      <c r="B14" s="42" t="s">
        <v>16</v>
      </c>
      <c r="C14" s="43">
        <f>D14+E14</f>
        <v>2376046.06</v>
      </c>
      <c r="D14" s="43"/>
      <c r="E14" s="49">
        <f>1680872.01+107870.69+115716.23+78935.88+79402.42+74796.29+97957.16+80778.36+59717.02</f>
        <v>2376046.06</v>
      </c>
    </row>
    <row r="15" spans="1:5" s="15" customFormat="1" x14ac:dyDescent="0.25">
      <c r="A15" s="31">
        <f>A13+1</f>
        <v>12</v>
      </c>
      <c r="B15" s="31" t="s">
        <v>15</v>
      </c>
      <c r="C15" s="32">
        <f>1638673.3+64083.01+60114.23+50325.89</f>
        <v>1813196.43</v>
      </c>
      <c r="D15" s="31"/>
      <c r="E15" s="63">
        <f>C15</f>
        <v>1813196.43</v>
      </c>
    </row>
    <row r="16" spans="1:5" s="15" customFormat="1" x14ac:dyDescent="0.25">
      <c r="A16" s="31">
        <f>A14+1</f>
        <v>14</v>
      </c>
      <c r="B16" s="31" t="s">
        <v>23</v>
      </c>
      <c r="C16" s="32">
        <f>E16+D16</f>
        <v>656022.77</v>
      </c>
      <c r="D16" s="61">
        <f>248000+292700+40000+50000</f>
        <v>630700</v>
      </c>
      <c r="E16" s="63">
        <v>25322.77</v>
      </c>
    </row>
    <row r="17" spans="1:9" s="47" customFormat="1" x14ac:dyDescent="0.25">
      <c r="A17" s="42">
        <v>15</v>
      </c>
      <c r="B17" s="42" t="s">
        <v>18</v>
      </c>
      <c r="C17" s="43">
        <f>1927381.82+581181.42+150328.58+69057.1+65263.95+227.75+235122.55+75421.82+78833+44293.06+1138.75+170751.71+20627.85+114673.32+931+141251.17+66530.76</f>
        <v>3743015.61</v>
      </c>
      <c r="D17" s="42">
        <f>238142.93+625976.1</f>
        <v>864119.03</v>
      </c>
      <c r="E17" s="49">
        <f>C17-D17</f>
        <v>2878896.58</v>
      </c>
    </row>
    <row r="18" spans="1:9" s="47" customFormat="1" x14ac:dyDescent="0.25">
      <c r="A18" s="42">
        <f t="shared" ref="A18" si="4">A17+1</f>
        <v>16</v>
      </c>
      <c r="B18" s="42" t="s">
        <v>19</v>
      </c>
      <c r="C18" s="43">
        <f>1430168.98+28150.03+105029.89+1891.93+53561.01+56398.95+66972.53+54824.74+61243.97+39742.57+64667.57+63523.47+66961.15+57952.32</f>
        <v>2151089.11</v>
      </c>
      <c r="D18" s="42">
        <f>629968.1+105030</f>
        <v>734998.1</v>
      </c>
      <c r="E18" s="49">
        <f>C18-D18</f>
        <v>1416091.0099999998</v>
      </c>
      <c r="I18" s="68"/>
    </row>
    <row r="19" spans="1:9" s="47" customFormat="1" x14ac:dyDescent="0.25">
      <c r="A19" s="42">
        <v>17</v>
      </c>
      <c r="B19" s="42" t="s">
        <v>34</v>
      </c>
      <c r="C19" s="42">
        <f>1011152.61+47100.97+38.91+49797.16+42564.45+36144.08+50297.73+41790.2+45743.79+42383.57+46782.43+47151.31+44150.67+46969.97</f>
        <v>1552067.8499999999</v>
      </c>
      <c r="D19" s="42">
        <f>807750+203011+221000+129000</f>
        <v>1360761</v>
      </c>
      <c r="E19" s="49">
        <f>C19-D19</f>
        <v>191306.84999999986</v>
      </c>
    </row>
    <row r="20" spans="1:9" s="15" customFormat="1" x14ac:dyDescent="0.25">
      <c r="A20" s="31">
        <v>19</v>
      </c>
      <c r="B20" s="31" t="s">
        <v>26</v>
      </c>
      <c r="C20" s="32">
        <f>E20+D20</f>
        <v>6381242.25</v>
      </c>
      <c r="D20" s="31">
        <v>688405.61</v>
      </c>
      <c r="E20" s="63">
        <v>5692836.6399999997</v>
      </c>
      <c r="H20" s="14"/>
    </row>
    <row r="21" spans="1:9" s="15" customFormat="1" x14ac:dyDescent="0.25">
      <c r="A21" s="31">
        <f t="shared" ref="A21" si="5">A20+1</f>
        <v>20</v>
      </c>
      <c r="B21" s="31" t="s">
        <v>27</v>
      </c>
      <c r="C21" s="32">
        <f>889433.59+39350.9+44229.36+43365.32+45078.28+31666.17+54786.43</f>
        <v>1147910.0499999998</v>
      </c>
      <c r="D21" s="31"/>
      <c r="E21" s="63">
        <f>C21</f>
        <v>1147910.0499999998</v>
      </c>
    </row>
    <row r="22" spans="1:9" s="15" customFormat="1" x14ac:dyDescent="0.25">
      <c r="A22" s="31">
        <v>21</v>
      </c>
      <c r="B22" s="31" t="s">
        <v>28</v>
      </c>
      <c r="C22" s="32">
        <f>5566.73+82248.54+613635.28+63748.73+1657.36+34894.87+38.51+3911.59+625.75+40159.59+37410.39+19930.35+47876.66</f>
        <v>951704.35</v>
      </c>
      <c r="D22" s="31"/>
      <c r="E22" s="63">
        <f>C22-D22</f>
        <v>951704.35</v>
      </c>
    </row>
    <row r="23" spans="1:9" s="15" customFormat="1" x14ac:dyDescent="0.25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536037.29-5674.03+30089.15+36989.2+60.53+35059.37+28224.71+25783.78+48033.66+27339.76+41632.91+39526.17+35094.74+28437.64+42127.29+35434.77+32632.57+38484.24+34803.57</f>
        <v>1090117.3200000003</v>
      </c>
      <c r="D23" s="31">
        <v>200000</v>
      </c>
      <c r="E23" s="63">
        <f>C23-D23</f>
        <v>890117.3200000003</v>
      </c>
    </row>
    <row r="24" spans="1:9" s="15" customFormat="1" x14ac:dyDescent="0.25">
      <c r="A24" s="31">
        <v>23</v>
      </c>
      <c r="B24" s="31" t="s">
        <v>55</v>
      </c>
      <c r="C24" s="31">
        <f>19243.97+890303.39+61201.14+75730.82+81724.42+27616.97+22147.67+25601.14+42293.88+35808.96+27642.12</f>
        <v>1309314.4799999997</v>
      </c>
      <c r="D24" s="31"/>
      <c r="E24" s="63">
        <f>C24-D24</f>
        <v>1309314.4799999997</v>
      </c>
    </row>
    <row r="25" spans="1:9" s="15" customFormat="1" x14ac:dyDescent="0.25">
      <c r="A25" s="31">
        <v>24</v>
      </c>
      <c r="B25" s="31" t="s">
        <v>58</v>
      </c>
      <c r="C25" s="31">
        <v>2121827.2799999998</v>
      </c>
      <c r="D25" s="31">
        <v>860175.16</v>
      </c>
      <c r="E25" s="63">
        <v>1261652.1200000001</v>
      </c>
    </row>
    <row r="26" spans="1:9" x14ac:dyDescent="0.25">
      <c r="A26" s="72">
        <v>25</v>
      </c>
      <c r="B26" s="72" t="s">
        <v>65</v>
      </c>
      <c r="C26" s="72">
        <f>60928.09+1836125.58+214047.89+120437.88</f>
        <v>2231539.44</v>
      </c>
      <c r="D26" s="72">
        <v>659947.16</v>
      </c>
      <c r="E26" s="71">
        <f>C26-D26</f>
        <v>1571592.2799999998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17" sqref="C17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 x14ac:dyDescent="0.25">
      <c r="B1" s="73" t="s">
        <v>67</v>
      </c>
      <c r="C1" s="73"/>
      <c r="D1" s="73"/>
      <c r="E1" s="73"/>
    </row>
    <row r="2" spans="1:5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 x14ac:dyDescent="0.25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</f>
        <v>2164902.9400000004</v>
      </c>
      <c r="D3" s="32">
        <f>1082751.87+16000+858545.29+170514.71</f>
        <v>2127811.87</v>
      </c>
      <c r="E3" s="63">
        <f>C3-D3</f>
        <v>37091.070000000298</v>
      </c>
    </row>
    <row r="4" spans="1:5" s="47" customFormat="1" x14ac:dyDescent="0.25">
      <c r="A4" s="42">
        <f>A3+1</f>
        <v>2</v>
      </c>
      <c r="B4" s="42" t="s">
        <v>4</v>
      </c>
      <c r="C4" s="43">
        <f>D4+E4</f>
        <v>927289.27</v>
      </c>
      <c r="D4" s="43">
        <f>156000+364454</f>
        <v>520454</v>
      </c>
      <c r="E4" s="64">
        <v>406835.27</v>
      </c>
    </row>
    <row r="5" spans="1:5" s="47" customFormat="1" x14ac:dyDescent="0.25">
      <c r="A5" s="42">
        <v>3</v>
      </c>
      <c r="B5" s="42" t="s">
        <v>5</v>
      </c>
      <c r="C5" s="43">
        <f>D5+E5</f>
        <v>2656882.2399999993</v>
      </c>
      <c r="D5" s="43"/>
      <c r="E5" s="49">
        <f>2116692.9+98468.42+97921.51+70568.76+110096.23+75640.03+87494.39</f>
        <v>2656882.2399999993</v>
      </c>
    </row>
    <row r="6" spans="1:5" s="47" customFormat="1" x14ac:dyDescent="0.25">
      <c r="A6" s="42">
        <f t="shared" ref="A6" si="0">A5+1</f>
        <v>4</v>
      </c>
      <c r="B6" s="42" t="s">
        <v>6</v>
      </c>
      <c r="C6" s="43">
        <f>D6+E6</f>
        <v>1495494.02</v>
      </c>
      <c r="D6" s="43">
        <f>599075+75400+75468+173143+173143.97</f>
        <v>1096229.97</v>
      </c>
      <c r="E6" s="64">
        <v>399264.05</v>
      </c>
    </row>
    <row r="7" spans="1:5" s="15" customFormat="1" x14ac:dyDescent="0.25">
      <c r="A7" s="31">
        <v>5</v>
      </c>
      <c r="B7" s="31" t="s">
        <v>8</v>
      </c>
      <c r="C7" s="32">
        <v>3487806.11</v>
      </c>
      <c r="D7" s="32"/>
      <c r="E7" s="63">
        <f>C7</f>
        <v>3487806.11</v>
      </c>
    </row>
    <row r="8" spans="1:5" s="15" customFormat="1" x14ac:dyDescent="0.25">
      <c r="A8" s="31">
        <f t="shared" ref="A8" si="1">A7+1</f>
        <v>6</v>
      </c>
      <c r="B8" s="31" t="s">
        <v>9</v>
      </c>
      <c r="C8" s="32">
        <v>1008943.9</v>
      </c>
      <c r="D8" s="32"/>
      <c r="E8" s="63">
        <f>C8</f>
        <v>1008943.9</v>
      </c>
    </row>
    <row r="9" spans="1:5" s="15" customFormat="1" x14ac:dyDescent="0.25">
      <c r="A9" s="31">
        <v>7</v>
      </c>
      <c r="B9" s="31" t="s">
        <v>10</v>
      </c>
      <c r="C9" s="32">
        <v>1058964.32</v>
      </c>
      <c r="D9" s="32"/>
      <c r="E9" s="63">
        <f>C9</f>
        <v>1058964.32</v>
      </c>
    </row>
    <row r="10" spans="1:5" s="15" customFormat="1" x14ac:dyDescent="0.25">
      <c r="A10" s="31">
        <f t="shared" ref="A10" si="2">A9+1</f>
        <v>8</v>
      </c>
      <c r="B10" s="31" t="s">
        <v>11</v>
      </c>
      <c r="C10" s="32">
        <f>1426796.9+49164.05+54345.59+50217.87+64217.66+56735.24+53528.79</f>
        <v>1755006.1</v>
      </c>
      <c r="D10" s="32">
        <v>171327.75</v>
      </c>
      <c r="E10" s="63">
        <f>C10-D10</f>
        <v>1583678.35</v>
      </c>
    </row>
    <row r="11" spans="1:5" s="15" customFormat="1" x14ac:dyDescent="0.25">
      <c r="A11" s="31">
        <v>9</v>
      </c>
      <c r="B11" s="31" t="s">
        <v>12</v>
      </c>
      <c r="C11" s="32">
        <v>392830.67</v>
      </c>
      <c r="D11" s="32">
        <v>240000</v>
      </c>
      <c r="E11" s="63">
        <f>C11-D11</f>
        <v>152830.66999999998</v>
      </c>
    </row>
    <row r="12" spans="1:5" s="15" customFormat="1" x14ac:dyDescent="0.25">
      <c r="A12" s="31">
        <f t="shared" ref="A12" si="3">A11+1</f>
        <v>10</v>
      </c>
      <c r="B12" s="31" t="s">
        <v>13</v>
      </c>
      <c r="C12" s="32">
        <f>1873546.99+59634.56+57087.18</f>
        <v>1990268.73</v>
      </c>
      <c r="D12" s="32"/>
      <c r="E12" s="63">
        <f>C12-D12</f>
        <v>1990268.73</v>
      </c>
    </row>
    <row r="13" spans="1:5" s="15" customFormat="1" x14ac:dyDescent="0.25">
      <c r="A13" s="31">
        <v>11</v>
      </c>
      <c r="B13" s="31" t="s">
        <v>14</v>
      </c>
      <c r="C13" s="32">
        <f>1726987.63+56085.46+52117.68</f>
        <v>1835190.7699999998</v>
      </c>
      <c r="D13" s="32"/>
      <c r="E13" s="63">
        <f>C13-D13</f>
        <v>1835190.7699999998</v>
      </c>
    </row>
    <row r="14" spans="1:5" s="47" customFormat="1" x14ac:dyDescent="0.25">
      <c r="A14" s="42">
        <v>13</v>
      </c>
      <c r="B14" s="42" t="s">
        <v>16</v>
      </c>
      <c r="C14" s="43">
        <f>D14+E14</f>
        <v>2316329.04</v>
      </c>
      <c r="D14" s="43"/>
      <c r="E14" s="49">
        <f>1680872.01+107870.69+115716.23+78935.88+79402.42+74796.29+97957.16+80778.36</f>
        <v>2316329.04</v>
      </c>
    </row>
    <row r="15" spans="1:5" s="15" customFormat="1" x14ac:dyDescent="0.25">
      <c r="A15" s="31">
        <f>A13+1</f>
        <v>12</v>
      </c>
      <c r="B15" s="31" t="s">
        <v>15</v>
      </c>
      <c r="C15" s="32">
        <f>1638673.3+64083.01+60114.23</f>
        <v>1762870.54</v>
      </c>
      <c r="D15" s="31"/>
      <c r="E15" s="63">
        <f>C15</f>
        <v>1762870.54</v>
      </c>
    </row>
    <row r="16" spans="1:5" s="15" customFormat="1" x14ac:dyDescent="0.25">
      <c r="A16" s="31">
        <f>A14+1</f>
        <v>14</v>
      </c>
      <c r="B16" s="31" t="s">
        <v>23</v>
      </c>
      <c r="C16" s="32">
        <f>E16+D16</f>
        <v>632535.18999999994</v>
      </c>
      <c r="D16" s="61">
        <f>248000+292700+40000+50000</f>
        <v>630700</v>
      </c>
      <c r="E16" s="63">
        <v>1835.19</v>
      </c>
    </row>
    <row r="17" spans="1:9" s="47" customFormat="1" x14ac:dyDescent="0.25">
      <c r="A17" s="42">
        <v>15</v>
      </c>
      <c r="B17" s="42" t="s">
        <v>18</v>
      </c>
      <c r="C17" s="43">
        <f>1927381.82+581181.42+150328.58+69057.1+65263.95+227.75+235122.55+75421.82+78833+44293.06+1138.75+170751.71+20627.85+114673.32+931+141251.17</f>
        <v>3676484.85</v>
      </c>
      <c r="D17" s="42">
        <f>238142.93+625976.1</f>
        <v>864119.03</v>
      </c>
      <c r="E17" s="49">
        <f>C17-D17</f>
        <v>2812365.8200000003</v>
      </c>
    </row>
    <row r="18" spans="1:9" s="47" customFormat="1" x14ac:dyDescent="0.25">
      <c r="A18" s="42">
        <f t="shared" ref="A18" si="4">A17+1</f>
        <v>16</v>
      </c>
      <c r="B18" s="42" t="s">
        <v>19</v>
      </c>
      <c r="C18" s="43">
        <f>1430168.98+28150.03+105029.89+1891.93+53561.01+56398.95+66972.53+54824.74+61243.97+39742.57+64667.57+63523.47+66961.15</f>
        <v>2093136.7899999998</v>
      </c>
      <c r="D18" s="42">
        <f>629968.1+105030</f>
        <v>734998.1</v>
      </c>
      <c r="E18" s="49">
        <f>C18-D18</f>
        <v>1358138.69</v>
      </c>
      <c r="I18" s="68"/>
    </row>
    <row r="19" spans="1:9" s="47" customFormat="1" x14ac:dyDescent="0.25">
      <c r="A19" s="42">
        <v>17</v>
      </c>
      <c r="B19" s="42" t="s">
        <v>34</v>
      </c>
      <c r="C19" s="42">
        <f>1011152.61+47100.97+38.91+49797.16+42564.45+36144.08+50297.73+41790.2+45743.79+42383.57+46782.43+47151.31+44150.67</f>
        <v>1505097.88</v>
      </c>
      <c r="D19" s="42">
        <f>807750+203011+221000+129000</f>
        <v>1360761</v>
      </c>
      <c r="E19" s="49">
        <f>C19-D19</f>
        <v>144336.87999999989</v>
      </c>
    </row>
    <row r="20" spans="1:9" s="15" customFormat="1" x14ac:dyDescent="0.25">
      <c r="A20" s="31">
        <v>19</v>
      </c>
      <c r="B20" s="31" t="s">
        <v>26</v>
      </c>
      <c r="C20" s="32">
        <f>E20+D20</f>
        <v>6189715.8600000003</v>
      </c>
      <c r="D20" s="31">
        <v>688405.61</v>
      </c>
      <c r="E20" s="63">
        <v>5501310.25</v>
      </c>
      <c r="H20" s="14"/>
    </row>
    <row r="21" spans="1:9" s="15" customFormat="1" x14ac:dyDescent="0.25">
      <c r="A21" s="31">
        <f t="shared" ref="A21" si="5">A20+1</f>
        <v>20</v>
      </c>
      <c r="B21" s="31" t="s">
        <v>27</v>
      </c>
      <c r="C21" s="32">
        <f>889433.59+39350.9+44229.36+43365.32+45078.28+31666.17</f>
        <v>1093123.6199999999</v>
      </c>
      <c r="D21" s="31"/>
      <c r="E21" s="63">
        <f>C21</f>
        <v>1093123.6199999999</v>
      </c>
    </row>
    <row r="22" spans="1:9" s="15" customFormat="1" x14ac:dyDescent="0.25">
      <c r="A22" s="31">
        <v>21</v>
      </c>
      <c r="B22" s="31" t="s">
        <v>28</v>
      </c>
      <c r="C22" s="32">
        <f>5566.73+82248.54+613635.28+63748.73+1657.36+34894.87+38.51+3911.59+625.75+40159.59+37410.39+19930.35</f>
        <v>903827.69</v>
      </c>
      <c r="D22" s="31"/>
      <c r="E22" s="63">
        <f>C22-D22</f>
        <v>903827.69</v>
      </c>
    </row>
    <row r="23" spans="1:9" s="15" customFormat="1" x14ac:dyDescent="0.25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</f>
        <v>1055313.7500000002</v>
      </c>
      <c r="D23" s="31">
        <v>200000</v>
      </c>
      <c r="E23" s="63">
        <f>C23-D23</f>
        <v>855313.75000000023</v>
      </c>
    </row>
    <row r="24" spans="1:9" s="15" customFormat="1" x14ac:dyDescent="0.25">
      <c r="A24" s="31">
        <v>23</v>
      </c>
      <c r="B24" s="31" t="s">
        <v>55</v>
      </c>
      <c r="C24" s="31">
        <f>19243.97+890303.39+61201.14+75730.82+81724.42+27616.97+22147.67+25601.14+42293.88+35808.96</f>
        <v>1281672.3599999996</v>
      </c>
      <c r="D24" s="31"/>
      <c r="E24" s="63">
        <f>C24-D24</f>
        <v>1281672.3599999996</v>
      </c>
    </row>
    <row r="25" spans="1:9" s="15" customFormat="1" x14ac:dyDescent="0.25">
      <c r="A25" s="31">
        <v>24</v>
      </c>
      <c r="B25" s="31" t="s">
        <v>58</v>
      </c>
      <c r="C25" s="31">
        <v>2062691.56</v>
      </c>
      <c r="D25" s="31">
        <v>860175.16</v>
      </c>
      <c r="E25" s="63">
        <v>1202516.3999999999</v>
      </c>
    </row>
    <row r="26" spans="1:9" x14ac:dyDescent="0.25">
      <c r="A26" s="52">
        <v>25</v>
      </c>
      <c r="B26" s="52" t="s">
        <v>65</v>
      </c>
      <c r="C26" s="52">
        <f>60928.09+1836125.58+214047.89</f>
        <v>2111101.56</v>
      </c>
      <c r="D26" s="52">
        <v>659947.16</v>
      </c>
      <c r="E26" s="63">
        <f>C26-D26</f>
        <v>1451154.4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22" sqref="C22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 x14ac:dyDescent="0.25">
      <c r="B1" s="73" t="s">
        <v>66</v>
      </c>
      <c r="C1" s="73"/>
      <c r="D1" s="73"/>
      <c r="E1" s="73"/>
    </row>
    <row r="2" spans="1:5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 x14ac:dyDescent="0.25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</f>
        <v>2078387.6700000004</v>
      </c>
      <c r="D3" s="32">
        <f>1082751.87+16000+858545.29</f>
        <v>1957297.1600000001</v>
      </c>
      <c r="E3" s="63">
        <f>C3-D3</f>
        <v>121090.51000000024</v>
      </c>
    </row>
    <row r="4" spans="1:5" s="47" customFormat="1" x14ac:dyDescent="0.25">
      <c r="A4" s="42">
        <f>A3+1</f>
        <v>2</v>
      </c>
      <c r="B4" s="42" t="s">
        <v>4</v>
      </c>
      <c r="C4" s="43">
        <f>D4+E4</f>
        <v>896961.63</v>
      </c>
      <c r="D4" s="43">
        <f>156000+364454</f>
        <v>520454</v>
      </c>
      <c r="E4" s="64">
        <v>376507.63</v>
      </c>
    </row>
    <row r="5" spans="1:5" s="47" customFormat="1" x14ac:dyDescent="0.25">
      <c r="A5" s="42">
        <v>3</v>
      </c>
      <c r="B5" s="42" t="s">
        <v>5</v>
      </c>
      <c r="C5" s="43">
        <f>D5+E5</f>
        <v>2569387.8499999992</v>
      </c>
      <c r="D5" s="43"/>
      <c r="E5" s="49">
        <f>2116692.9+98468.42+97921.51+70568.76+110096.23+75640.03</f>
        <v>2569387.8499999992</v>
      </c>
    </row>
    <row r="6" spans="1:5" s="47" customFormat="1" x14ac:dyDescent="0.25">
      <c r="A6" s="42">
        <f t="shared" ref="A6" si="0">A5+1</f>
        <v>4</v>
      </c>
      <c r="B6" s="42" t="s">
        <v>6</v>
      </c>
      <c r="C6" s="43">
        <f>D6+E6</f>
        <v>1451161.3199999998</v>
      </c>
      <c r="D6" s="43">
        <f>599075+75400+75468+173143+173143.97</f>
        <v>1096229.97</v>
      </c>
      <c r="E6" s="64">
        <v>354931.35</v>
      </c>
    </row>
    <row r="7" spans="1:5" s="15" customFormat="1" x14ac:dyDescent="0.25">
      <c r="A7" s="31">
        <v>5</v>
      </c>
      <c r="B7" s="31" t="s">
        <v>8</v>
      </c>
      <c r="C7" s="32">
        <v>3392804.94</v>
      </c>
      <c r="D7" s="32"/>
      <c r="E7" s="63">
        <f>C7</f>
        <v>3392804.94</v>
      </c>
    </row>
    <row r="8" spans="1:5" s="15" customFormat="1" x14ac:dyDescent="0.25">
      <c r="A8" s="31">
        <f t="shared" ref="A8" si="1">A7+1</f>
        <v>6</v>
      </c>
      <c r="B8" s="31" t="s">
        <v>9</v>
      </c>
      <c r="C8" s="32">
        <v>978166.16</v>
      </c>
      <c r="D8" s="32"/>
      <c r="E8" s="63">
        <f>C8</f>
        <v>978166.16</v>
      </c>
    </row>
    <row r="9" spans="1:5" s="15" customFormat="1" x14ac:dyDescent="0.25">
      <c r="A9" s="31">
        <v>7</v>
      </c>
      <c r="B9" s="31" t="s">
        <v>10</v>
      </c>
      <c r="C9" s="32">
        <v>1019847.94</v>
      </c>
      <c r="D9" s="32"/>
      <c r="E9" s="63">
        <f>C9</f>
        <v>1019847.94</v>
      </c>
    </row>
    <row r="10" spans="1:5" s="15" customFormat="1" x14ac:dyDescent="0.25">
      <c r="A10" s="31">
        <f t="shared" ref="A10" si="2">A9+1</f>
        <v>8</v>
      </c>
      <c r="B10" s="31" t="s">
        <v>11</v>
      </c>
      <c r="C10" s="32">
        <f>1426796.9+49164.05+54345.59+50217.87+64217.66+56735.24</f>
        <v>1701477.31</v>
      </c>
      <c r="D10" s="32">
        <v>171327.75</v>
      </c>
      <c r="E10" s="63">
        <f>C10-D10</f>
        <v>1530149.56</v>
      </c>
    </row>
    <row r="11" spans="1:5" s="15" customFormat="1" x14ac:dyDescent="0.25">
      <c r="A11" s="31">
        <v>9</v>
      </c>
      <c r="B11" s="31" t="s">
        <v>12</v>
      </c>
      <c r="C11" s="32">
        <f>330823.77+12121.35+12509.07+10333.76+12118.27</f>
        <v>377906.22000000003</v>
      </c>
      <c r="D11" s="32">
        <v>240000</v>
      </c>
      <c r="E11" s="63">
        <f>C11-D11</f>
        <v>137906.22000000003</v>
      </c>
    </row>
    <row r="12" spans="1:5" s="15" customFormat="1" x14ac:dyDescent="0.25">
      <c r="A12" s="31">
        <f t="shared" ref="A12" si="3">A11+1</f>
        <v>10</v>
      </c>
      <c r="B12" s="31" t="s">
        <v>13</v>
      </c>
      <c r="C12" s="32">
        <f>1873546.99+59634.56</f>
        <v>1933181.55</v>
      </c>
      <c r="D12" s="32"/>
      <c r="E12" s="63">
        <f>C12-D12</f>
        <v>1933181.55</v>
      </c>
    </row>
    <row r="13" spans="1:5" s="15" customFormat="1" x14ac:dyDescent="0.25">
      <c r="A13" s="31">
        <v>11</v>
      </c>
      <c r="B13" s="31" t="s">
        <v>14</v>
      </c>
      <c r="C13" s="32">
        <f>1726987.63+56085.46</f>
        <v>1783073.0899999999</v>
      </c>
      <c r="D13" s="32"/>
      <c r="E13" s="63">
        <f>C13-D13</f>
        <v>1783073.0899999999</v>
      </c>
    </row>
    <row r="14" spans="1:5" s="47" customFormat="1" x14ac:dyDescent="0.25">
      <c r="A14" s="42">
        <v>13</v>
      </c>
      <c r="B14" s="42" t="s">
        <v>16</v>
      </c>
      <c r="C14" s="43">
        <f>D14+E14</f>
        <v>2235550.6800000002</v>
      </c>
      <c r="D14" s="43"/>
      <c r="E14" s="49">
        <f>1680872.01+107870.69+115716.23+78935.88+79402.42+74796.29+97957.16</f>
        <v>2235550.6800000002</v>
      </c>
    </row>
    <row r="15" spans="1:5" s="15" customFormat="1" x14ac:dyDescent="0.25">
      <c r="A15" s="31">
        <f>A13+1</f>
        <v>12</v>
      </c>
      <c r="B15" s="31" t="s">
        <v>15</v>
      </c>
      <c r="C15" s="32">
        <f>1638673.3+64083.01</f>
        <v>1702756.31</v>
      </c>
      <c r="D15" s="31"/>
      <c r="E15" s="63">
        <f>C15</f>
        <v>1702756.31</v>
      </c>
    </row>
    <row r="16" spans="1:5" s="15" customFormat="1" x14ac:dyDescent="0.25">
      <c r="A16" s="31">
        <f>A14+1</f>
        <v>14</v>
      </c>
      <c r="B16" s="31" t="s">
        <v>23</v>
      </c>
      <c r="C16" s="32">
        <f>E16+D16</f>
        <v>610555.44999999995</v>
      </c>
      <c r="D16" s="61">
        <f>248000+292700+40000</f>
        <v>580700</v>
      </c>
      <c r="E16" s="63">
        <v>29855.45</v>
      </c>
    </row>
    <row r="17" spans="1:9" s="47" customFormat="1" x14ac:dyDescent="0.25">
      <c r="A17" s="42">
        <v>15</v>
      </c>
      <c r="B17" s="42" t="s">
        <v>18</v>
      </c>
      <c r="C17" s="43">
        <f>1927381.82+581181.42+150328.58+69057.1+65263.95+227.75+235122.55+75421.82+78833+44293.06+1138.75+170751.71+20627.85+114673.32+931</f>
        <v>3535233.68</v>
      </c>
      <c r="D17" s="42">
        <f>238142.93+625976.1</f>
        <v>864119.03</v>
      </c>
      <c r="E17" s="49">
        <f>C17-D17</f>
        <v>2671114.6500000004</v>
      </c>
    </row>
    <row r="18" spans="1:9" s="47" customFormat="1" x14ac:dyDescent="0.25">
      <c r="A18" s="42">
        <f t="shared" ref="A18" si="4">A17+1</f>
        <v>16</v>
      </c>
      <c r="B18" s="42" t="s">
        <v>19</v>
      </c>
      <c r="C18" s="43">
        <f>1430168.98+28150.03+105029.89+1891.93+53561.01+56398.95+66972.53+54824.74+61243.97+39742.57+64667.57+63523.47</f>
        <v>2026175.64</v>
      </c>
      <c r="D18" s="42">
        <f>629968.1+105030</f>
        <v>734998.1</v>
      </c>
      <c r="E18" s="49">
        <f>C18-D18</f>
        <v>1291177.54</v>
      </c>
      <c r="I18" s="68"/>
    </row>
    <row r="19" spans="1:9" s="47" customFormat="1" x14ac:dyDescent="0.25">
      <c r="A19" s="42">
        <v>17</v>
      </c>
      <c r="B19" s="42" t="s">
        <v>34</v>
      </c>
      <c r="C19" s="42">
        <f>1011152.61+47100.97+38.91+49797.16+42564.45+36144.08+50297.73+41790.2+45743.79+42383.57+46782.43+47151.31</f>
        <v>1460947.21</v>
      </c>
      <c r="D19" s="42">
        <f>807750+203011+221000</f>
        <v>1231761</v>
      </c>
      <c r="E19" s="49">
        <f>C19-D19</f>
        <v>229186.20999999996</v>
      </c>
    </row>
    <row r="20" spans="1:9" s="15" customFormat="1" x14ac:dyDescent="0.25">
      <c r="A20" s="31">
        <v>19</v>
      </c>
      <c r="B20" s="31" t="s">
        <v>26</v>
      </c>
      <c r="C20" s="32">
        <f>E20+D20</f>
        <v>5996044.1699999999</v>
      </c>
      <c r="D20" s="31">
        <v>688405.61</v>
      </c>
      <c r="E20" s="63">
        <v>5307638.5599999996</v>
      </c>
      <c r="H20" s="14"/>
    </row>
    <row r="21" spans="1:9" s="15" customFormat="1" x14ac:dyDescent="0.25">
      <c r="A21" s="31">
        <f t="shared" ref="A21" si="5">A20+1</f>
        <v>20</v>
      </c>
      <c r="B21" s="31" t="s">
        <v>27</v>
      </c>
      <c r="C21" s="32">
        <f>889433.59+39350.9+44229.36+43365.32+45078.28</f>
        <v>1061457.45</v>
      </c>
      <c r="D21" s="31"/>
      <c r="E21" s="63">
        <f>C21</f>
        <v>1061457.45</v>
      </c>
    </row>
    <row r="22" spans="1:9" s="15" customFormat="1" x14ac:dyDescent="0.25">
      <c r="A22" s="31">
        <v>21</v>
      </c>
      <c r="B22" s="31" t="s">
        <v>28</v>
      </c>
      <c r="C22" s="32">
        <f>5566.73+82248.54+613635.28+63748.73+1657.36+34894.87+38.51+3911.59+625.75+40159.59+37410.39</f>
        <v>883897.34</v>
      </c>
      <c r="D22" s="31"/>
      <c r="E22" s="63">
        <f>C22-D22</f>
        <v>883897.34</v>
      </c>
    </row>
    <row r="23" spans="1:9" s="15" customFormat="1" x14ac:dyDescent="0.25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</f>
        <v>1016829.5100000001</v>
      </c>
      <c r="D23" s="31">
        <v>200000</v>
      </c>
      <c r="E23" s="63">
        <f>C23-D23</f>
        <v>816829.51000000013</v>
      </c>
    </row>
    <row r="24" spans="1:9" s="15" customFormat="1" x14ac:dyDescent="0.25">
      <c r="A24" s="31">
        <v>23</v>
      </c>
      <c r="B24" s="31" t="s">
        <v>55</v>
      </c>
      <c r="C24" s="31">
        <f>19243.97+890303.39+61201.14+75730.82+81724.42+27616.97+22147.67+25601.14+42293.88</f>
        <v>1245863.3999999997</v>
      </c>
      <c r="D24" s="31"/>
      <c r="E24" s="63">
        <f>C24-D24</f>
        <v>1245863.3999999997</v>
      </c>
    </row>
    <row r="25" spans="1:9" s="15" customFormat="1" x14ac:dyDescent="0.25">
      <c r="A25" s="31">
        <v>24</v>
      </c>
      <c r="B25" s="31" t="s">
        <v>58</v>
      </c>
      <c r="C25" s="31">
        <v>2011050.63</v>
      </c>
      <c r="D25" s="31">
        <v>860175.16</v>
      </c>
      <c r="E25" s="63">
        <v>1150875.47</v>
      </c>
    </row>
    <row r="26" spans="1:9" x14ac:dyDescent="0.25">
      <c r="A26" s="52">
        <v>25</v>
      </c>
      <c r="B26" s="52" t="s">
        <v>65</v>
      </c>
      <c r="C26" s="52">
        <f>60928.09+1836125.58</f>
        <v>1897053.6700000002</v>
      </c>
      <c r="D26" s="52">
        <v>0</v>
      </c>
      <c r="E26" s="63">
        <f>C26-D26</f>
        <v>1897053.6700000002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30" sqref="B30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 x14ac:dyDescent="0.25">
      <c r="B1" s="73" t="s">
        <v>64</v>
      </c>
      <c r="C1" s="73"/>
      <c r="D1" s="73"/>
      <c r="E1" s="73"/>
    </row>
    <row r="2" spans="1:5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 x14ac:dyDescent="0.25">
      <c r="A3" s="31">
        <v>1</v>
      </c>
      <c r="B3" s="31" t="s">
        <v>3</v>
      </c>
      <c r="C3" s="32">
        <f>1198405.34+61628.71+55224.6+55725.8+51506.44+51388.62+79931.77+56783.34+61433.64+66573+48000.74+109480.08+60996.09+64053.18</f>
        <v>2021131.3500000003</v>
      </c>
      <c r="D3" s="32">
        <f>1082751.87+16000+858545.29</f>
        <v>1957297.1600000001</v>
      </c>
      <c r="E3" s="63">
        <f>C3-D3</f>
        <v>63834.190000000177</v>
      </c>
    </row>
    <row r="4" spans="1:5" s="15" customFormat="1" x14ac:dyDescent="0.25">
      <c r="A4" s="31">
        <f>A3+1</f>
        <v>2</v>
      </c>
      <c r="B4" s="31" t="s">
        <v>4</v>
      </c>
      <c r="C4" s="32">
        <f>D4+E4</f>
        <v>869836.27</v>
      </c>
      <c r="D4" s="32">
        <f>156000+364454</f>
        <v>520454</v>
      </c>
      <c r="E4" s="63">
        <v>349382.27</v>
      </c>
    </row>
    <row r="5" spans="1:5" s="15" customFormat="1" x14ac:dyDescent="0.25">
      <c r="A5" s="31">
        <v>3</v>
      </c>
      <c r="B5" s="31" t="s">
        <v>5</v>
      </c>
      <c r="C5" s="32">
        <f>D5+E5</f>
        <v>2493747.8199999994</v>
      </c>
      <c r="D5" s="32"/>
      <c r="E5" s="35">
        <f>2116692.9+98468.42+97921.51+70568.76+110096.23</f>
        <v>2493747.8199999994</v>
      </c>
    </row>
    <row r="6" spans="1:5" s="15" customFormat="1" x14ac:dyDescent="0.25">
      <c r="A6" s="31">
        <f t="shared" ref="A6" si="0">A5+1</f>
        <v>4</v>
      </c>
      <c r="B6" s="31" t="s">
        <v>6</v>
      </c>
      <c r="C6" s="32">
        <f>D6+E6</f>
        <v>1401222.19</v>
      </c>
      <c r="D6" s="32">
        <f>599075+75400+75468+173143</f>
        <v>923086</v>
      </c>
      <c r="E6" s="63">
        <v>478136.19</v>
      </c>
    </row>
    <row r="7" spans="1:5" s="15" customFormat="1" x14ac:dyDescent="0.25">
      <c r="A7" s="31">
        <v>5</v>
      </c>
      <c r="B7" s="31" t="s">
        <v>8</v>
      </c>
      <c r="C7" s="32">
        <v>3269236.09</v>
      </c>
      <c r="D7" s="32"/>
      <c r="E7" s="63">
        <f>C7</f>
        <v>3269236.09</v>
      </c>
    </row>
    <row r="8" spans="1:5" s="15" customFormat="1" x14ac:dyDescent="0.25">
      <c r="A8" s="31">
        <f t="shared" ref="A8" si="1">A7+1</f>
        <v>6</v>
      </c>
      <c r="B8" s="31" t="s">
        <v>9</v>
      </c>
      <c r="C8" s="32">
        <v>951950.59</v>
      </c>
      <c r="D8" s="32"/>
      <c r="E8" s="63">
        <f>C8</f>
        <v>951950.59</v>
      </c>
    </row>
    <row r="9" spans="1:5" s="15" customFormat="1" x14ac:dyDescent="0.25">
      <c r="A9" s="31">
        <v>7</v>
      </c>
      <c r="B9" s="31" t="s">
        <v>10</v>
      </c>
      <c r="C9" s="32">
        <v>986270.71999999997</v>
      </c>
      <c r="D9" s="32"/>
      <c r="E9" s="63">
        <f>C9</f>
        <v>986270.71999999997</v>
      </c>
    </row>
    <row r="10" spans="1:5" s="15" customFormat="1" x14ac:dyDescent="0.25">
      <c r="A10" s="31">
        <f t="shared" ref="A10" si="2">A9+1</f>
        <v>8</v>
      </c>
      <c r="B10" s="31" t="s">
        <v>11</v>
      </c>
      <c r="C10" s="32">
        <f>1426796.9+49164.05+54345.59+50217.87+64217.66</f>
        <v>1644742.07</v>
      </c>
      <c r="D10" s="32">
        <v>171327.75</v>
      </c>
      <c r="E10" s="63">
        <f>C10-D10</f>
        <v>1473414.32</v>
      </c>
    </row>
    <row r="11" spans="1:5" s="15" customFormat="1" x14ac:dyDescent="0.25">
      <c r="A11" s="31">
        <v>9</v>
      </c>
      <c r="B11" s="31" t="s">
        <v>12</v>
      </c>
      <c r="C11" s="32">
        <f>330823.77+12121.35+12509.07+10333.76</f>
        <v>365787.95</v>
      </c>
      <c r="D11" s="32">
        <v>240000</v>
      </c>
      <c r="E11" s="63">
        <f>C11-D11</f>
        <v>125787.95000000001</v>
      </c>
    </row>
    <row r="12" spans="1:5" s="15" customFormat="1" x14ac:dyDescent="0.25">
      <c r="A12" s="31">
        <f t="shared" ref="A12" si="3">A11+1</f>
        <v>10</v>
      </c>
      <c r="B12" s="31" t="s">
        <v>13</v>
      </c>
      <c r="C12" s="32">
        <v>1873546.99</v>
      </c>
      <c r="D12" s="32"/>
      <c r="E12" s="63">
        <f>C12-D12</f>
        <v>1873546.99</v>
      </c>
    </row>
    <row r="13" spans="1:5" s="15" customFormat="1" x14ac:dyDescent="0.25">
      <c r="A13" s="31">
        <v>11</v>
      </c>
      <c r="B13" s="31" t="s">
        <v>14</v>
      </c>
      <c r="C13" s="32">
        <v>1726987.63</v>
      </c>
      <c r="D13" s="32"/>
      <c r="E13" s="63">
        <f>C13-D13</f>
        <v>1726987.63</v>
      </c>
    </row>
    <row r="14" spans="1:5" s="15" customFormat="1" x14ac:dyDescent="0.25">
      <c r="A14" s="31">
        <v>13</v>
      </c>
      <c r="B14" s="31" t="s">
        <v>16</v>
      </c>
      <c r="C14" s="32">
        <f>D14+E14</f>
        <v>2137593.52</v>
      </c>
      <c r="D14" s="32"/>
      <c r="E14" s="35">
        <f>1680872.01+107870.69+115716.23+78935.88+79402.42+74796.29</f>
        <v>2137593.52</v>
      </c>
    </row>
    <row r="15" spans="1:5" s="15" customFormat="1" x14ac:dyDescent="0.25">
      <c r="A15" s="31">
        <f>A13+1</f>
        <v>12</v>
      </c>
      <c r="B15" s="31" t="s">
        <v>15</v>
      </c>
      <c r="C15" s="32">
        <v>1638673.3</v>
      </c>
      <c r="D15" s="31"/>
      <c r="E15" s="63">
        <f>C15</f>
        <v>1638673.3</v>
      </c>
    </row>
    <row r="16" spans="1:5" s="15" customFormat="1" x14ac:dyDescent="0.25">
      <c r="A16" s="31">
        <f>A14+1</f>
        <v>14</v>
      </c>
      <c r="B16" s="31" t="s">
        <v>23</v>
      </c>
      <c r="C16" s="32">
        <f>E16+D16</f>
        <v>585937.99</v>
      </c>
      <c r="D16" s="61">
        <f>248000+292700+40000</f>
        <v>580700</v>
      </c>
      <c r="E16" s="63">
        <v>5237.99</v>
      </c>
    </row>
    <row r="17" spans="1:9" s="15" customFormat="1" x14ac:dyDescent="0.25">
      <c r="A17" s="31">
        <v>15</v>
      </c>
      <c r="B17" s="31" t="s">
        <v>18</v>
      </c>
      <c r="C17" s="32">
        <f>1927381.82+581181.42+150328.58+69057.1+65263.95+227.75+235122.55+75421.82+78833+44293.06+1138.75+170751.71+20627.85</f>
        <v>3419629.3600000003</v>
      </c>
      <c r="D17" s="31">
        <v>238142.93</v>
      </c>
      <c r="E17" s="35">
        <f>C17-D17</f>
        <v>3181486.43</v>
      </c>
    </row>
    <row r="18" spans="1:9" s="15" customFormat="1" x14ac:dyDescent="0.25">
      <c r="A18" s="31">
        <f t="shared" ref="A18" si="4">A17+1</f>
        <v>16</v>
      </c>
      <c r="B18" s="31" t="s">
        <v>19</v>
      </c>
      <c r="C18" s="32">
        <f>1430168.98+28150.03+105029.89+1891.93+53561.01+56398.95+66972.53+54824.74+61243.97+39742.57+64667.57</f>
        <v>1962652.17</v>
      </c>
      <c r="D18" s="31">
        <f>629968.1+105030</f>
        <v>734998.1</v>
      </c>
      <c r="E18" s="35">
        <f>C18-D18</f>
        <v>1227654.0699999998</v>
      </c>
      <c r="I18" s="67"/>
    </row>
    <row r="19" spans="1:9" s="15" customFormat="1" x14ac:dyDescent="0.25">
      <c r="A19" s="31">
        <v>17</v>
      </c>
      <c r="B19" s="31" t="s">
        <v>34</v>
      </c>
      <c r="C19" s="31">
        <f>1011152.61+47100.97+38.91+49797.16+42564.45+36144.08+50297.73+41790.2+45743.79+42383.57+46782.43</f>
        <v>1413795.9</v>
      </c>
      <c r="D19" s="31">
        <f>807750+203011+221000</f>
        <v>1231761</v>
      </c>
      <c r="E19" s="35">
        <f>C19-D19</f>
        <v>182034.89999999991</v>
      </c>
    </row>
    <row r="20" spans="1:9" s="15" customFormat="1" x14ac:dyDescent="0.25">
      <c r="A20" s="31">
        <v>19</v>
      </c>
      <c r="B20" s="31" t="s">
        <v>26</v>
      </c>
      <c r="C20" s="32">
        <f>E20+D20</f>
        <v>5790105.21</v>
      </c>
      <c r="D20" s="31">
        <v>688405.61</v>
      </c>
      <c r="E20" s="63">
        <v>5101699.5999999996</v>
      </c>
    </row>
    <row r="21" spans="1:9" s="15" customFormat="1" x14ac:dyDescent="0.25">
      <c r="A21" s="31">
        <f t="shared" ref="A21" si="5">A20+1</f>
        <v>20</v>
      </c>
      <c r="B21" s="31" t="s">
        <v>27</v>
      </c>
      <c r="C21" s="32">
        <f>889433.59+39350.9+44229.36+43365.32</f>
        <v>1016379.1699999999</v>
      </c>
      <c r="D21" s="31"/>
      <c r="E21" s="63">
        <f>C21</f>
        <v>1016379.1699999999</v>
      </c>
    </row>
    <row r="22" spans="1:9" s="15" customFormat="1" x14ac:dyDescent="0.25">
      <c r="A22" s="31">
        <v>21</v>
      </c>
      <c r="B22" s="31" t="s">
        <v>28</v>
      </c>
      <c r="C22" s="32">
        <f>5566.73+82248.54+613635.28+63748.73+1657.36+34894.87+38.51+3911.59+625.75+40159.59+37410.39</f>
        <v>883897.34</v>
      </c>
      <c r="D22" s="31"/>
      <c r="E22" s="63">
        <f>C22-D22</f>
        <v>883897.34</v>
      </c>
    </row>
    <row r="23" spans="1:9" s="15" customFormat="1" x14ac:dyDescent="0.25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</f>
        <v>984196.94000000018</v>
      </c>
      <c r="D23" s="31">
        <v>200000</v>
      </c>
      <c r="E23" s="63">
        <f>C23-D23</f>
        <v>784196.94000000018</v>
      </c>
    </row>
    <row r="24" spans="1:9" s="15" customFormat="1" x14ac:dyDescent="0.25">
      <c r="A24" s="31">
        <v>23</v>
      </c>
      <c r="B24" s="31" t="s">
        <v>55</v>
      </c>
      <c r="C24" s="31">
        <f>19243.97+890303.39+61201.14+75730.82+81724.42+27616.97+22147.67+25601.14</f>
        <v>1203569.5199999998</v>
      </c>
      <c r="D24" s="31"/>
      <c r="E24" s="63">
        <f>C24-D24</f>
        <v>1203569.5199999998</v>
      </c>
    </row>
    <row r="25" spans="1:9" s="15" customFormat="1" x14ac:dyDescent="0.25">
      <c r="A25" s="31">
        <v>24</v>
      </c>
      <c r="B25" s="31" t="s">
        <v>58</v>
      </c>
      <c r="C25" s="31">
        <v>1954091.75</v>
      </c>
      <c r="D25" s="31">
        <v>860175.16</v>
      </c>
      <c r="E25" s="63">
        <v>1093916.5900000001</v>
      </c>
    </row>
    <row r="26" spans="1:9" x14ac:dyDescent="0.25">
      <c r="A26" s="52">
        <v>25</v>
      </c>
      <c r="B26" s="52" t="s">
        <v>65</v>
      </c>
      <c r="C26" s="52">
        <v>60928.09</v>
      </c>
      <c r="D26" s="52">
        <v>0</v>
      </c>
      <c r="E26" s="63">
        <v>60928.09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38</vt:i4>
      </vt:variant>
    </vt:vector>
  </HeadingPairs>
  <TitlesOfParts>
    <vt:vector size="38" baseType="lpstr">
      <vt:lpstr>июнь 2018</vt:lpstr>
      <vt:lpstr>май 2018</vt:lpstr>
      <vt:lpstr>апрель 2018</vt:lpstr>
      <vt:lpstr>март 2018</vt:lpstr>
      <vt:lpstr>февраль 2018 </vt:lpstr>
      <vt:lpstr>январь 2018</vt:lpstr>
      <vt:lpstr>декабрь 2017</vt:lpstr>
      <vt:lpstr>ноябрь 2017</vt:lpstr>
      <vt:lpstr>октябрь 2017</vt:lpstr>
      <vt:lpstr>сентябрь 2017 </vt:lpstr>
      <vt:lpstr>август 2017 </vt:lpstr>
      <vt:lpstr>июль 2017 </vt:lpstr>
      <vt:lpstr>июнь 2017</vt:lpstr>
      <vt:lpstr>май 2017 </vt:lpstr>
      <vt:lpstr>апрель 2017</vt:lpstr>
      <vt:lpstr>март 2017 </vt:lpstr>
      <vt:lpstr>февраль 2017 </vt:lpstr>
      <vt:lpstr>январь 2017</vt:lpstr>
      <vt:lpstr>декабрь 2016</vt:lpstr>
      <vt:lpstr>ноябрь 2016</vt:lpstr>
      <vt:lpstr>октябрь 2016</vt:lpstr>
      <vt:lpstr>сентябрь 2016</vt:lpstr>
      <vt:lpstr>август 2016</vt:lpstr>
      <vt:lpstr>июль 2016</vt:lpstr>
      <vt:lpstr>июнь 2016</vt:lpstr>
      <vt:lpstr>май 2016</vt:lpstr>
      <vt:lpstr>апрель 2016</vt:lpstr>
      <vt:lpstr>март 2016</vt:lpstr>
      <vt:lpstr>февраль 2016</vt:lpstr>
      <vt:lpstr>январь 2016</vt:lpstr>
      <vt:lpstr>декабрь 2015</vt:lpstr>
      <vt:lpstr>ноябрь 2015</vt:lpstr>
      <vt:lpstr>октябрь 2015</vt:lpstr>
      <vt:lpstr>сентябрь 2015</vt:lpstr>
      <vt:lpstr>август 2015</vt:lpstr>
      <vt:lpstr>июль 2015</vt:lpstr>
      <vt:lpstr>июнь 2015</vt:lpstr>
      <vt:lpstr>май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2017-11-30T06:36:04Z</cp:lastPrinted>
  <dcterms:created xsi:type="dcterms:W3CDTF">2015-06-03T09:58:26Z</dcterms:created>
  <dcterms:modified xsi:type="dcterms:W3CDTF">2018-07-12T06:24:17Z</dcterms:modified>
</cp:coreProperties>
</file>