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 SPAGNULO\Documents\Analysis\HBS\Treasury\Liqudity\Invest\data\"/>
    </mc:Choice>
  </mc:AlternateContent>
  <xr:revisionPtr revIDLastSave="0" documentId="13_ncr:1_{2ED140BA-D62F-4A8B-A414-BC0248678D70}" xr6:coauthVersionLast="41" xr6:coauthVersionMax="41" xr10:uidLastSave="{00000000-0000-0000-0000-000000000000}"/>
  <bookViews>
    <workbookView xWindow="-108" yWindow="-108" windowWidth="23256" windowHeight="13176" activeTab="2" xr2:uid="{8488B20B-4D3B-4975-ABC7-B29D9BCDB2F2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solver_adj" localSheetId="0" hidden="1">Sheet1!$F$6:$J$13</definedName>
    <definedName name="solver_adj" localSheetId="1" hidden="1">Sheet3!$F$6:$J$13</definedName>
    <definedName name="solver_adj" localSheetId="2" hidden="1">Sheet4!$D$4:$N$7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Sheet1!$B$11</definedName>
    <definedName name="solver_lhs1" localSheetId="1" hidden="1">Sheet3!$B$11</definedName>
    <definedName name="solver_lhs1" localSheetId="2" hidden="1">Sheet4!$M$17</definedName>
    <definedName name="solver_lhs10" localSheetId="2" hidden="1">Sheet4!$A$5</definedName>
    <definedName name="solver_lhs11" localSheetId="2" hidden="1">Sheet4!$H$17</definedName>
    <definedName name="solver_lhs12" localSheetId="2" hidden="1">Sheet4!$I$17</definedName>
    <definedName name="solver_lhs2" localSheetId="0" hidden="1">Sheet1!$B$15</definedName>
    <definedName name="solver_lhs2" localSheetId="1" hidden="1">Sheet3!$B$15</definedName>
    <definedName name="solver_lhs2" localSheetId="2" hidden="1">Sheet4!$K$23</definedName>
    <definedName name="solver_lhs3" localSheetId="0" hidden="1">Sheet1!$B$16</definedName>
    <definedName name="solver_lhs3" localSheetId="1" hidden="1">Sheet3!$B$16</definedName>
    <definedName name="solver_lhs3" localSheetId="2" hidden="1">Sheet4!$L$17</definedName>
    <definedName name="solver_lhs4" localSheetId="0" hidden="1">Sheet1!$B$21</definedName>
    <definedName name="solver_lhs4" localSheetId="1" hidden="1">Sheet3!$B$21</definedName>
    <definedName name="solver_lhs4" localSheetId="2" hidden="1">Sheet4!$K$22</definedName>
    <definedName name="solver_lhs5" localSheetId="0" hidden="1">Sheet1!$B$22</definedName>
    <definedName name="solver_lhs5" localSheetId="1" hidden="1">Sheet3!$B$22</definedName>
    <definedName name="solver_lhs5" localSheetId="2" hidden="1">Sheet4!$K$21</definedName>
    <definedName name="solver_lhs6" localSheetId="0" hidden="1">Sheet1!$B$23</definedName>
    <definedName name="solver_lhs6" localSheetId="1" hidden="1">Sheet3!$B$23</definedName>
    <definedName name="solver_lhs6" localSheetId="2" hidden="1">Sheet4!$J$17</definedName>
    <definedName name="solver_lhs7" localSheetId="0" hidden="1">Sheet1!$B$6</definedName>
    <definedName name="solver_lhs7" localSheetId="1" hidden="1">Sheet3!$B$6</definedName>
    <definedName name="solver_lhs7" localSheetId="2" hidden="1">Sheet4!$K$12</definedName>
    <definedName name="solver_lhs8" localSheetId="0" hidden="1">Sheet1!$B$7</definedName>
    <definedName name="solver_lhs8" localSheetId="1" hidden="1">Sheet3!$B$7</definedName>
    <definedName name="solver_lhs8" localSheetId="2" hidden="1">Sheet4!$K$11</definedName>
    <definedName name="solver_lhs9" localSheetId="2" hidden="1">Sheet4!$B$4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8</definedName>
    <definedName name="solver_num" localSheetId="1" hidden="1">8</definedName>
    <definedName name="solver_num" localSheetId="2" hidden="1">12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Sheet1!$AD$30</definedName>
    <definedName name="solver_opt" localSheetId="1" hidden="1">Sheet3!$AD$30</definedName>
    <definedName name="solver_opt" localSheetId="2" hidden="1">Sheet4!$AD$27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1</definedName>
    <definedName name="solver_rel1" localSheetId="2" hidden="1">1</definedName>
    <definedName name="solver_rel10" localSheetId="2" hidden="1">2</definedName>
    <definedName name="solver_rel11" localSheetId="2" hidden="1">1</definedName>
    <definedName name="solver_rel12" localSheetId="2" hidden="1">1</definedName>
    <definedName name="solver_rel2" localSheetId="0" hidden="1">2</definedName>
    <definedName name="solver_rel2" localSheetId="1" hidden="1">2</definedName>
    <definedName name="solver_rel2" localSheetId="2" hidden="1">1</definedName>
    <definedName name="solver_rel3" localSheetId="0" hidden="1">3</definedName>
    <definedName name="solver_rel3" localSheetId="1" hidden="1">2</definedName>
    <definedName name="solver_rel3" localSheetId="2" hidden="1">1</definedName>
    <definedName name="solver_rel4" localSheetId="0" hidden="1">3</definedName>
    <definedName name="solver_rel4" localSheetId="1" hidden="1">3</definedName>
    <definedName name="solver_rel4" localSheetId="2" hidden="1">1</definedName>
    <definedName name="solver_rel5" localSheetId="0" hidden="1">3</definedName>
    <definedName name="solver_rel5" localSheetId="1" hidden="1">3</definedName>
    <definedName name="solver_rel5" localSheetId="2" hidden="1">1</definedName>
    <definedName name="solver_rel6" localSheetId="0" hidden="1">3</definedName>
    <definedName name="solver_rel6" localSheetId="1" hidden="1">3</definedName>
    <definedName name="solver_rel6" localSheetId="2" hidden="1">1</definedName>
    <definedName name="solver_rel7" localSheetId="0" hidden="1">2</definedName>
    <definedName name="solver_rel7" localSheetId="1" hidden="1">2</definedName>
    <definedName name="solver_rel7" localSheetId="2" hidden="1">2</definedName>
    <definedName name="solver_rel8" localSheetId="0" hidden="1">2</definedName>
    <definedName name="solver_rel8" localSheetId="1" hidden="1">2</definedName>
    <definedName name="solver_rel8" localSheetId="2" hidden="1">1</definedName>
    <definedName name="solver_rel9" localSheetId="2" hidden="1">2</definedName>
    <definedName name="solver_rhs1" localSheetId="0" hidden="1">Sheet1!$C$11</definedName>
    <definedName name="solver_rhs1" localSheetId="1" hidden="1">Sheet3!$C$11</definedName>
    <definedName name="solver_rhs1" localSheetId="2" hidden="1">Sheet4!$M$16</definedName>
    <definedName name="solver_rhs10" localSheetId="2" hidden="1">Sheet4!$B$5</definedName>
    <definedName name="solver_rhs11" localSheetId="2" hidden="1">Sheet4!$H$16</definedName>
    <definedName name="solver_rhs12" localSheetId="2" hidden="1">Sheet4!$I$16</definedName>
    <definedName name="solver_rhs2" localSheetId="0" hidden="1">Sheet1!$C$15</definedName>
    <definedName name="solver_rhs2" localSheetId="1" hidden="1">Sheet3!$C$15</definedName>
    <definedName name="solver_rhs2" localSheetId="2" hidden="1">Sheet4!$J$23</definedName>
    <definedName name="solver_rhs3" localSheetId="0" hidden="1">Sheet1!$C$16</definedName>
    <definedName name="solver_rhs3" localSheetId="1" hidden="1">Sheet3!$C$16</definedName>
    <definedName name="solver_rhs3" localSheetId="2" hidden="1">Sheet4!$L$16</definedName>
    <definedName name="solver_rhs4" localSheetId="0" hidden="1">Sheet1!$C$21</definedName>
    <definedName name="solver_rhs4" localSheetId="1" hidden="1">Sheet3!$C$21</definedName>
    <definedName name="solver_rhs4" localSheetId="2" hidden="1">Sheet4!$J$22</definedName>
    <definedName name="solver_rhs5" localSheetId="0" hidden="1">Sheet1!$C$22</definedName>
    <definedName name="solver_rhs5" localSheetId="1" hidden="1">Sheet3!$C$22</definedName>
    <definedName name="solver_rhs5" localSheetId="2" hidden="1">Sheet4!$J$21</definedName>
    <definedName name="solver_rhs6" localSheetId="0" hidden="1">Sheet1!$C$23</definedName>
    <definedName name="solver_rhs6" localSheetId="1" hidden="1">Sheet3!$C$23</definedName>
    <definedName name="solver_rhs6" localSheetId="2" hidden="1">Sheet4!$J$16</definedName>
    <definedName name="solver_rhs7" localSheetId="0" hidden="1">Sheet1!$C$6</definedName>
    <definedName name="solver_rhs7" localSheetId="1" hidden="1">Sheet3!$C$6</definedName>
    <definedName name="solver_rhs7" localSheetId="2" hidden="1">Sheet4!$J$12</definedName>
    <definedName name="solver_rhs8" localSheetId="0" hidden="1">Sheet1!$C$7</definedName>
    <definedName name="solver_rhs8" localSheetId="1" hidden="1">Sheet3!$C$7</definedName>
    <definedName name="solver_rhs8" localSheetId="2" hidden="1">Sheet4!$J$11</definedName>
    <definedName name="solver_rhs9" localSheetId="2" hidden="1">Sheet4!$A$4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4" i="4" l="1"/>
  <c r="AC23" i="4"/>
  <c r="AC22" i="4"/>
  <c r="AC21" i="4"/>
  <c r="L16" i="4"/>
  <c r="M16" i="4"/>
  <c r="I16" i="4"/>
  <c r="H16" i="4"/>
  <c r="J23" i="4"/>
  <c r="J22" i="4"/>
  <c r="J21" i="4"/>
  <c r="A5" i="4"/>
  <c r="R7" i="4"/>
  <c r="S7" i="4"/>
  <c r="K24" i="4"/>
  <c r="K23" i="4"/>
  <c r="B5" i="4"/>
  <c r="P4" i="4"/>
  <c r="Q4" i="4"/>
  <c r="R4" i="4"/>
  <c r="S4" i="4"/>
  <c r="Y5" i="4"/>
  <c r="Y6" i="4" s="1"/>
  <c r="K22" i="4"/>
  <c r="K21" i="4"/>
  <c r="M17" i="4"/>
  <c r="L17" i="4"/>
  <c r="J17" i="4"/>
  <c r="I17" i="4"/>
  <c r="H17" i="4"/>
  <c r="B7" i="4"/>
  <c r="B6" i="4"/>
  <c r="B4" i="4"/>
  <c r="S15" i="4"/>
  <c r="S14" i="4"/>
  <c r="S13" i="4"/>
  <c r="S12" i="4"/>
  <c r="K11" i="4"/>
  <c r="K12" i="4"/>
  <c r="C33" i="3"/>
  <c r="B33" i="3"/>
  <c r="C23" i="3"/>
  <c r="C22" i="3"/>
  <c r="H22" i="3" s="1"/>
  <c r="S22" i="3" s="1"/>
  <c r="W22" i="3" s="1"/>
  <c r="AD22" i="3" s="1"/>
  <c r="C21" i="3"/>
  <c r="H21" i="3" s="1"/>
  <c r="T21" i="3" s="1"/>
  <c r="W21" i="3" s="1"/>
  <c r="AD21" i="3" s="1"/>
  <c r="J15" i="3"/>
  <c r="C15" i="3" s="1"/>
  <c r="V11" i="3"/>
  <c r="U11" i="3"/>
  <c r="R11" i="3"/>
  <c r="N11" i="3"/>
  <c r="T11" i="3" s="1"/>
  <c r="M11" i="3"/>
  <c r="S11" i="3" s="1"/>
  <c r="C11" i="3"/>
  <c r="Z7" i="3"/>
  <c r="I16" i="3" s="1"/>
  <c r="C16" i="3" s="1"/>
  <c r="Y7" i="3"/>
  <c r="V7" i="3"/>
  <c r="U7" i="3"/>
  <c r="N7" i="3"/>
  <c r="T7" i="3" s="1"/>
  <c r="M7" i="3"/>
  <c r="S7" i="3" s="1"/>
  <c r="L7" i="3"/>
  <c r="R7" i="3" s="1"/>
  <c r="C7" i="3"/>
  <c r="Y6" i="3"/>
  <c r="V6" i="3"/>
  <c r="U6" i="3"/>
  <c r="N6" i="3"/>
  <c r="T6" i="3" s="1"/>
  <c r="M6" i="3"/>
  <c r="L6" i="3"/>
  <c r="R6" i="3" s="1"/>
  <c r="C6" i="3"/>
  <c r="L6" i="1"/>
  <c r="L7" i="1"/>
  <c r="AB7" i="4" l="1"/>
  <c r="AC7" i="4"/>
  <c r="M23" i="4"/>
  <c r="AB23" i="4" s="1"/>
  <c r="M24" i="4"/>
  <c r="M21" i="4"/>
  <c r="AB21" i="4" s="1"/>
  <c r="M22" i="4"/>
  <c r="AB22" i="4" s="1"/>
  <c r="AD22" i="4" s="1"/>
  <c r="T5" i="4"/>
  <c r="AC4" i="4"/>
  <c r="R6" i="4"/>
  <c r="P6" i="4"/>
  <c r="S6" i="4"/>
  <c r="AB4" i="4"/>
  <c r="AC5" i="4"/>
  <c r="AC6" i="4"/>
  <c r="S6" i="3"/>
  <c r="W6" i="3" s="1"/>
  <c r="AD6" i="3" s="1"/>
  <c r="H23" i="3"/>
  <c r="W11" i="3"/>
  <c r="AD11" i="3" s="1"/>
  <c r="W7" i="3"/>
  <c r="AD7" i="3" s="1"/>
  <c r="C23" i="1"/>
  <c r="Y7" i="1"/>
  <c r="Y6" i="1"/>
  <c r="C11" i="1"/>
  <c r="B23" i="1" s="1"/>
  <c r="C7" i="1"/>
  <c r="C6" i="1"/>
  <c r="V11" i="1"/>
  <c r="U11" i="1"/>
  <c r="R11" i="1"/>
  <c r="M11" i="1"/>
  <c r="S11" i="1" s="1"/>
  <c r="M6" i="1"/>
  <c r="S6" i="1" s="1"/>
  <c r="N11" i="1"/>
  <c r="T11" i="1" s="1"/>
  <c r="N6" i="1"/>
  <c r="R7" i="1"/>
  <c r="R6" i="1"/>
  <c r="C21" i="1"/>
  <c r="H21" i="1" s="1"/>
  <c r="T21" i="1" s="1"/>
  <c r="W21" i="1" s="1"/>
  <c r="M7" i="1"/>
  <c r="S7" i="1" s="1"/>
  <c r="N7" i="1"/>
  <c r="C22" i="1"/>
  <c r="H22" i="1" s="1"/>
  <c r="S22" i="1" s="1"/>
  <c r="W22" i="1" s="1"/>
  <c r="AD22" i="1" s="1"/>
  <c r="AD7" i="4" l="1"/>
  <c r="AD21" i="4"/>
  <c r="P5" i="4"/>
  <c r="S5" i="4"/>
  <c r="R5" i="4"/>
  <c r="AD4" i="4"/>
  <c r="AB24" i="4"/>
  <c r="AD24" i="4" s="1"/>
  <c r="AB6" i="4"/>
  <c r="AD6" i="4" s="1"/>
  <c r="AD23" i="4"/>
  <c r="R23" i="3"/>
  <c r="W23" i="3" s="1"/>
  <c r="AD23" i="3" s="1"/>
  <c r="AD30" i="3" s="1"/>
  <c r="H23" i="1"/>
  <c r="R23" i="1" s="1"/>
  <c r="W23" i="1" s="1"/>
  <c r="AD23" i="1" s="1"/>
  <c r="AD21" i="1"/>
  <c r="W11" i="1"/>
  <c r="AD11" i="1" s="1"/>
  <c r="T7" i="1"/>
  <c r="T6" i="1"/>
  <c r="Z7" i="1"/>
  <c r="I16" i="1"/>
  <c r="C16" i="1" s="1"/>
  <c r="U7" i="1"/>
  <c r="D8" i="2"/>
  <c r="F8" i="2" s="1"/>
  <c r="H8" i="2" s="1"/>
  <c r="B26" i="2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7" i="2"/>
  <c r="F6" i="2"/>
  <c r="H6" i="2" s="1"/>
  <c r="H5" i="2"/>
  <c r="F5" i="2"/>
  <c r="F19" i="2"/>
  <c r="G17" i="2"/>
  <c r="V6" i="1"/>
  <c r="U6" i="1"/>
  <c r="AB5" i="4" l="1"/>
  <c r="AD5" i="4" s="1"/>
  <c r="AD27" i="4" s="1"/>
  <c r="AC27" i="4" s="1"/>
  <c r="W6" i="1"/>
  <c r="AD6" i="1" s="1"/>
  <c r="F17" i="2"/>
  <c r="H7" i="2"/>
  <c r="V7" i="1" l="1"/>
  <c r="J15" i="1"/>
  <c r="C15" i="1" s="1"/>
  <c r="W7" i="1" l="1"/>
  <c r="AD7" i="1" s="1"/>
  <c r="AD30" i="1" s="1"/>
</calcChain>
</file>

<file path=xl/sharedStrings.xml><?xml version="1.0" encoding="utf-8"?>
<sst xmlns="http://schemas.openxmlformats.org/spreadsheetml/2006/main" count="143" uniqueCount="45">
  <si>
    <t>USD</t>
  </si>
  <si>
    <t>S-T</t>
  </si>
  <si>
    <t>L-T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</si>
  <si>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</si>
  <si>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</si>
  <si>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</si>
  <si>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</si>
  <si>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</si>
  <si>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</si>
  <si>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</si>
  <si>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</si>
  <si>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</si>
  <si>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</si>
  <si>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</si>
  <si>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rect</t>
  </si>
  <si>
    <t>tri</t>
  </si>
  <si>
    <t>B</t>
  </si>
  <si>
    <t>los</t>
  </si>
  <si>
    <t>parall</t>
  </si>
  <si>
    <t>JPY</t>
  </si>
  <si>
    <t>CHF</t>
  </si>
  <si>
    <t>Swap</t>
  </si>
  <si>
    <t>Loan</t>
  </si>
  <si>
    <t>EUR</t>
  </si>
  <si>
    <t>x/CHF</t>
  </si>
  <si>
    <t>x/EUR</t>
  </si>
  <si>
    <t>TOT</t>
  </si>
  <si>
    <t>Target</t>
  </si>
  <si>
    <t>ToT Amnt</t>
  </si>
  <si>
    <t>CAD</t>
  </si>
  <si>
    <t>x/CAD</t>
  </si>
  <si>
    <t>GBP</t>
  </si>
  <si>
    <t>x/GBP</t>
  </si>
  <si>
    <t>LT fund</t>
  </si>
  <si>
    <t>ST fund</t>
  </si>
  <si>
    <t>BCGE</t>
  </si>
  <si>
    <t>ZKB</t>
  </si>
  <si>
    <t>KBC</t>
  </si>
  <si>
    <t>RBI</t>
  </si>
  <si>
    <t>MGROS</t>
  </si>
  <si>
    <t>LBBW</t>
  </si>
  <si>
    <t>CORNER</t>
  </si>
  <si>
    <t>FX Swap</t>
  </si>
  <si>
    <t>Short-Term</t>
  </si>
  <si>
    <t>Long-Term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</si>
</sst>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-0.24994659260841701"/>
      </left>
      <right/>
      <top/>
      <bottom/>
      <diagonal/>
    </border>
    <border>
      <left style="thin">
        <color theme="3" tint="0.59996337778862885"/>
      </left>
      <right/>
      <top/>
      <bottom/>
      <diagonal/>
    </border>
    <border>
      <left/>
      <right style="thin">
        <color theme="3" tint="0.59996337778862885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0" fillId="0" borderId="0" xfId="1" applyNumberFormat="1" applyFont="1"/>
    <xf numFmtId="165" fontId="0" fillId="0" borderId="0" xfId="0" applyNumberFormat="1"/>
    <xf numFmtId="10" fontId="0" fillId="0" borderId="0" xfId="0" quotePrefix="1" applyNumberForma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right"/>
    </xf>
    <xf numFmtId="0" fontId="0" fillId="7" borderId="0" xfId="0" applyFill="1" applyAlignment="1">
      <alignment horizontal="right"/>
    </xf>
    <xf numFmtId="164" fontId="0" fillId="7" borderId="0" xfId="1" applyNumberFormat="1" applyFont="1" applyFill="1"/>
    <xf numFmtId="0" fontId="3" fillId="5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0" fontId="0" fillId="0" borderId="0" xfId="2" applyNumberFormat="1" applyFont="1"/>
    <xf numFmtId="164" fontId="5" fillId="0" borderId="0" xfId="1" applyNumberFormat="1" applyFont="1"/>
    <xf numFmtId="0" fontId="6" fillId="0" borderId="0" xfId="0" applyFont="1"/>
    <xf numFmtId="164" fontId="7" fillId="0" borderId="0" xfId="1" applyNumberFormat="1" applyFont="1"/>
    <xf numFmtId="9" fontId="8" fillId="0" borderId="0" xfId="2" applyFont="1"/>
    <xf numFmtId="0" fontId="6" fillId="0" borderId="0" xfId="0" applyFont="1" applyAlignment="1">
      <alignment horizontal="right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2C1B-1C1C-4A49-BD65-FFC23D7957E1}">
  <dimension ref="A3:AD30"/>
  <sheetViews>
    <sheetView zoomScale="79" zoomScaleNormal="80" workbookViewId="0">
      <selection activeCell="C23" sqref="C23"/>
    </sheetView>
  </sheetViews>
  <sheetFormatPr defaultRowHeight="14.4" x14ac:dyDescent="0.3"/>
  <cols>
    <col min="1" max="1" width="6.77734375" customWidth="1"/>
    <col min="2" max="3" width="12.33203125" bestFit="1" customWidth="1"/>
    <col min="4" max="4" width="4.44140625" customWidth="1"/>
    <col min="6" max="6" width="9.77734375" bestFit="1" customWidth="1"/>
    <col min="7" max="10" width="10.44140625" customWidth="1"/>
    <col min="11" max="11" width="3.109375" customWidth="1"/>
    <col min="12" max="16" width="8.21875" customWidth="1"/>
    <col min="17" max="17" width="3.33203125" customWidth="1"/>
    <col min="20" max="24" width="9.21875" customWidth="1"/>
    <col min="29" max="29" width="4.88671875" customWidth="1"/>
  </cols>
  <sheetData>
    <row r="3" spans="1:30" x14ac:dyDescent="0.3">
      <c r="F3" s="22" t="s">
        <v>1</v>
      </c>
      <c r="G3" s="22"/>
      <c r="H3" s="22"/>
      <c r="I3" s="22"/>
      <c r="J3" s="17" t="s">
        <v>2</v>
      </c>
      <c r="K3" s="1"/>
      <c r="L3" s="1"/>
    </row>
    <row r="4" spans="1:30" x14ac:dyDescent="0.3">
      <c r="B4" s="1" t="s">
        <v>27</v>
      </c>
      <c r="C4" s="1" t="s">
        <v>28</v>
      </c>
      <c r="F4" s="21" t="s">
        <v>21</v>
      </c>
      <c r="G4" s="21"/>
      <c r="H4" s="21"/>
      <c r="I4" s="20" t="s">
        <v>22</v>
      </c>
      <c r="J4" s="21"/>
      <c r="M4" s="1"/>
      <c r="W4" s="1" t="s">
        <v>26</v>
      </c>
      <c r="X4" s="1"/>
    </row>
    <row r="5" spans="1:30" x14ac:dyDescent="0.3">
      <c r="F5" s="18" t="s">
        <v>23</v>
      </c>
      <c r="G5" s="18" t="s">
        <v>29</v>
      </c>
      <c r="H5" s="18" t="s">
        <v>31</v>
      </c>
      <c r="Y5" s="1" t="s">
        <v>25</v>
      </c>
      <c r="Z5" s="1" t="s">
        <v>24</v>
      </c>
      <c r="AA5" s="1" t="s">
        <v>32</v>
      </c>
      <c r="AB5" s="1" t="s">
        <v>30</v>
      </c>
      <c r="AD5" s="1" t="s">
        <v>20</v>
      </c>
    </row>
    <row r="6" spans="1:30" x14ac:dyDescent="0.3">
      <c r="B6" s="9">
        <v>32000</v>
      </c>
      <c r="C6" s="9">
        <f>SUM(F6:J6)</f>
        <v>31999.999999999996</v>
      </c>
      <c r="D6" s="9"/>
      <c r="E6" s="14" t="s">
        <v>0</v>
      </c>
      <c r="F6" s="9">
        <v>10215</v>
      </c>
      <c r="G6" s="9">
        <v>0</v>
      </c>
      <c r="H6" s="9">
        <v>11734.748743718588</v>
      </c>
      <c r="I6" s="9">
        <v>10050.251256281408</v>
      </c>
      <c r="J6" s="9">
        <v>0</v>
      </c>
      <c r="K6" s="9"/>
      <c r="L6" s="2">
        <f>+O6+L$23</f>
        <v>-2.8499999999999998E-2</v>
      </c>
      <c r="M6" s="2">
        <f>+O6+M$22</f>
        <v>-6.9999999999999993E-3</v>
      </c>
      <c r="N6" s="2">
        <f>+O6+N$21</f>
        <v>-1.8199999999999997E-2</v>
      </c>
      <c r="O6" s="2">
        <v>-2.5499999999999998E-2</v>
      </c>
      <c r="P6" s="2">
        <v>-0.03</v>
      </c>
      <c r="Q6" s="2"/>
      <c r="R6" s="9">
        <f t="shared" ref="R6:V7" si="0">+F6*L6</f>
        <v>-291.1275</v>
      </c>
      <c r="S6" s="9">
        <f t="shared" si="0"/>
        <v>0</v>
      </c>
      <c r="T6" s="9">
        <f t="shared" si="0"/>
        <v>-213.57242713567828</v>
      </c>
      <c r="U6" s="9">
        <f t="shared" si="0"/>
        <v>-256.2814070351759</v>
      </c>
      <c r="V6" s="9">
        <f t="shared" si="0"/>
        <v>0</v>
      </c>
      <c r="W6" s="9">
        <f>SUM(R6:V6)</f>
        <v>-760.98133417085421</v>
      </c>
      <c r="X6" s="9"/>
      <c r="Y6">
        <f>1/Z11</f>
        <v>0.88105726872246692</v>
      </c>
      <c r="Z6" s="10">
        <v>0.995</v>
      </c>
      <c r="AA6" s="10">
        <v>0.77</v>
      </c>
      <c r="AB6" s="10">
        <v>1.3420000000000001</v>
      </c>
      <c r="AD6" s="9">
        <f>+W6*Z6</f>
        <v>-757.17642749999993</v>
      </c>
    </row>
    <row r="7" spans="1:30" x14ac:dyDescent="0.3">
      <c r="B7" s="9">
        <v>1400000</v>
      </c>
      <c r="C7" s="9">
        <f>SUM(F7:J7)</f>
        <v>1399999.9999999998</v>
      </c>
      <c r="D7" s="9"/>
      <c r="E7" s="15" t="s">
        <v>19</v>
      </c>
      <c r="F7" s="16">
        <v>0</v>
      </c>
      <c r="G7" s="16">
        <v>23.560008449291654</v>
      </c>
      <c r="H7" s="16">
        <v>0</v>
      </c>
      <c r="I7" s="16">
        <v>0</v>
      </c>
      <c r="J7" s="16">
        <v>1399976.4399915505</v>
      </c>
      <c r="K7" s="9"/>
      <c r="L7" s="2">
        <f>+O7+L23</f>
        <v>-2.5000000000000001E-3</v>
      </c>
      <c r="M7" s="2">
        <f>+O7+M22</f>
        <v>1.9E-2</v>
      </c>
      <c r="N7" s="2">
        <f>+O7+N21</f>
        <v>7.7999999999999996E-3</v>
      </c>
      <c r="O7" s="2">
        <v>5.0000000000000001E-4</v>
      </c>
      <c r="P7" s="2">
        <v>0</v>
      </c>
      <c r="Q7" s="2"/>
      <c r="R7" s="9">
        <f t="shared" si="0"/>
        <v>0</v>
      </c>
      <c r="S7" s="9">
        <f t="shared" si="0"/>
        <v>0.44764016053654143</v>
      </c>
      <c r="T7" s="9">
        <f t="shared" si="0"/>
        <v>0</v>
      </c>
      <c r="U7" s="9">
        <f t="shared" si="0"/>
        <v>0</v>
      </c>
      <c r="V7" s="9">
        <f t="shared" si="0"/>
        <v>0</v>
      </c>
      <c r="W7" s="9">
        <f>SUM(R7:V7)</f>
        <v>0.44764016053654143</v>
      </c>
      <c r="X7" s="9"/>
      <c r="Y7">
        <f>1/110.3</f>
        <v>9.0661831368993653E-3</v>
      </c>
      <c r="Z7" s="10">
        <f>1/110.28</f>
        <v>9.0678273485672832E-3</v>
      </c>
      <c r="AA7" s="10">
        <v>7.0000000000000001E-3</v>
      </c>
      <c r="AB7" s="10">
        <v>1.0373800717317198E-2</v>
      </c>
      <c r="AD7" s="9">
        <f>+W7*Z7</f>
        <v>4.0591236900302998E-3</v>
      </c>
    </row>
    <row r="8" spans="1:30" x14ac:dyDescent="0.3">
      <c r="B8" s="9"/>
      <c r="C8" s="9"/>
      <c r="D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/>
      <c r="L8" s="9"/>
      <c r="M8" s="9"/>
      <c r="N8" s="2"/>
      <c r="O8" s="11"/>
      <c r="P8" s="2"/>
      <c r="Q8" s="2"/>
      <c r="R8" s="2"/>
      <c r="T8" s="9"/>
      <c r="U8" s="9"/>
      <c r="V8" s="9"/>
      <c r="W8" s="9"/>
      <c r="X8" s="9"/>
      <c r="Z8" s="10"/>
      <c r="AD8" s="9"/>
    </row>
    <row r="9" spans="1:30" x14ac:dyDescent="0.3">
      <c r="B9" s="9"/>
      <c r="C9" s="9"/>
      <c r="D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/>
      <c r="L9" s="9"/>
      <c r="M9" s="9"/>
      <c r="U9" s="9"/>
      <c r="V9" s="9"/>
      <c r="W9" s="9"/>
      <c r="X9" s="9"/>
      <c r="AD9" s="9"/>
    </row>
    <row r="10" spans="1:30" x14ac:dyDescent="0.3">
      <c r="B10" s="9"/>
      <c r="C10" s="9"/>
      <c r="D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/>
      <c r="L10" s="9"/>
      <c r="M10" s="9"/>
      <c r="U10" s="9"/>
      <c r="V10" s="9"/>
      <c r="W10" s="9"/>
      <c r="X10" s="9"/>
      <c r="AD10" s="9"/>
    </row>
    <row r="11" spans="1:30" x14ac:dyDescent="0.3">
      <c r="B11" s="9">
        <v>9000</v>
      </c>
      <c r="C11" s="9">
        <f>SUM(F11:J11)</f>
        <v>9000</v>
      </c>
      <c r="D11" s="9"/>
      <c r="E11" s="15" t="s">
        <v>23</v>
      </c>
      <c r="F11" s="16">
        <v>0</v>
      </c>
      <c r="G11" s="16">
        <v>5961.069741555476</v>
      </c>
      <c r="H11" s="16">
        <v>126.81100725972026</v>
      </c>
      <c r="I11" s="16">
        <v>0</v>
      </c>
      <c r="J11" s="16">
        <v>2912.1192511848035</v>
      </c>
      <c r="K11" s="9"/>
      <c r="L11" s="23">
        <v>-1</v>
      </c>
      <c r="M11" s="2">
        <f>+O11+M$22</f>
        <v>2.0999999999999998E-2</v>
      </c>
      <c r="N11" s="2">
        <f>+O11+N$21</f>
        <v>9.7999999999999997E-3</v>
      </c>
      <c r="O11" s="2">
        <v>2.5000000000000001E-3</v>
      </c>
      <c r="P11" s="2">
        <v>1.4E-3</v>
      </c>
      <c r="R11" s="9">
        <f>+F11*L11</f>
        <v>0</v>
      </c>
      <c r="S11" s="9">
        <f>+G11*M11</f>
        <v>125.18246457266498</v>
      </c>
      <c r="T11" s="9">
        <f>+H11*N11</f>
        <v>1.2427478711452584</v>
      </c>
      <c r="U11" s="9">
        <f>+I11*O11</f>
        <v>0</v>
      </c>
      <c r="V11" s="9">
        <f>+J11*P11</f>
        <v>4.0769669516587248</v>
      </c>
      <c r="W11" s="9">
        <f>SUM(R11:V11)</f>
        <v>130.50217939546897</v>
      </c>
      <c r="X11" s="9"/>
      <c r="Y11">
        <v>1</v>
      </c>
      <c r="Z11" s="10">
        <v>1.135</v>
      </c>
      <c r="AA11" s="10">
        <v>0.86641221374045796</v>
      </c>
      <c r="AB11" s="10">
        <v>1.3420000000000001</v>
      </c>
      <c r="AD11" s="9">
        <f>+W11*Z11</f>
        <v>148.1199736138573</v>
      </c>
    </row>
    <row r="12" spans="1:30" x14ac:dyDescent="0.3">
      <c r="B12" s="9"/>
      <c r="C12" s="9"/>
      <c r="D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/>
      <c r="L12" s="9"/>
      <c r="M12" s="9"/>
      <c r="U12" s="9"/>
      <c r="V12" s="9"/>
      <c r="W12" s="9"/>
      <c r="X12" s="9"/>
      <c r="AD12" s="9"/>
    </row>
    <row r="13" spans="1:30" x14ac:dyDescent="0.3">
      <c r="B13" s="9"/>
      <c r="C13" s="9"/>
      <c r="D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/>
      <c r="L13" s="9"/>
      <c r="M13" s="9"/>
      <c r="U13" s="9"/>
      <c r="V13" s="9"/>
      <c r="W13" s="9"/>
      <c r="X13" s="9"/>
      <c r="AD13" s="9"/>
    </row>
    <row r="14" spans="1:30" x14ac:dyDescent="0.3">
      <c r="B14" s="9"/>
      <c r="C14" s="9"/>
      <c r="D14" s="9"/>
      <c r="I14" s="9"/>
      <c r="J14" s="9"/>
      <c r="K14" s="9"/>
      <c r="L14" s="9"/>
      <c r="M14" s="9"/>
      <c r="U14" s="9"/>
      <c r="V14" s="9"/>
      <c r="W14" s="9"/>
      <c r="X14" s="9"/>
      <c r="AD14" s="9"/>
    </row>
    <row r="15" spans="1:30" x14ac:dyDescent="0.3">
      <c r="A15" t="s">
        <v>20</v>
      </c>
      <c r="B15" s="9">
        <v>16000</v>
      </c>
      <c r="C15" s="9">
        <f>SUM(J15)</f>
        <v>15999.999999999998</v>
      </c>
      <c r="D15" s="9"/>
      <c r="J15" s="9">
        <f>SUMPRODUCT(J6:J13,Z6:Z13)</f>
        <v>15999.999999999998</v>
      </c>
      <c r="K15" s="9"/>
      <c r="L15" s="9"/>
      <c r="M15" s="9"/>
      <c r="U15" s="9"/>
      <c r="V15" s="9"/>
      <c r="W15" s="9"/>
      <c r="X15" s="9"/>
      <c r="AD15" s="9"/>
    </row>
    <row r="16" spans="1:30" x14ac:dyDescent="0.3">
      <c r="A16" t="s">
        <v>20</v>
      </c>
      <c r="B16" s="9">
        <v>10000</v>
      </c>
      <c r="C16" s="9">
        <f>+I16</f>
        <v>10000.000000000002</v>
      </c>
      <c r="I16" s="9">
        <f>SUMPRODUCT(I6:I13,Z6:Z13)</f>
        <v>10000.000000000002</v>
      </c>
      <c r="AD16" s="9"/>
    </row>
    <row r="17" spans="1:30" x14ac:dyDescent="0.3">
      <c r="Y17" s="9"/>
    </row>
    <row r="21" spans="1:30" x14ac:dyDescent="0.3">
      <c r="A21" t="s">
        <v>31</v>
      </c>
      <c r="B21" s="9">
        <v>14000</v>
      </c>
      <c r="C21" s="9">
        <f>SUMPRODUCT(H6:H13,AA6:AA13)</f>
        <v>9145.6271381898659</v>
      </c>
      <c r="E21" t="s">
        <v>31</v>
      </c>
      <c r="H21" s="9">
        <f>MAX(0,B21-C21)</f>
        <v>4854.3728618101341</v>
      </c>
      <c r="N21" s="2">
        <v>7.3000000000000001E-3</v>
      </c>
      <c r="T21" s="9">
        <f t="shared" ref="T21" si="1">+H21*N21</f>
        <v>35.436921891213977</v>
      </c>
      <c r="W21" s="9">
        <f>SUM(S21:V21)</f>
        <v>35.436921891213977</v>
      </c>
      <c r="X21" s="9"/>
      <c r="Z21">
        <v>1.31</v>
      </c>
      <c r="AD21" s="9">
        <f>+W21*Z21</f>
        <v>46.422367677490314</v>
      </c>
    </row>
    <row r="22" spans="1:30" x14ac:dyDescent="0.3">
      <c r="A22" t="s">
        <v>29</v>
      </c>
      <c r="B22" s="9">
        <v>8000</v>
      </c>
      <c r="C22" s="9">
        <f>SUMPRODUCT(G6:G13,AB6:AB13)</f>
        <v>8000.0000000000009</v>
      </c>
      <c r="E22" t="s">
        <v>29</v>
      </c>
      <c r="H22" s="9">
        <f>MAX(0,B22-C22)</f>
        <v>0</v>
      </c>
      <c r="M22" s="2">
        <v>1.8499999999999999E-2</v>
      </c>
      <c r="S22" s="13">
        <f>+M22*H22</f>
        <v>0</v>
      </c>
      <c r="W22" s="9">
        <f>SUM(S22:V22)</f>
        <v>0</v>
      </c>
      <c r="X22" s="9"/>
      <c r="Z22">
        <v>1.34</v>
      </c>
      <c r="AD22" s="9">
        <f>+W22*Z22</f>
        <v>0</v>
      </c>
    </row>
    <row r="23" spans="1:30" x14ac:dyDescent="0.3">
      <c r="A23" t="s">
        <v>23</v>
      </c>
      <c r="B23" s="12">
        <f>+C11</f>
        <v>9000</v>
      </c>
      <c r="C23" s="9">
        <f>SUMPRODUCT(F6:F13,Y6:Y13)</f>
        <v>9000</v>
      </c>
      <c r="E23" t="s">
        <v>23</v>
      </c>
      <c r="H23" s="9">
        <f>MAX(0,B23-C23)</f>
        <v>0</v>
      </c>
      <c r="L23" s="2">
        <v>-3.0000000000000001E-3</v>
      </c>
      <c r="R23" s="13">
        <f>+L23*H23</f>
        <v>0</v>
      </c>
      <c r="W23" s="9">
        <f>SUM(R23:V23)</f>
        <v>0</v>
      </c>
      <c r="Z23">
        <v>1.135</v>
      </c>
      <c r="AD23" s="9">
        <f>+W23*Z23</f>
        <v>0</v>
      </c>
    </row>
    <row r="28" spans="1:30" x14ac:dyDescent="0.3">
      <c r="C28" s="9"/>
      <c r="G28" s="9"/>
      <c r="H28" s="9"/>
      <c r="I28" s="9"/>
      <c r="J28" s="9"/>
    </row>
    <row r="29" spans="1:30" x14ac:dyDescent="0.3">
      <c r="G29" s="12"/>
      <c r="H29" s="12"/>
      <c r="I29" s="12"/>
      <c r="J29" s="12"/>
    </row>
    <row r="30" spans="1:30" x14ac:dyDescent="0.3">
      <c r="AD30" s="12">
        <f>SUM(AD6:AD28)</f>
        <v>-562.63002708496231</v>
      </c>
    </row>
  </sheetData>
  <mergeCells count="3">
    <mergeCell ref="I4:J4"/>
    <mergeCell ref="F4:H4"/>
    <mergeCell ref="F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5EF-756C-483D-96DF-D2232C1477A2}">
  <dimension ref="A3:AD33"/>
  <sheetViews>
    <sheetView zoomScale="79" zoomScaleNormal="80" workbookViewId="0">
      <selection activeCell="L6" sqref="L6"/>
    </sheetView>
  </sheetViews>
  <sheetFormatPr defaultRowHeight="14.4" x14ac:dyDescent="0.3"/>
  <cols>
    <col min="1" max="1" width="7.77734375" customWidth="1"/>
    <col min="2" max="3" width="12.33203125" bestFit="1" customWidth="1"/>
    <col min="4" max="4" width="4.44140625" customWidth="1"/>
    <col min="6" max="6" width="9.77734375" bestFit="1" customWidth="1"/>
    <col min="7" max="10" width="10.44140625" customWidth="1"/>
    <col min="11" max="11" width="3.109375" customWidth="1"/>
    <col min="12" max="16" width="8.21875" customWidth="1"/>
    <col min="17" max="17" width="3.33203125" customWidth="1"/>
    <col min="20" max="23" width="9.21875" customWidth="1"/>
    <col min="24" max="24" width="4.109375" customWidth="1"/>
    <col min="29" max="29" width="3.109375" customWidth="1"/>
  </cols>
  <sheetData>
    <row r="3" spans="1:30" x14ac:dyDescent="0.3">
      <c r="F3" s="22" t="s">
        <v>1</v>
      </c>
      <c r="G3" s="22"/>
      <c r="H3" s="22"/>
      <c r="I3" s="22"/>
      <c r="J3" s="17" t="s">
        <v>2</v>
      </c>
      <c r="K3" s="1"/>
      <c r="L3" s="1"/>
    </row>
    <row r="4" spans="1:30" x14ac:dyDescent="0.3">
      <c r="B4" s="1" t="s">
        <v>27</v>
      </c>
      <c r="C4" s="1" t="s">
        <v>28</v>
      </c>
      <c r="F4" s="21" t="s">
        <v>21</v>
      </c>
      <c r="G4" s="21"/>
      <c r="H4" s="21"/>
      <c r="I4" s="20" t="s">
        <v>22</v>
      </c>
      <c r="J4" s="21"/>
      <c r="M4" s="1"/>
      <c r="W4" s="1" t="s">
        <v>26</v>
      </c>
      <c r="X4" s="1"/>
    </row>
    <row r="5" spans="1:30" x14ac:dyDescent="0.3">
      <c r="F5" s="18" t="s">
        <v>23</v>
      </c>
      <c r="G5" s="18" t="s">
        <v>29</v>
      </c>
      <c r="H5" s="18" t="s">
        <v>31</v>
      </c>
      <c r="Y5" s="1" t="s">
        <v>25</v>
      </c>
      <c r="Z5" s="1" t="s">
        <v>24</v>
      </c>
      <c r="AA5" s="1" t="s">
        <v>32</v>
      </c>
      <c r="AB5" s="1" t="s">
        <v>30</v>
      </c>
      <c r="AD5" s="1" t="s">
        <v>20</v>
      </c>
    </row>
    <row r="6" spans="1:30" x14ac:dyDescent="0.3">
      <c r="B6" s="9">
        <v>32000</v>
      </c>
      <c r="C6" s="9">
        <f>SUM(F6:J6)</f>
        <v>32000</v>
      </c>
      <c r="D6" s="9"/>
      <c r="E6" s="14" t="s">
        <v>0</v>
      </c>
      <c r="F6" s="9">
        <v>12485</v>
      </c>
      <c r="G6" s="9">
        <v>0</v>
      </c>
      <c r="H6" s="9">
        <v>9464.7487437185937</v>
      </c>
      <c r="I6" s="9">
        <v>10050.251256281406</v>
      </c>
      <c r="J6" s="9">
        <v>0</v>
      </c>
      <c r="K6" s="9"/>
      <c r="L6" s="2">
        <f>+O6+L$23</f>
        <v>-2.9599999999999998E-2</v>
      </c>
      <c r="M6" s="2">
        <f>+O6+M$22</f>
        <v>-6.9999999999999993E-3</v>
      </c>
      <c r="N6" s="2">
        <f>+O6+N$21</f>
        <v>-1.8199999999999997E-2</v>
      </c>
      <c r="O6" s="2">
        <v>-2.5499999999999998E-2</v>
      </c>
      <c r="P6" s="2">
        <v>-0.03</v>
      </c>
      <c r="Q6" s="2"/>
      <c r="R6" s="9">
        <f t="shared" ref="R6:V7" si="0">+F6*L6</f>
        <v>-369.55599999999998</v>
      </c>
      <c r="S6" s="9">
        <f t="shared" si="0"/>
        <v>0</v>
      </c>
      <c r="T6" s="9">
        <f t="shared" si="0"/>
        <v>-172.25842713567837</v>
      </c>
      <c r="U6" s="9">
        <f t="shared" si="0"/>
        <v>-256.28140703517585</v>
      </c>
      <c r="V6" s="9">
        <f t="shared" si="0"/>
        <v>0</v>
      </c>
      <c r="W6" s="9">
        <f>SUM(R6:V6)</f>
        <v>-798.09583417085423</v>
      </c>
      <c r="X6" s="9"/>
      <c r="Y6">
        <f>1/Z11</f>
        <v>0.88105726872246692</v>
      </c>
      <c r="Z6" s="10">
        <v>0.995</v>
      </c>
      <c r="AA6" s="10">
        <v>0.77</v>
      </c>
      <c r="AB6" s="10">
        <v>1.3420000000000001</v>
      </c>
      <c r="AD6" s="9">
        <f>+W6*Z6</f>
        <v>-794.10535499999992</v>
      </c>
    </row>
    <row r="7" spans="1:30" x14ac:dyDescent="0.3">
      <c r="B7" s="9">
        <v>1400000</v>
      </c>
      <c r="C7" s="9">
        <f>SUM(F7:J7)</f>
        <v>1400000.0000000044</v>
      </c>
      <c r="D7" s="9"/>
      <c r="E7" s="15" t="s">
        <v>19</v>
      </c>
      <c r="F7" s="16">
        <v>0</v>
      </c>
      <c r="G7" s="16">
        <v>0</v>
      </c>
      <c r="H7" s="16">
        <v>0</v>
      </c>
      <c r="I7" s="16">
        <v>0</v>
      </c>
      <c r="J7" s="16">
        <v>1400000.0000000044</v>
      </c>
      <c r="K7" s="9"/>
      <c r="L7" s="2">
        <f>+O7+L23</f>
        <v>-3.6000000000000003E-3</v>
      </c>
      <c r="M7" s="2">
        <f>+O7+M22</f>
        <v>1.9E-2</v>
      </c>
      <c r="N7" s="2">
        <f>+O7+N21</f>
        <v>7.7999999999999996E-3</v>
      </c>
      <c r="O7" s="2">
        <v>5.0000000000000001E-4</v>
      </c>
      <c r="P7" s="2">
        <v>0</v>
      </c>
      <c r="Q7" s="2"/>
      <c r="R7" s="9">
        <f t="shared" si="0"/>
        <v>0</v>
      </c>
      <c r="S7" s="9">
        <f t="shared" si="0"/>
        <v>0</v>
      </c>
      <c r="T7" s="9">
        <f t="shared" si="0"/>
        <v>0</v>
      </c>
      <c r="U7" s="9">
        <f t="shared" si="0"/>
        <v>0</v>
      </c>
      <c r="V7" s="9">
        <f t="shared" si="0"/>
        <v>0</v>
      </c>
      <c r="W7" s="9">
        <f>SUM(R7:V7)</f>
        <v>0</v>
      </c>
      <c r="X7" s="9"/>
      <c r="Y7">
        <f>1/110.3</f>
        <v>9.0661831368993653E-3</v>
      </c>
      <c r="Z7" s="10">
        <f>1/110.28</f>
        <v>9.0678273485672832E-3</v>
      </c>
      <c r="AA7" s="10">
        <v>7.0000000000000001E-3</v>
      </c>
      <c r="AB7" s="10">
        <v>1.0373800717317198E-2</v>
      </c>
      <c r="AD7" s="9">
        <f>+W7*Z7</f>
        <v>0</v>
      </c>
    </row>
    <row r="8" spans="1:30" x14ac:dyDescent="0.3">
      <c r="B8" s="9"/>
      <c r="C8" s="9"/>
      <c r="D8" s="9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/>
      <c r="L8" s="9"/>
      <c r="M8" s="9"/>
      <c r="N8" s="2"/>
      <c r="O8" s="11"/>
      <c r="P8" s="2"/>
      <c r="Q8" s="2"/>
      <c r="R8" s="2"/>
      <c r="T8" s="9"/>
      <c r="U8" s="9"/>
      <c r="V8" s="9"/>
      <c r="W8" s="9"/>
      <c r="X8" s="9"/>
      <c r="Z8" s="10"/>
      <c r="AD8" s="9"/>
    </row>
    <row r="9" spans="1:30" x14ac:dyDescent="0.3">
      <c r="B9" s="9"/>
      <c r="C9" s="9"/>
      <c r="D9" s="9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/>
      <c r="L9" s="9"/>
      <c r="M9" s="9"/>
      <c r="U9" s="9"/>
      <c r="V9" s="9"/>
      <c r="W9" s="9"/>
      <c r="X9" s="9"/>
      <c r="AD9" s="9"/>
    </row>
    <row r="10" spans="1:30" x14ac:dyDescent="0.3">
      <c r="B10" s="9"/>
      <c r="C10" s="9"/>
      <c r="D10" s="9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/>
      <c r="L10" s="9"/>
      <c r="M10" s="9"/>
      <c r="U10" s="9"/>
      <c r="V10" s="9"/>
      <c r="W10" s="9"/>
      <c r="X10" s="9"/>
      <c r="AD10" s="9"/>
    </row>
    <row r="11" spans="1:30" x14ac:dyDescent="0.3">
      <c r="B11" s="9">
        <v>0</v>
      </c>
      <c r="C11" s="9">
        <f>SUM(F11:J11)</f>
        <v>10635.297424129727</v>
      </c>
      <c r="D11" s="9"/>
      <c r="E11" s="15" t="s">
        <v>23</v>
      </c>
      <c r="F11" s="16">
        <v>0</v>
      </c>
      <c r="G11" s="16">
        <v>5961.251862891183</v>
      </c>
      <c r="H11" s="16">
        <v>0</v>
      </c>
      <c r="I11" s="16">
        <v>0</v>
      </c>
      <c r="J11" s="16">
        <v>4674.0455612385449</v>
      </c>
      <c r="K11" s="9"/>
      <c r="L11" s="23">
        <v>-1</v>
      </c>
      <c r="M11" s="2">
        <f>+O11+M$22</f>
        <v>2.0999999999999998E-2</v>
      </c>
      <c r="N11" s="2">
        <f>+O11+N$21</f>
        <v>9.7999999999999997E-3</v>
      </c>
      <c r="O11" s="2">
        <v>2.5000000000000001E-3</v>
      </c>
      <c r="P11" s="2">
        <v>1.4E-3</v>
      </c>
      <c r="R11" s="9">
        <f>+F11*L11</f>
        <v>0</v>
      </c>
      <c r="S11" s="9">
        <f>+G11*M11</f>
        <v>125.18628912071483</v>
      </c>
      <c r="T11" s="9">
        <f>+H11*N11</f>
        <v>0</v>
      </c>
      <c r="U11" s="9">
        <f>+I11*O11</f>
        <v>0</v>
      </c>
      <c r="V11" s="9">
        <f>+J11*P11</f>
        <v>6.5436637857339628</v>
      </c>
      <c r="W11" s="9">
        <f>SUM(R11:V11)</f>
        <v>131.7299529064488</v>
      </c>
      <c r="X11" s="9"/>
      <c r="Y11">
        <v>1</v>
      </c>
      <c r="Z11" s="10">
        <v>1.135</v>
      </c>
      <c r="AA11" s="10">
        <v>0.86641221374045796</v>
      </c>
      <c r="AB11" s="10">
        <v>1.3420000000000001</v>
      </c>
      <c r="AD11" s="9">
        <f>+W11*Z11</f>
        <v>149.5134965488194</v>
      </c>
    </row>
    <row r="12" spans="1:30" x14ac:dyDescent="0.3">
      <c r="B12" s="9"/>
      <c r="C12" s="9"/>
      <c r="D12" s="9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/>
      <c r="L12" s="9"/>
      <c r="M12" s="9"/>
      <c r="U12" s="9"/>
      <c r="V12" s="9"/>
      <c r="W12" s="9"/>
      <c r="X12" s="9"/>
      <c r="AD12" s="9"/>
    </row>
    <row r="13" spans="1:30" x14ac:dyDescent="0.3">
      <c r="B13" s="9"/>
      <c r="C13" s="9"/>
      <c r="D13" s="9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/>
      <c r="L13" s="9"/>
      <c r="M13" s="9"/>
      <c r="U13" s="9"/>
      <c r="V13" s="9"/>
      <c r="W13" s="9"/>
      <c r="X13" s="9"/>
      <c r="AD13" s="9"/>
    </row>
    <row r="14" spans="1:30" x14ac:dyDescent="0.3">
      <c r="B14" s="9"/>
      <c r="C14" s="9"/>
      <c r="D14" s="9"/>
      <c r="I14" s="9"/>
      <c r="J14" s="9"/>
      <c r="K14" s="9"/>
      <c r="L14" s="9"/>
      <c r="M14" s="9"/>
      <c r="U14" s="9"/>
      <c r="V14" s="9"/>
      <c r="W14" s="9"/>
      <c r="X14" s="9"/>
      <c r="AD14" s="9"/>
    </row>
    <row r="15" spans="1:30" x14ac:dyDescent="0.3">
      <c r="A15" t="s">
        <v>33</v>
      </c>
      <c r="B15" s="9">
        <v>18000</v>
      </c>
      <c r="C15" s="9">
        <f>SUM(J15)</f>
        <v>17999.999999999985</v>
      </c>
      <c r="D15" s="9"/>
      <c r="J15" s="9">
        <f>SUMPRODUCT(J6:J13,Z6:Z13)</f>
        <v>17999.999999999985</v>
      </c>
      <c r="K15" s="9"/>
      <c r="L15" s="9"/>
      <c r="M15" s="9"/>
      <c r="U15" s="9"/>
      <c r="V15" s="9"/>
      <c r="W15" s="9"/>
      <c r="X15" s="9"/>
      <c r="AD15" s="9"/>
    </row>
    <row r="16" spans="1:30" x14ac:dyDescent="0.3">
      <c r="A16" t="s">
        <v>34</v>
      </c>
      <c r="B16" s="9">
        <v>10000</v>
      </c>
      <c r="C16" s="9">
        <f>+I16</f>
        <v>10000</v>
      </c>
      <c r="I16" s="9">
        <f>SUMPRODUCT(I6:I13,Z6:Z13)</f>
        <v>10000</v>
      </c>
      <c r="AD16" s="9"/>
    </row>
    <row r="17" spans="1:30" x14ac:dyDescent="0.3">
      <c r="Y17" s="9"/>
    </row>
    <row r="21" spans="1:30" x14ac:dyDescent="0.3">
      <c r="A21" t="s">
        <v>31</v>
      </c>
      <c r="B21" s="9">
        <v>14000</v>
      </c>
      <c r="C21" s="9">
        <f>SUMPRODUCT(H6:H13,AA6:AA13)</f>
        <v>7287.856532663317</v>
      </c>
      <c r="E21" t="s">
        <v>31</v>
      </c>
      <c r="H21" s="9">
        <f>MAX(0,B21-C21)</f>
        <v>6712.143467336683</v>
      </c>
      <c r="N21" s="2">
        <v>7.3000000000000001E-3</v>
      </c>
      <c r="T21" s="9">
        <f t="shared" ref="T21" si="1">+H21*N21</f>
        <v>48.998647311557789</v>
      </c>
      <c r="W21" s="9">
        <f>SUM(S21:V21)</f>
        <v>48.998647311557789</v>
      </c>
      <c r="X21" s="9"/>
      <c r="Z21">
        <v>1.31</v>
      </c>
      <c r="AD21" s="9">
        <f>+W21*Z21</f>
        <v>64.188227978140702</v>
      </c>
    </row>
    <row r="22" spans="1:30" x14ac:dyDescent="0.3">
      <c r="A22" t="s">
        <v>29</v>
      </c>
      <c r="B22" s="9">
        <v>8000</v>
      </c>
      <c r="C22" s="9">
        <f>SUMPRODUCT(G6:G13,AB6:AB13)</f>
        <v>7999.9999999999682</v>
      </c>
      <c r="E22" t="s">
        <v>29</v>
      </c>
      <c r="H22" s="9">
        <f>MAX(0,B22-C22)</f>
        <v>3.1832314562052488E-11</v>
      </c>
      <c r="M22" s="2">
        <v>1.8499999999999999E-2</v>
      </c>
      <c r="S22" s="13">
        <f>+M22*H22</f>
        <v>5.88897819397971E-13</v>
      </c>
      <c r="W22" s="9">
        <f>SUM(S22:V22)</f>
        <v>5.88897819397971E-13</v>
      </c>
      <c r="X22" s="9"/>
      <c r="Z22">
        <v>1.34</v>
      </c>
      <c r="AD22" s="9">
        <f>+W22*Z22</f>
        <v>7.8912307799328122E-13</v>
      </c>
    </row>
    <row r="23" spans="1:30" x14ac:dyDescent="0.3">
      <c r="A23" t="s">
        <v>23</v>
      </c>
      <c r="B23" s="12">
        <v>11000</v>
      </c>
      <c r="C23" s="9">
        <f>SUMPRODUCT(F6:F13,Y6:Y13)</f>
        <v>11000</v>
      </c>
      <c r="E23" t="s">
        <v>23</v>
      </c>
      <c r="H23" s="9">
        <f>B23+C11-C23</f>
        <v>10635.297424129727</v>
      </c>
      <c r="L23" s="2">
        <v>-4.1000000000000003E-3</v>
      </c>
      <c r="R23" s="13">
        <f>IF(H23&lt;9000,0,(H23-9000)*L23)</f>
        <v>-6.7047194389318809</v>
      </c>
      <c r="W23" s="9">
        <f>SUM(R23:V23)</f>
        <v>-6.7047194389318809</v>
      </c>
      <c r="Z23">
        <v>1.135</v>
      </c>
      <c r="AD23" s="9">
        <f>+W23*Z23</f>
        <v>-7.6098565631876847</v>
      </c>
    </row>
    <row r="27" spans="1:30" x14ac:dyDescent="0.3">
      <c r="A27" t="s">
        <v>35</v>
      </c>
      <c r="B27">
        <v>3</v>
      </c>
      <c r="C27">
        <v>3</v>
      </c>
    </row>
    <row r="28" spans="1:30" x14ac:dyDescent="0.3">
      <c r="A28" t="s">
        <v>36</v>
      </c>
      <c r="B28">
        <v>3</v>
      </c>
      <c r="C28" s="9">
        <v>2</v>
      </c>
      <c r="G28" s="9"/>
      <c r="H28" s="9"/>
      <c r="I28" s="9"/>
      <c r="J28" s="9"/>
    </row>
    <row r="29" spans="1:30" x14ac:dyDescent="0.3">
      <c r="A29" t="s">
        <v>37</v>
      </c>
      <c r="B29">
        <v>1</v>
      </c>
      <c r="G29" s="12"/>
      <c r="H29" s="12"/>
      <c r="I29" s="12"/>
      <c r="J29" s="12"/>
    </row>
    <row r="30" spans="1:30" x14ac:dyDescent="0.3">
      <c r="A30" t="s">
        <v>38</v>
      </c>
      <c r="B30">
        <v>1</v>
      </c>
      <c r="AD30" s="12">
        <f>SUM(AD6:AD28)</f>
        <v>-588.01348703622671</v>
      </c>
    </row>
    <row r="31" spans="1:30" x14ac:dyDescent="0.3">
      <c r="A31" t="s">
        <v>39</v>
      </c>
      <c r="B31">
        <v>1</v>
      </c>
      <c r="C31">
        <v>5</v>
      </c>
    </row>
    <row r="33" spans="2:3" x14ac:dyDescent="0.3">
      <c r="B33">
        <f>SUM(B27:B31)</f>
        <v>9</v>
      </c>
      <c r="C33">
        <f>SUM(C27:C31)</f>
        <v>10</v>
      </c>
    </row>
  </sheetData>
  <mergeCells count="3">
    <mergeCell ref="F3:I3"/>
    <mergeCell ref="F4:H4"/>
    <mergeCell ref="I4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8A4B-ED77-401E-B94B-23EA55E69D73}">
  <dimension ref="A2:AD36"/>
  <sheetViews>
    <sheetView tabSelected="1" zoomScale="75" zoomScaleNormal="75" workbookViewId="0">
      <selection activeCell="AC27" sqref="AC27"/>
    </sheetView>
  </sheetViews>
  <sheetFormatPr defaultRowHeight="14.4" x14ac:dyDescent="0.3"/>
  <cols>
    <col min="1" max="1" width="10" customWidth="1"/>
    <col min="2" max="2" width="10.109375" customWidth="1"/>
    <col min="4" max="14" width="10.109375" customWidth="1"/>
    <col min="15" max="15" width="6.109375" customWidth="1"/>
    <col min="27" max="27" width="5.44140625" customWidth="1"/>
  </cols>
  <sheetData>
    <row r="2" spans="1:30" x14ac:dyDescent="0.3">
      <c r="D2" s="22" t="s">
        <v>42</v>
      </c>
      <c r="E2" s="22"/>
      <c r="F2" s="22"/>
      <c r="G2" s="22"/>
      <c r="H2" s="25" t="s">
        <v>43</v>
      </c>
      <c r="I2" s="22"/>
      <c r="J2" s="22"/>
      <c r="K2" s="22"/>
      <c r="L2" s="26"/>
      <c r="M2" s="22" t="s">
        <v>44</v>
      </c>
      <c r="N2" s="22"/>
      <c r="P2" s="22" t="s">
        <v>42</v>
      </c>
      <c r="Q2" s="22"/>
      <c r="R2" s="22"/>
      <c r="S2" s="22"/>
      <c r="T2" s="25" t="s">
        <v>43</v>
      </c>
      <c r="U2" s="22"/>
      <c r="V2" s="22"/>
      <c r="W2" s="22"/>
      <c r="X2" s="26"/>
      <c r="Y2" s="22" t="s">
        <v>44</v>
      </c>
      <c r="Z2" s="22"/>
    </row>
    <row r="3" spans="1:30" x14ac:dyDescent="0.3">
      <c r="D3" s="19" t="s">
        <v>20</v>
      </c>
      <c r="E3" s="19" t="s">
        <v>23</v>
      </c>
      <c r="F3" s="19" t="s">
        <v>29</v>
      </c>
      <c r="G3" s="19" t="s">
        <v>31</v>
      </c>
      <c r="H3" s="27" t="s">
        <v>37</v>
      </c>
      <c r="I3" s="19" t="s">
        <v>38</v>
      </c>
      <c r="J3" s="19" t="s">
        <v>35</v>
      </c>
      <c r="K3" s="19" t="s">
        <v>40</v>
      </c>
      <c r="L3" s="28" t="s">
        <v>41</v>
      </c>
      <c r="M3" s="19" t="s">
        <v>40</v>
      </c>
      <c r="N3" s="19" t="s">
        <v>41</v>
      </c>
      <c r="P3" s="19" t="s">
        <v>20</v>
      </c>
      <c r="Q3" s="19" t="s">
        <v>23</v>
      </c>
      <c r="R3" s="19" t="s">
        <v>29</v>
      </c>
      <c r="S3" s="19" t="s">
        <v>31</v>
      </c>
      <c r="T3" s="27" t="s">
        <v>37</v>
      </c>
      <c r="U3" s="19" t="s">
        <v>38</v>
      </c>
      <c r="V3" s="19" t="s">
        <v>35</v>
      </c>
      <c r="W3" s="19" t="s">
        <v>40</v>
      </c>
      <c r="X3" s="28" t="s">
        <v>41</v>
      </c>
      <c r="Y3" s="19" t="s">
        <v>40</v>
      </c>
      <c r="Z3" s="19" t="s">
        <v>41</v>
      </c>
      <c r="AB3" s="1" t="s">
        <v>26</v>
      </c>
      <c r="AC3" s="1" t="s">
        <v>20</v>
      </c>
    </row>
    <row r="4" spans="1:30" x14ac:dyDescent="0.3">
      <c r="A4" s="30">
        <v>32000</v>
      </c>
      <c r="B4" s="12">
        <f>SUM(D4:N4)</f>
        <v>31999.999999999996</v>
      </c>
      <c r="C4" t="s">
        <v>0</v>
      </c>
      <c r="D4" s="9">
        <v>0</v>
      </c>
      <c r="E4" s="9">
        <v>0</v>
      </c>
      <c r="F4" s="9">
        <v>6015.0375939849619</v>
      </c>
      <c r="G4" s="9">
        <v>18619.999223781739</v>
      </c>
      <c r="H4" s="9">
        <v>7364.9606286067774</v>
      </c>
      <c r="I4" s="9">
        <v>0</v>
      </c>
      <c r="J4" s="9">
        <v>0</v>
      </c>
      <c r="K4" s="9">
        <v>2.5536265188733746E-3</v>
      </c>
      <c r="L4" s="9">
        <v>0</v>
      </c>
      <c r="M4" s="9">
        <v>0</v>
      </c>
      <c r="N4" s="9">
        <v>0</v>
      </c>
      <c r="P4" s="29">
        <f>+T4+P$24</f>
        <v>-3.3000000000000002E-2</v>
      </c>
      <c r="Q4" s="29">
        <f>+T4+P$23</f>
        <v>-2.9599999999999998E-2</v>
      </c>
      <c r="R4" s="29">
        <f>+T4+P$22</f>
        <v>-6.9999999999999993E-3</v>
      </c>
      <c r="S4" s="29">
        <f>+T4+P$21</f>
        <v>-1.8199999999999997E-2</v>
      </c>
      <c r="T4" s="29">
        <v>-2.5499999999999998E-2</v>
      </c>
      <c r="U4" s="29">
        <v>-2.7E-2</v>
      </c>
      <c r="V4" s="29">
        <v>-2.6499999999999999E-2</v>
      </c>
      <c r="W4" s="29">
        <v>-2.8499999999999998E-2</v>
      </c>
      <c r="X4" s="29">
        <v>-2.6499999999999999E-2</v>
      </c>
      <c r="Y4" s="29">
        <v>-3.0499999999999999E-2</v>
      </c>
      <c r="Z4" s="29">
        <v>-2.8500000000000001E-2</v>
      </c>
      <c r="AB4" s="9">
        <f>SUMPRODUCT(D4:N4,P4:Z4)</f>
        <v>-568.79581783855099</v>
      </c>
      <c r="AC4">
        <f>VLOOKUP(C4,$S$12:$W$15,2,FALSE)</f>
        <v>1</v>
      </c>
      <c r="AD4" s="9">
        <f>+AB4*AC4</f>
        <v>-568.79581783855099</v>
      </c>
    </row>
    <row r="5" spans="1:30" x14ac:dyDescent="0.3">
      <c r="A5" s="30">
        <f>1400000/111.25</f>
        <v>12584.269662921348</v>
      </c>
      <c r="B5" s="12">
        <f>SUM(D5:N5)</f>
        <v>12584.269662017265</v>
      </c>
      <c r="C5" t="s">
        <v>19</v>
      </c>
      <c r="D5" s="9">
        <v>0</v>
      </c>
      <c r="E5" s="9">
        <v>4282.9704577167959</v>
      </c>
      <c r="F5" s="9">
        <v>0</v>
      </c>
      <c r="G5" s="9">
        <v>7.7621825474168734E-4</v>
      </c>
      <c r="H5" s="9">
        <v>5.2804816253489748E-2</v>
      </c>
      <c r="I5" s="9">
        <v>0</v>
      </c>
      <c r="J5" s="9">
        <v>0</v>
      </c>
      <c r="K5" s="9">
        <v>0</v>
      </c>
      <c r="L5" s="9">
        <v>0</v>
      </c>
      <c r="M5" s="9">
        <v>6458.3360421844563</v>
      </c>
      <c r="N5" s="9">
        <v>1842.9095810815049</v>
      </c>
      <c r="P5" s="29">
        <f>+T5+P$24</f>
        <v>-8.4999999999999989E-3</v>
      </c>
      <c r="Q5" s="29">
        <v>-2.7000000000000001E-3</v>
      </c>
      <c r="R5" s="29">
        <f>+T5+P$22</f>
        <v>1.7500000000000002E-2</v>
      </c>
      <c r="S5" s="29">
        <f>+T5+P$21</f>
        <v>6.3000000000000009E-3</v>
      </c>
      <c r="T5" s="29">
        <f>V5+(T4-$X4)</f>
        <v>-9.9999999999999915E-4</v>
      </c>
      <c r="U5" s="29">
        <v>-6.9999999999999999E-4</v>
      </c>
      <c r="V5" s="29">
        <v>-2E-3</v>
      </c>
      <c r="W5" s="29">
        <v>-2E-3</v>
      </c>
      <c r="X5" s="29">
        <v>-5.0000000000000001E-4</v>
      </c>
      <c r="Y5" s="29">
        <f>Z5+(Y4-Z4)</f>
        <v>-1.9999999999999983E-3</v>
      </c>
      <c r="Z5" s="29">
        <v>0</v>
      </c>
      <c r="AB5" s="9">
        <f>SUMPRODUCT(D5:N5,P5:Z5)</f>
        <v>-24.480740234845499</v>
      </c>
      <c r="AC5">
        <f>VLOOKUP(C5,$S$12:$W$15,2,FALSE)</f>
        <v>1</v>
      </c>
      <c r="AD5" s="9">
        <f t="shared" ref="AD5:AD6" si="0">+AB5*AC5</f>
        <v>-24.480740234845499</v>
      </c>
    </row>
    <row r="6" spans="1:30" x14ac:dyDescent="0.3">
      <c r="A6" s="30"/>
      <c r="B6" s="12">
        <f>SUM(D6:N6)</f>
        <v>742.9849426790355</v>
      </c>
      <c r="C6" t="s">
        <v>23</v>
      </c>
      <c r="D6" s="9">
        <v>5.4439033161818688E-3</v>
      </c>
      <c r="E6" s="9">
        <v>0</v>
      </c>
      <c r="F6" s="9">
        <v>0</v>
      </c>
      <c r="G6" s="9">
        <v>0</v>
      </c>
      <c r="H6" s="9">
        <v>0</v>
      </c>
      <c r="I6" s="9">
        <v>8.1416925356971888</v>
      </c>
      <c r="J6" s="9">
        <v>23.173851596914499</v>
      </c>
      <c r="K6" s="9">
        <v>0</v>
      </c>
      <c r="L6" s="9">
        <v>0</v>
      </c>
      <c r="M6" s="9">
        <v>711.66395464310767</v>
      </c>
      <c r="N6" s="9">
        <v>0</v>
      </c>
      <c r="P6" s="29">
        <f>+T6+P$24</f>
        <v>-4.9999999999999992E-3</v>
      </c>
      <c r="Q6" s="33">
        <v>-1</v>
      </c>
      <c r="R6" s="29">
        <f>+T6+P$22</f>
        <v>2.0999999999999998E-2</v>
      </c>
      <c r="S6" s="29">
        <f>+T6+P$21</f>
        <v>9.7999999999999997E-3</v>
      </c>
      <c r="T6" s="29">
        <v>2.5000000000000001E-3</v>
      </c>
      <c r="U6" s="29">
        <v>1E-3</v>
      </c>
      <c r="V6" s="29">
        <v>3.5000000000000001E-3</v>
      </c>
      <c r="W6" s="29">
        <v>1.5E-3</v>
      </c>
      <c r="X6" s="29">
        <v>2.5000000000000001E-3</v>
      </c>
      <c r="Y6" s="29">
        <f>Z6+(Y5-Z5)</f>
        <v>5.0000000000000175E-4</v>
      </c>
      <c r="Z6" s="29">
        <v>2.5000000000000001E-3</v>
      </c>
      <c r="AB6" s="9">
        <f>SUMPRODUCT(D6:N6,P6:Z6)</f>
        <v>0.44505493092987214</v>
      </c>
      <c r="AC6">
        <f>VLOOKUP(C6,$S$12:$W$15,2,FALSE)</f>
        <v>1</v>
      </c>
      <c r="AD6" s="9">
        <f t="shared" si="0"/>
        <v>0.44505493092987214</v>
      </c>
    </row>
    <row r="7" spans="1:30" x14ac:dyDescent="0.3">
      <c r="A7" s="30"/>
      <c r="B7" s="12">
        <f>SUM(D7:N7)</f>
        <v>8987.0904194207833</v>
      </c>
      <c r="C7" t="s">
        <v>20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8987.0904194207833</v>
      </c>
      <c r="P7" s="33">
        <v>-1</v>
      </c>
      <c r="Q7" s="29">
        <v>-3.8E-3</v>
      </c>
      <c r="R7" s="29">
        <f>+P22-0.75%</f>
        <v>1.0999999999999999E-2</v>
      </c>
      <c r="S7" s="29">
        <f>+P21-0.75%</f>
        <v>-1.9999999999999966E-4</v>
      </c>
      <c r="T7" s="33">
        <v>-1</v>
      </c>
      <c r="U7" s="33">
        <v>-1</v>
      </c>
      <c r="V7" s="29">
        <v>6.4999999999999997E-3</v>
      </c>
      <c r="W7" s="33">
        <v>-1</v>
      </c>
      <c r="X7" s="29">
        <v>6.4999999999999997E-3</v>
      </c>
      <c r="Y7" s="33">
        <v>-1</v>
      </c>
      <c r="Z7" s="29">
        <v>6.4999999999999997E-3</v>
      </c>
      <c r="AB7" s="9">
        <f>SUMPRODUCT(D7:N7,P7:Z7)</f>
        <v>58.416087726235091</v>
      </c>
      <c r="AC7">
        <f>VLOOKUP(C7,$S$12:$W$15,2,FALSE)</f>
        <v>1</v>
      </c>
      <c r="AD7" s="9">
        <f t="shared" ref="AD7" si="1">+AB7*AC7</f>
        <v>58.416087726235091</v>
      </c>
    </row>
    <row r="8" spans="1:30" x14ac:dyDescent="0.3">
      <c r="A8" s="3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30" x14ac:dyDescent="0.3">
      <c r="A9" s="3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30" x14ac:dyDescent="0.3">
      <c r="A10" s="3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30" x14ac:dyDescent="0.3">
      <c r="A11" s="30"/>
      <c r="D11" s="9"/>
      <c r="E11" s="9"/>
      <c r="F11" s="9"/>
      <c r="G11" s="9"/>
      <c r="H11" s="24" t="s">
        <v>43</v>
      </c>
      <c r="I11" s="24"/>
      <c r="J11" s="30">
        <v>100000</v>
      </c>
      <c r="K11" s="9">
        <f>SUM(H4:L7)</f>
        <v>7396.3315311821607</v>
      </c>
      <c r="L11" s="31" t="s">
        <v>20</v>
      </c>
      <c r="M11" s="9"/>
      <c r="N11" s="9"/>
      <c r="P11" s="29"/>
      <c r="Q11" s="29"/>
      <c r="R11" s="29"/>
      <c r="T11" s="1" t="s">
        <v>20</v>
      </c>
      <c r="U11" s="1" t="s">
        <v>23</v>
      </c>
      <c r="V11" s="1" t="s">
        <v>29</v>
      </c>
      <c r="W11" s="1" t="s">
        <v>31</v>
      </c>
      <c r="X11" s="29"/>
      <c r="Y11" s="29"/>
      <c r="Z11" s="29"/>
    </row>
    <row r="12" spans="1:30" x14ac:dyDescent="0.3">
      <c r="A12" s="30"/>
      <c r="D12" s="9"/>
      <c r="E12" s="9"/>
      <c r="F12" s="9"/>
      <c r="G12" s="9"/>
      <c r="H12" s="24" t="s">
        <v>44</v>
      </c>
      <c r="I12" s="24"/>
      <c r="J12" s="30">
        <v>18000</v>
      </c>
      <c r="K12" s="9">
        <f>SUM(M4:N7)</f>
        <v>17999.999997329851</v>
      </c>
      <c r="L12" s="31" t="s">
        <v>20</v>
      </c>
      <c r="P12" s="29"/>
      <c r="Q12" s="29"/>
      <c r="R12" s="29"/>
      <c r="S12" t="str">
        <f>+C4</f>
        <v>USD</v>
      </c>
      <c r="T12">
        <v>1</v>
      </c>
      <c r="U12">
        <v>1</v>
      </c>
      <c r="V12">
        <v>1</v>
      </c>
      <c r="W12">
        <v>1</v>
      </c>
      <c r="X12" s="29"/>
      <c r="Y12" s="29"/>
      <c r="Z12" s="29"/>
    </row>
    <row r="13" spans="1:30" x14ac:dyDescent="0.3">
      <c r="A13" s="30"/>
      <c r="D13" s="9"/>
      <c r="E13" s="9"/>
      <c r="F13" s="9"/>
      <c r="G13" s="9"/>
      <c r="M13" s="30"/>
      <c r="N13" s="9"/>
      <c r="O13" s="31"/>
      <c r="P13" s="29"/>
      <c r="Q13" s="29"/>
      <c r="R13" s="29"/>
      <c r="S13" t="str">
        <f>+C5</f>
        <v>JPY</v>
      </c>
      <c r="T13">
        <v>1</v>
      </c>
      <c r="U13">
        <v>1</v>
      </c>
      <c r="V13">
        <v>1</v>
      </c>
      <c r="W13">
        <v>1</v>
      </c>
      <c r="X13" s="29"/>
      <c r="Y13" s="29"/>
      <c r="Z13" s="29"/>
    </row>
    <row r="14" spans="1:30" x14ac:dyDescent="0.3">
      <c r="A14" s="3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P14" s="29"/>
      <c r="Q14" s="29"/>
      <c r="R14" s="29"/>
      <c r="S14" t="str">
        <f>+C6</f>
        <v>EUR</v>
      </c>
      <c r="T14">
        <v>1</v>
      </c>
      <c r="U14">
        <v>1</v>
      </c>
      <c r="V14">
        <v>1</v>
      </c>
      <c r="W14">
        <v>1</v>
      </c>
      <c r="X14" s="29"/>
      <c r="Y14" s="29"/>
      <c r="Z14" s="29"/>
    </row>
    <row r="15" spans="1:30" x14ac:dyDescent="0.3">
      <c r="A15" s="30"/>
      <c r="D15" s="9"/>
      <c r="E15" s="9"/>
      <c r="F15" s="9"/>
      <c r="G15" s="9"/>
      <c r="H15" s="1" t="s">
        <v>37</v>
      </c>
      <c r="I15" s="1" t="s">
        <v>38</v>
      </c>
      <c r="J15" s="1" t="s">
        <v>35</v>
      </c>
      <c r="K15" s="35"/>
      <c r="L15" s="1" t="s">
        <v>40</v>
      </c>
      <c r="M15" s="1" t="s">
        <v>41</v>
      </c>
      <c r="N15" s="9"/>
      <c r="P15" s="29"/>
      <c r="Q15" s="29"/>
      <c r="R15" s="29"/>
      <c r="S15" t="str">
        <f>+C7</f>
        <v>CHF</v>
      </c>
      <c r="T15">
        <v>1</v>
      </c>
      <c r="U15">
        <v>1</v>
      </c>
      <c r="V15">
        <v>1</v>
      </c>
      <c r="W15">
        <v>1</v>
      </c>
      <c r="X15" s="29"/>
      <c r="Y15" s="29"/>
      <c r="Z15" s="29"/>
    </row>
    <row r="16" spans="1:30" x14ac:dyDescent="0.3">
      <c r="A16" s="30"/>
      <c r="D16" s="9"/>
      <c r="E16" s="9"/>
      <c r="F16" s="9"/>
      <c r="G16" s="9"/>
      <c r="H16" s="30">
        <f>10000*1.14</f>
        <v>11399.999999999998</v>
      </c>
      <c r="I16" s="30">
        <f>4000*1.14</f>
        <v>4560</v>
      </c>
      <c r="J16" s="30">
        <v>5000</v>
      </c>
      <c r="K16" s="9"/>
      <c r="L16" s="30">
        <f>14500*1.14</f>
        <v>16530</v>
      </c>
      <c r="M16" s="30">
        <f>9500*1.14</f>
        <v>10829.999999999998</v>
      </c>
      <c r="N16" s="9"/>
      <c r="P16" s="29"/>
      <c r="Q16" s="29"/>
      <c r="R16" s="29"/>
      <c r="S16" t="s">
        <v>31</v>
      </c>
      <c r="T16">
        <v>1</v>
      </c>
      <c r="U16">
        <v>1</v>
      </c>
      <c r="V16">
        <v>1</v>
      </c>
      <c r="W16">
        <v>1</v>
      </c>
      <c r="X16" s="29"/>
      <c r="Y16" s="29"/>
      <c r="Z16" s="29"/>
    </row>
    <row r="17" spans="1:30" x14ac:dyDescent="0.3">
      <c r="A17" s="30"/>
      <c r="D17" s="9"/>
      <c r="E17" s="9"/>
      <c r="F17" s="9"/>
      <c r="G17" s="9"/>
      <c r="H17" s="9">
        <f>SUMPRODUCT(H4:H7,$U$12:$U$15)</f>
        <v>7365.0134334230306</v>
      </c>
      <c r="I17" s="9">
        <f>SUMPRODUCT(I4:I7,$U$12:$U$15)</f>
        <v>8.1416925356971888</v>
      </c>
      <c r="J17" s="9">
        <f>SUMPRODUCT(J4:J7,$T$12:$T$15)</f>
        <v>23.173851596914499</v>
      </c>
      <c r="L17" s="9">
        <f>SUMPRODUCT(K4:K7,U12:U15)+SUMPRODUCT(M4:M7,U12:U15)</f>
        <v>7170.0025504540827</v>
      </c>
      <c r="M17" s="9">
        <f>SUMPRODUCT(L4:L7,U12:U15)+SUMPRODUCT(N4:N7,U12:U15)</f>
        <v>10830.000000502288</v>
      </c>
      <c r="N17" s="9"/>
      <c r="P17" s="29"/>
      <c r="Q17" s="29"/>
      <c r="R17" s="29"/>
      <c r="S17" t="s">
        <v>29</v>
      </c>
      <c r="T17">
        <v>1</v>
      </c>
      <c r="U17">
        <v>1</v>
      </c>
      <c r="V17">
        <v>1</v>
      </c>
      <c r="W17">
        <v>1</v>
      </c>
      <c r="X17" s="29"/>
      <c r="Y17" s="29"/>
      <c r="Z17" s="29"/>
    </row>
    <row r="18" spans="1:30" x14ac:dyDescent="0.3">
      <c r="A18" s="30"/>
      <c r="D18" s="9"/>
      <c r="E18" s="9"/>
      <c r="F18" s="9"/>
      <c r="G18" s="9"/>
      <c r="H18" s="34" t="s">
        <v>23</v>
      </c>
      <c r="I18" s="34" t="s">
        <v>23</v>
      </c>
      <c r="J18" s="34" t="s">
        <v>20</v>
      </c>
      <c r="K18" s="14"/>
      <c r="L18" s="34" t="s">
        <v>23</v>
      </c>
      <c r="M18" s="34" t="s">
        <v>23</v>
      </c>
      <c r="N18" s="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30" x14ac:dyDescent="0.3">
      <c r="A19" s="30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P19" s="29"/>
      <c r="Q19" s="29"/>
      <c r="R19" s="29"/>
      <c r="X19" s="29"/>
      <c r="Y19" s="29"/>
      <c r="Z19" s="29"/>
    </row>
    <row r="20" spans="1:30" x14ac:dyDescent="0.3">
      <c r="A20" s="30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P20" s="29"/>
      <c r="Q20" s="29"/>
      <c r="R20" s="29"/>
      <c r="X20" s="29"/>
      <c r="Y20" s="29"/>
      <c r="Z20" s="29"/>
    </row>
    <row r="21" spans="1:30" x14ac:dyDescent="0.3">
      <c r="A21" s="30"/>
      <c r="D21" s="9"/>
      <c r="E21" s="9"/>
      <c r="F21" s="9"/>
      <c r="G21" s="9"/>
      <c r="H21" s="9"/>
      <c r="I21" t="s">
        <v>31</v>
      </c>
      <c r="J21" s="30">
        <f>14000*1.33</f>
        <v>18620</v>
      </c>
      <c r="K21" s="9">
        <f>SUMPRODUCT(G4:G7,W12:W15)</f>
        <v>18619.999999999993</v>
      </c>
      <c r="L21" s="9"/>
      <c r="M21" s="9">
        <f>J21-K21</f>
        <v>0</v>
      </c>
      <c r="N21" s="9"/>
      <c r="O21" t="s">
        <v>31</v>
      </c>
      <c r="P21" s="2">
        <v>7.3000000000000001E-3</v>
      </c>
      <c r="X21" s="29"/>
      <c r="Y21" s="29"/>
      <c r="Z21" s="29"/>
      <c r="AB21" s="12">
        <f>+M21*P21</f>
        <v>0</v>
      </c>
      <c r="AC21">
        <f>VLOOKUP(I21,$S$12:$W$17,2,FALSE)</f>
        <v>1</v>
      </c>
      <c r="AD21" s="9">
        <f>+AB21*AC21</f>
        <v>0</v>
      </c>
    </row>
    <row r="22" spans="1:30" x14ac:dyDescent="0.3">
      <c r="A22" s="30"/>
      <c r="D22" s="9"/>
      <c r="E22" s="9"/>
      <c r="F22" s="9"/>
      <c r="G22" s="9"/>
      <c r="H22" s="9"/>
      <c r="I22" t="s">
        <v>29</v>
      </c>
      <c r="J22" s="30">
        <f>8000/1.33</f>
        <v>6015.0375939849619</v>
      </c>
      <c r="K22" s="9">
        <f>SUMPRODUCT(F4:F7,V12:V15)</f>
        <v>6015.0375939849619</v>
      </c>
      <c r="L22" s="9"/>
      <c r="M22" s="9">
        <f>J22-K22</f>
        <v>0</v>
      </c>
      <c r="N22" s="9"/>
      <c r="O22" t="s">
        <v>29</v>
      </c>
      <c r="P22" s="2">
        <v>1.8499999999999999E-2</v>
      </c>
      <c r="X22" s="29"/>
      <c r="Y22" s="29"/>
      <c r="Z22" s="29"/>
      <c r="AB22" s="12">
        <f>+M22*P22</f>
        <v>0</v>
      </c>
      <c r="AC22">
        <f>VLOOKUP(I22,$S$12:$W$17,2,FALSE)</f>
        <v>1</v>
      </c>
      <c r="AD22" s="9">
        <f>+AB22*AC22</f>
        <v>0</v>
      </c>
    </row>
    <row r="23" spans="1:30" x14ac:dyDescent="0.3">
      <c r="A23" s="30"/>
      <c r="D23" s="9"/>
      <c r="E23" s="9"/>
      <c r="F23" s="9"/>
      <c r="G23" s="9"/>
      <c r="H23" s="32">
        <v>9000</v>
      </c>
      <c r="I23" t="s">
        <v>23</v>
      </c>
      <c r="J23" s="30">
        <f>11000*1.14</f>
        <v>12539.999999999998</v>
      </c>
      <c r="K23" s="9">
        <f>SUMPRODUCT(E4:E7,U12:U15)</f>
        <v>4282.9704577167959</v>
      </c>
      <c r="L23" s="9"/>
      <c r="M23" s="9">
        <f>(J23+B6)-K23</f>
        <v>9000.0144849622375</v>
      </c>
      <c r="N23" s="9"/>
      <c r="O23" t="s">
        <v>23</v>
      </c>
      <c r="P23" s="2">
        <v>-4.1000000000000003E-3</v>
      </c>
      <c r="X23" s="29"/>
      <c r="Y23" s="29"/>
      <c r="Z23" s="29"/>
      <c r="AB23" s="12">
        <f>IF(M23&lt;=H23,0,M23-H23)*P23</f>
        <v>-5.9388345173647397E-5</v>
      </c>
      <c r="AC23">
        <f>VLOOKUP(I23,$S$12:$W$17,2,FALSE)</f>
        <v>1</v>
      </c>
      <c r="AD23" s="9">
        <f>+AB23*AC23</f>
        <v>-5.9388345173647397E-5</v>
      </c>
    </row>
    <row r="24" spans="1:30" x14ac:dyDescent="0.3">
      <c r="A24" s="30"/>
      <c r="D24" s="9"/>
      <c r="E24" s="9"/>
      <c r="F24" s="9"/>
      <c r="G24" s="9"/>
      <c r="H24" s="32">
        <v>50000</v>
      </c>
      <c r="I24" t="s">
        <v>20</v>
      </c>
      <c r="J24" s="30">
        <v>50000</v>
      </c>
      <c r="K24" s="9">
        <f>SUMPRODUCT(D4:D7,T12:T15)</f>
        <v>5.4439033161818688E-3</v>
      </c>
      <c r="L24" s="9"/>
      <c r="M24" s="9">
        <f>(J24+B7)-K24</f>
        <v>58987.084975517464</v>
      </c>
      <c r="N24" s="9"/>
      <c r="O24" t="s">
        <v>20</v>
      </c>
      <c r="P24" s="29">
        <v>-7.4999999999999997E-3</v>
      </c>
      <c r="Q24" s="29"/>
      <c r="R24" s="29"/>
      <c r="X24" s="29"/>
      <c r="Y24" s="29"/>
      <c r="Z24" s="29"/>
      <c r="AB24" s="12">
        <f>IF(M24&lt;=H24,0,M24-H24)*P24</f>
        <v>-67.403137316380977</v>
      </c>
      <c r="AC24">
        <f>VLOOKUP(I24,$S$12:$W$17,2,FALSE)</f>
        <v>1</v>
      </c>
      <c r="AD24" s="9">
        <f>+AB24*AC24</f>
        <v>-67.403137316380977</v>
      </c>
    </row>
    <row r="25" spans="1:30" x14ac:dyDescent="0.3">
      <c r="A25" s="30"/>
      <c r="D25" s="9"/>
      <c r="E25" s="9"/>
      <c r="F25" s="9"/>
      <c r="G25" s="9"/>
      <c r="H25" s="32"/>
      <c r="J25" s="30"/>
      <c r="K25" s="9"/>
      <c r="L25" s="9"/>
      <c r="M25" s="9"/>
      <c r="N25" s="9"/>
      <c r="P25" s="29"/>
      <c r="Q25" s="29"/>
      <c r="R25" s="29"/>
      <c r="X25" s="29"/>
      <c r="Y25" s="29"/>
      <c r="Z25" s="29"/>
      <c r="AB25" s="12"/>
      <c r="AD25" s="9"/>
    </row>
    <row r="26" spans="1:30" x14ac:dyDescent="0.3">
      <c r="A26" s="30"/>
      <c r="D26" s="9"/>
      <c r="E26" s="9"/>
      <c r="F26" s="9"/>
      <c r="G26" s="9"/>
      <c r="H26" s="32"/>
      <c r="J26" s="30"/>
      <c r="K26" s="9"/>
      <c r="L26" s="9"/>
      <c r="M26" s="9"/>
      <c r="N26" s="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2"/>
      <c r="AD26" s="9"/>
    </row>
    <row r="27" spans="1:30" x14ac:dyDescent="0.3">
      <c r="A27" s="30"/>
      <c r="D27" s="9"/>
      <c r="E27" s="9"/>
      <c r="F27" s="9"/>
      <c r="G27" s="9"/>
      <c r="N27" s="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C27" s="12">
        <f>+AD27/12</f>
        <v>-50.1515510100798</v>
      </c>
      <c r="AD27" s="12">
        <f>SUM(AD4:AD24)</f>
        <v>-601.8186121209576</v>
      </c>
    </row>
    <row r="36" spans="15:15" x14ac:dyDescent="0.3">
      <c r="O36" s="31"/>
    </row>
  </sheetData>
  <mergeCells count="8">
    <mergeCell ref="P2:S2"/>
    <mergeCell ref="T2:X2"/>
    <mergeCell ref="Y2:Z2"/>
    <mergeCell ref="D2:G2"/>
    <mergeCell ref="H2:L2"/>
    <mergeCell ref="M2:N2"/>
    <mergeCell ref="H11:I11"/>
    <mergeCell ref="H12:I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D6EF-F689-4871-AFDD-762153179F46}">
  <dimension ref="A3:H26"/>
  <sheetViews>
    <sheetView workbookViewId="0">
      <selection activeCell="F9" sqref="F9"/>
    </sheetView>
  </sheetViews>
  <sheetFormatPr defaultRowHeight="14.4" x14ac:dyDescent="0.3"/>
  <sheetData>
    <row r="3" spans="1:8" x14ac:dyDescent="0.3">
      <c r="C3" s="3" t="s">
        <v>16</v>
      </c>
      <c r="D3" s="3" t="s">
        <v>4</v>
      </c>
      <c r="E3" s="3" t="s">
        <v>10</v>
      </c>
    </row>
    <row r="4" spans="1:8" x14ac:dyDescent="0.3">
      <c r="C4" s="5"/>
      <c r="D4" s="6" t="s">
        <v>4</v>
      </c>
      <c r="E4" s="6" t="s">
        <v>10</v>
      </c>
    </row>
    <row r="5" spans="1:8" x14ac:dyDescent="0.3">
      <c r="A5" t="s">
        <v>14</v>
      </c>
      <c r="B5" t="s">
        <v>3</v>
      </c>
      <c r="C5" s="5"/>
      <c r="D5" s="6">
        <v>7.6</v>
      </c>
      <c r="E5" s="6">
        <v>2.4</v>
      </c>
      <c r="F5">
        <f>+D5*E5</f>
        <v>18.239999999999998</v>
      </c>
      <c r="G5">
        <v>18.239999999999998</v>
      </c>
      <c r="H5" t="b">
        <f>F5=G5</f>
        <v>1</v>
      </c>
    </row>
    <row r="6" spans="1:8" x14ac:dyDescent="0.3">
      <c r="B6" t="s">
        <v>4</v>
      </c>
      <c r="C6" s="3">
        <v>4.3</v>
      </c>
      <c r="D6" s="3">
        <v>2.4</v>
      </c>
      <c r="E6" s="3">
        <v>5.7</v>
      </c>
      <c r="F6">
        <f>(C6+D6)*0.5*E6</f>
        <v>19.094999999999999</v>
      </c>
      <c r="G6">
        <v>19.094999999999999</v>
      </c>
      <c r="H6" t="b">
        <f>F6=G6</f>
        <v>1</v>
      </c>
    </row>
    <row r="7" spans="1:8" x14ac:dyDescent="0.3">
      <c r="A7" t="s">
        <v>14</v>
      </c>
      <c r="B7" t="s">
        <v>5</v>
      </c>
      <c r="C7" s="5"/>
      <c r="D7" s="6">
        <v>1.9</v>
      </c>
      <c r="E7" s="6">
        <v>2.4</v>
      </c>
      <c r="F7">
        <f>+D7*E7</f>
        <v>4.5599999999999996</v>
      </c>
      <c r="G7">
        <v>4.5599999999999996</v>
      </c>
      <c r="H7" t="b">
        <f>F7=G7</f>
        <v>1</v>
      </c>
    </row>
    <row r="8" spans="1:8" x14ac:dyDescent="0.3">
      <c r="A8" t="s">
        <v>15</v>
      </c>
      <c r="B8" t="s">
        <v>6</v>
      </c>
      <c r="C8" s="7"/>
      <c r="D8" s="7">
        <f>+D9</f>
        <v>3.85</v>
      </c>
      <c r="E8" s="7">
        <v>5.7</v>
      </c>
      <c r="F8">
        <f>(D8*E8)/2</f>
        <v>10.9725</v>
      </c>
      <c r="G8">
        <v>10.83</v>
      </c>
      <c r="H8" t="b">
        <f>F8=G8</f>
        <v>0</v>
      </c>
    </row>
    <row r="9" spans="1:8" x14ac:dyDescent="0.3">
      <c r="B9" t="s">
        <v>7</v>
      </c>
      <c r="C9" s="3">
        <v>4.8</v>
      </c>
      <c r="D9" s="4">
        <v>3.85</v>
      </c>
      <c r="E9" s="3">
        <v>1.9</v>
      </c>
      <c r="F9">
        <f>(C9+D9)*0.5*E9</f>
        <v>8.2174999999999994</v>
      </c>
      <c r="G9">
        <v>8.17</v>
      </c>
      <c r="H9" t="b">
        <f>F9=G9</f>
        <v>0</v>
      </c>
    </row>
    <row r="10" spans="1:8" x14ac:dyDescent="0.3">
      <c r="A10" t="s">
        <v>15</v>
      </c>
      <c r="B10" t="s">
        <v>8</v>
      </c>
      <c r="C10" s="7"/>
      <c r="D10" s="8">
        <v>4.8</v>
      </c>
      <c r="E10" s="7">
        <v>5.7</v>
      </c>
      <c r="F10">
        <f>(D10*E10)/2</f>
        <v>13.68</v>
      </c>
      <c r="G10">
        <v>16.53</v>
      </c>
      <c r="H10" t="b">
        <f t="shared" ref="H10:H15" si="0">F10=G10</f>
        <v>0</v>
      </c>
    </row>
    <row r="11" spans="1:8" x14ac:dyDescent="0.3">
      <c r="A11" t="s">
        <v>17</v>
      </c>
      <c r="B11" t="s">
        <v>9</v>
      </c>
      <c r="D11">
        <v>3.8</v>
      </c>
      <c r="E11">
        <v>1.9</v>
      </c>
      <c r="F11">
        <f>(D11*E11)/2</f>
        <v>3.61</v>
      </c>
      <c r="G11">
        <v>3.61</v>
      </c>
      <c r="H11" t="b">
        <f t="shared" si="0"/>
        <v>1</v>
      </c>
    </row>
    <row r="12" spans="1:8" x14ac:dyDescent="0.3">
      <c r="A12" t="s">
        <v>18</v>
      </c>
      <c r="B12" t="s">
        <v>10</v>
      </c>
      <c r="D12">
        <v>3.8</v>
      </c>
      <c r="E12">
        <v>3.8</v>
      </c>
      <c r="F12">
        <f>+D12*E12</f>
        <v>14.44</v>
      </c>
      <c r="G12">
        <v>14.44</v>
      </c>
      <c r="H12" t="b">
        <f t="shared" si="0"/>
        <v>1</v>
      </c>
    </row>
    <row r="13" spans="1:8" x14ac:dyDescent="0.3">
      <c r="A13" t="s">
        <v>18</v>
      </c>
      <c r="B13" t="s">
        <v>11</v>
      </c>
      <c r="D13">
        <v>3.8</v>
      </c>
      <c r="E13">
        <v>1.9</v>
      </c>
      <c r="F13">
        <f>+D13*E13</f>
        <v>7.22</v>
      </c>
      <c r="G13">
        <v>7.22</v>
      </c>
      <c r="H13" t="b">
        <f t="shared" si="0"/>
        <v>1</v>
      </c>
    </row>
    <row r="14" spans="1:8" x14ac:dyDescent="0.3">
      <c r="B14" t="s">
        <v>12</v>
      </c>
      <c r="C14" s="3">
        <v>5.7</v>
      </c>
      <c r="D14" s="3">
        <v>3.8</v>
      </c>
      <c r="E14" s="3">
        <v>1.9</v>
      </c>
      <c r="F14">
        <f>(C14+D14)*0.5*E14</f>
        <v>9.0250000000000004</v>
      </c>
      <c r="G14">
        <v>9.0250000000000004</v>
      </c>
      <c r="H14" t="b">
        <f t="shared" si="0"/>
        <v>1</v>
      </c>
    </row>
    <row r="15" spans="1:8" x14ac:dyDescent="0.3">
      <c r="A15" t="s">
        <v>15</v>
      </c>
      <c r="B15" t="s">
        <v>13</v>
      </c>
      <c r="C15" s="7"/>
      <c r="D15" s="7">
        <v>7.6</v>
      </c>
      <c r="E15" s="7">
        <v>1.9</v>
      </c>
      <c r="F15">
        <f>(D15*E15)/2</f>
        <v>7.22</v>
      </c>
      <c r="G15">
        <v>7.22</v>
      </c>
      <c r="H15" t="b">
        <f t="shared" si="0"/>
        <v>1</v>
      </c>
    </row>
    <row r="17" spans="2:7" x14ac:dyDescent="0.3">
      <c r="F17">
        <f>SUM(F5:F15)</f>
        <v>116.27999999999999</v>
      </c>
      <c r="G17">
        <f>SUM(G5:G15)</f>
        <v>118.94</v>
      </c>
    </row>
    <row r="19" spans="2:7" x14ac:dyDescent="0.3">
      <c r="D19">
        <v>7.6</v>
      </c>
      <c r="E19">
        <v>15.3</v>
      </c>
      <c r="F19">
        <f>+D19*E19</f>
        <v>116.28</v>
      </c>
    </row>
    <row r="22" spans="2:7" x14ac:dyDescent="0.3">
      <c r="B22">
        <v>2.4</v>
      </c>
    </row>
    <row r="23" spans="2:7" x14ac:dyDescent="0.3">
      <c r="B23">
        <v>4.3</v>
      </c>
    </row>
    <row r="24" spans="2:7" x14ac:dyDescent="0.3">
      <c r="B24">
        <v>4.8</v>
      </c>
    </row>
    <row r="25" spans="2:7" x14ac:dyDescent="0.3">
      <c r="B25">
        <v>3.8</v>
      </c>
    </row>
    <row r="26" spans="2:7" x14ac:dyDescent="0.3">
      <c r="B26">
        <f>SUM(B22:B25)</f>
        <v>15.3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SPAGNULO</dc:creator>
  <cp:lastModifiedBy>Francesco SPAGNULO</cp:lastModifiedBy>
  <dcterms:created xsi:type="dcterms:W3CDTF">2019-03-10T11:17:09Z</dcterms:created>
  <dcterms:modified xsi:type="dcterms:W3CDTF">2019-03-17T20:50:15Z</dcterms:modified>
</cp:coreProperties>
</file>