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AYCO\Documents\Github\sparta-butuan-incubation-workshop\Logistic_Regression\"/>
    </mc:Choice>
  </mc:AlternateContent>
  <xr:revisionPtr revIDLastSave="0" documentId="13_ncr:1_{208B4371-208B-41E9-97C6-636C228CC51A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Original_Data" sheetId="1" r:id="rId1"/>
    <sheet name="Training" sheetId="3" r:id="rId2"/>
    <sheet name="Estimation" sheetId="4" r:id="rId3"/>
    <sheet name="Coefficient_Interpretation" sheetId="6" r:id="rId4"/>
    <sheet name="Test" sheetId="2" r:id="rId5"/>
    <sheet name="Scoring" sheetId="8" r:id="rId6"/>
    <sheet name="Validation" sheetId="7" r:id="rId7"/>
  </sheets>
  <definedNames>
    <definedName name="solver_adj" localSheetId="2" hidden="1">Estimation!$B$2:$L$2</definedName>
    <definedName name="solver_adj" localSheetId="5" hidden="1">Scoring!$B$2:$L$2</definedName>
    <definedName name="solver_cvg" localSheetId="2" hidden="1">0.0001</definedName>
    <definedName name="solver_cvg" localSheetId="5" hidden="1">0.0001</definedName>
    <definedName name="solver_drv" localSheetId="2" hidden="1">1</definedName>
    <definedName name="solver_drv" localSheetId="5" hidden="1">1</definedName>
    <definedName name="solver_eng" localSheetId="2" hidden="1">1</definedName>
    <definedName name="solver_eng" localSheetId="5" hidden="1">1</definedName>
    <definedName name="solver_est" localSheetId="2" hidden="1">1</definedName>
    <definedName name="solver_est" localSheetId="5" hidden="1">1</definedName>
    <definedName name="solver_itr" localSheetId="2" hidden="1">2147483647</definedName>
    <definedName name="solver_itr" localSheetId="5" hidden="1">2147483647</definedName>
    <definedName name="solver_mip" localSheetId="2" hidden="1">2147483647</definedName>
    <definedName name="solver_mip" localSheetId="5" hidden="1">2147483647</definedName>
    <definedName name="solver_mni" localSheetId="2" hidden="1">30</definedName>
    <definedName name="solver_mni" localSheetId="5" hidden="1">30</definedName>
    <definedName name="solver_mrt" localSheetId="2" hidden="1">0.075</definedName>
    <definedName name="solver_mrt" localSheetId="5" hidden="1">0.075</definedName>
    <definedName name="solver_msl" localSheetId="2" hidden="1">2</definedName>
    <definedName name="solver_msl" localSheetId="5" hidden="1">2</definedName>
    <definedName name="solver_neg" localSheetId="2" hidden="1">2</definedName>
    <definedName name="solver_neg" localSheetId="5" hidden="1">2</definedName>
    <definedName name="solver_nod" localSheetId="2" hidden="1">2147483647</definedName>
    <definedName name="solver_nod" localSheetId="5" hidden="1">2147483647</definedName>
    <definedName name="solver_num" localSheetId="2" hidden="1">0</definedName>
    <definedName name="solver_num" localSheetId="5" hidden="1">0</definedName>
    <definedName name="solver_nwt" localSheetId="2" hidden="1">1</definedName>
    <definedName name="solver_nwt" localSheetId="5" hidden="1">1</definedName>
    <definedName name="solver_opt" localSheetId="2" hidden="1">Estimation!$S$2</definedName>
    <definedName name="solver_opt" localSheetId="5" hidden="1">Scoring!#REF!</definedName>
    <definedName name="solver_pre" localSheetId="2" hidden="1">0.000001</definedName>
    <definedName name="solver_pre" localSheetId="5" hidden="1">0.000001</definedName>
    <definedName name="solver_rbv" localSheetId="2" hidden="1">1</definedName>
    <definedName name="solver_rbv" localSheetId="5" hidden="1">1</definedName>
    <definedName name="solver_rlx" localSheetId="2" hidden="1">2</definedName>
    <definedName name="solver_rlx" localSheetId="5" hidden="1">2</definedName>
    <definedName name="solver_rsd" localSheetId="2" hidden="1">0</definedName>
    <definedName name="solver_rsd" localSheetId="5" hidden="1">0</definedName>
    <definedName name="solver_scl" localSheetId="2" hidden="1">1</definedName>
    <definedName name="solver_scl" localSheetId="5" hidden="1">1</definedName>
    <definedName name="solver_sho" localSheetId="2" hidden="1">2</definedName>
    <definedName name="solver_sho" localSheetId="5" hidden="1">2</definedName>
    <definedName name="solver_ssz" localSheetId="2" hidden="1">100</definedName>
    <definedName name="solver_ssz" localSheetId="5" hidden="1">100</definedName>
    <definedName name="solver_tim" localSheetId="2" hidden="1">2147483647</definedName>
    <definedName name="solver_tim" localSheetId="5" hidden="1">2147483647</definedName>
    <definedName name="solver_tol" localSheetId="2" hidden="1">0.01</definedName>
    <definedName name="solver_tol" localSheetId="5" hidden="1">0.01</definedName>
    <definedName name="solver_typ" localSheetId="2" hidden="1">1</definedName>
    <definedName name="solver_typ" localSheetId="5" hidden="1">1</definedName>
    <definedName name="solver_val" localSheetId="2" hidden="1">0</definedName>
    <definedName name="solver_val" localSheetId="5" hidden="1">0</definedName>
    <definedName name="solver_ver" localSheetId="2" hidden="1">3</definedName>
    <definedName name="solver_ver" localSheetId="5" hidden="1">3</definedName>
  </definedNames>
  <calcPr calcId="191029"/>
  <pivotCaches>
    <pivotCache cacheId="5" r:id="rId8"/>
    <pivotCache cacheId="6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8" l="1"/>
  <c r="C2" i="8"/>
  <c r="D2" i="8"/>
  <c r="E2" i="8"/>
  <c r="F2" i="8"/>
  <c r="G2" i="8"/>
  <c r="H2" i="8"/>
  <c r="I2" i="8"/>
  <c r="J2" i="8"/>
  <c r="K2" i="8"/>
  <c r="L2" i="8"/>
  <c r="B6" i="4" l="1"/>
  <c r="L6" i="4"/>
  <c r="B7" i="4"/>
  <c r="L7" i="4"/>
  <c r="B8" i="4"/>
  <c r="L8" i="4"/>
  <c r="B9" i="4"/>
  <c r="L9" i="4"/>
  <c r="B10" i="4"/>
  <c r="L10" i="4"/>
  <c r="B11" i="4"/>
  <c r="L11" i="4"/>
  <c r="B12" i="4"/>
  <c r="L12" i="4"/>
  <c r="B13" i="4"/>
  <c r="L13" i="4"/>
  <c r="B14" i="4"/>
  <c r="L14" i="4"/>
  <c r="B15" i="4"/>
  <c r="L15" i="4"/>
  <c r="B16" i="4"/>
  <c r="L16" i="4"/>
  <c r="B17" i="4"/>
  <c r="L17" i="4"/>
  <c r="B18" i="4"/>
  <c r="L18" i="4"/>
  <c r="B19" i="4"/>
  <c r="L19" i="4"/>
  <c r="B20" i="4"/>
  <c r="L20" i="4"/>
  <c r="B21" i="4"/>
  <c r="L21" i="4"/>
  <c r="B22" i="4"/>
  <c r="L22" i="4"/>
  <c r="B23" i="4"/>
  <c r="L23" i="4"/>
  <c r="B24" i="4"/>
  <c r="L24" i="4"/>
  <c r="B25" i="4"/>
  <c r="L25" i="4"/>
  <c r="B26" i="4"/>
  <c r="L26" i="4"/>
  <c r="B27" i="4"/>
  <c r="L27" i="4"/>
  <c r="B28" i="4"/>
  <c r="L28" i="4"/>
  <c r="B29" i="4"/>
  <c r="L29" i="4"/>
  <c r="B30" i="4"/>
  <c r="L30" i="4"/>
  <c r="B31" i="4"/>
  <c r="L31" i="4"/>
  <c r="B32" i="4"/>
  <c r="L32" i="4"/>
  <c r="B33" i="4"/>
  <c r="L33" i="4"/>
  <c r="B34" i="4"/>
  <c r="L34" i="4"/>
  <c r="B35" i="4"/>
  <c r="L35" i="4"/>
  <c r="B36" i="4"/>
  <c r="L36" i="4"/>
  <c r="B37" i="4"/>
  <c r="L37" i="4"/>
  <c r="B38" i="4"/>
  <c r="L38" i="4"/>
  <c r="P20" i="4" l="1"/>
  <c r="Q20" i="4" s="1"/>
  <c r="R20" i="4" s="1"/>
  <c r="P26" i="4"/>
  <c r="Q26" i="4" s="1"/>
  <c r="R26" i="4" s="1"/>
  <c r="L6" i="8"/>
  <c r="L7" i="8"/>
  <c r="L8" i="8"/>
  <c r="L9" i="8"/>
  <c r="L10" i="8"/>
  <c r="L11" i="8"/>
  <c r="L12" i="8"/>
  <c r="L13" i="8"/>
  <c r="L14" i="8"/>
  <c r="L15" i="8"/>
  <c r="J16" i="8"/>
  <c r="L16" i="8"/>
  <c r="L17" i="8"/>
  <c r="L18" i="8"/>
  <c r="L19" i="8"/>
  <c r="L20" i="8"/>
  <c r="L21" i="8"/>
  <c r="J22" i="8"/>
  <c r="L22" i="8"/>
  <c r="L23" i="8"/>
  <c r="L24" i="8"/>
  <c r="L25" i="8"/>
  <c r="L26" i="8"/>
  <c r="L27" i="8"/>
  <c r="L28" i="8"/>
  <c r="L5" i="8"/>
  <c r="A5" i="8"/>
  <c r="N5" i="8" s="1"/>
  <c r="O5" i="8" s="1"/>
  <c r="A6" i="8"/>
  <c r="A7" i="8"/>
  <c r="A8" i="8"/>
  <c r="N8" i="8" s="1"/>
  <c r="O8" i="8" s="1"/>
  <c r="A9" i="8"/>
  <c r="N9" i="8" s="1"/>
  <c r="O9" i="8" s="1"/>
  <c r="A10" i="8"/>
  <c r="A11" i="8"/>
  <c r="N11" i="8" s="1"/>
  <c r="O11" i="8" s="1"/>
  <c r="A12" i="8"/>
  <c r="N12" i="8" s="1"/>
  <c r="O12" i="8" s="1"/>
  <c r="A13" i="8"/>
  <c r="N13" i="8" s="1"/>
  <c r="O13" i="8" s="1"/>
  <c r="A14" i="8"/>
  <c r="N14" i="8" s="1"/>
  <c r="O14" i="8" s="1"/>
  <c r="A15" i="8"/>
  <c r="A16" i="8"/>
  <c r="N16" i="8" s="1"/>
  <c r="O16" i="8" s="1"/>
  <c r="A17" i="8"/>
  <c r="N17" i="8" s="1"/>
  <c r="O17" i="8" s="1"/>
  <c r="A18" i="8"/>
  <c r="N18" i="8" s="1"/>
  <c r="O18" i="8" s="1"/>
  <c r="A19" i="8"/>
  <c r="N19" i="8" s="1"/>
  <c r="O19" i="8" s="1"/>
  <c r="A20" i="8"/>
  <c r="N20" i="8" s="1"/>
  <c r="O20" i="8" s="1"/>
  <c r="A21" i="8"/>
  <c r="N21" i="8" s="1"/>
  <c r="O21" i="8" s="1"/>
  <c r="A22" i="8"/>
  <c r="N22" i="8" s="1"/>
  <c r="O22" i="8" s="1"/>
  <c r="A23" i="8"/>
  <c r="A24" i="8"/>
  <c r="N24" i="8" s="1"/>
  <c r="O24" i="8" s="1"/>
  <c r="A25" i="8"/>
  <c r="N25" i="8" s="1"/>
  <c r="O25" i="8" s="1"/>
  <c r="A26" i="8"/>
  <c r="A27" i="8"/>
  <c r="N27" i="8" s="1"/>
  <c r="O27" i="8" s="1"/>
  <c r="A28" i="8"/>
  <c r="N28" i="8" s="1"/>
  <c r="O28" i="8" s="1"/>
  <c r="N26" i="8"/>
  <c r="O26" i="8" s="1"/>
  <c r="N23" i="8"/>
  <c r="O23" i="8" s="1"/>
  <c r="N15" i="8"/>
  <c r="O15" i="8" s="1"/>
  <c r="N10" i="8"/>
  <c r="O10" i="8" s="1"/>
  <c r="N7" i="8"/>
  <c r="O7" i="8" s="1"/>
  <c r="N6" i="8"/>
  <c r="O6" i="8" s="1"/>
  <c r="B5" i="8"/>
  <c r="B6" i="8" s="1"/>
  <c r="B7" i="8" s="1"/>
  <c r="W2" i="2"/>
  <c r="K5" i="8" s="1"/>
  <c r="W3" i="2"/>
  <c r="K6" i="8" s="1"/>
  <c r="W4" i="2"/>
  <c r="K7" i="8" s="1"/>
  <c r="W5" i="2"/>
  <c r="K8" i="8" s="1"/>
  <c r="W6" i="2"/>
  <c r="K9" i="8" s="1"/>
  <c r="W7" i="2"/>
  <c r="K10" i="8" s="1"/>
  <c r="W8" i="2"/>
  <c r="K11" i="8" s="1"/>
  <c r="W9" i="2"/>
  <c r="K12" i="8" s="1"/>
  <c r="W10" i="2"/>
  <c r="K13" i="8" s="1"/>
  <c r="W11" i="2"/>
  <c r="K14" i="8" s="1"/>
  <c r="W12" i="2"/>
  <c r="K15" i="8" s="1"/>
  <c r="W13" i="2"/>
  <c r="K16" i="8" s="1"/>
  <c r="W14" i="2"/>
  <c r="K17" i="8" s="1"/>
  <c r="W15" i="2"/>
  <c r="K18" i="8" s="1"/>
  <c r="W16" i="2"/>
  <c r="K19" i="8" s="1"/>
  <c r="W17" i="2"/>
  <c r="K20" i="8" s="1"/>
  <c r="W18" i="2"/>
  <c r="K21" i="8" s="1"/>
  <c r="W19" i="2"/>
  <c r="K22" i="8" s="1"/>
  <c r="W20" i="2"/>
  <c r="K23" i="8" s="1"/>
  <c r="W21" i="2"/>
  <c r="K24" i="8" s="1"/>
  <c r="W22" i="2"/>
  <c r="K25" i="8" s="1"/>
  <c r="W23" i="2"/>
  <c r="K26" i="8" s="1"/>
  <c r="W24" i="2"/>
  <c r="K27" i="8" s="1"/>
  <c r="W25" i="2"/>
  <c r="K28" i="8" s="1"/>
  <c r="V2" i="2"/>
  <c r="J5" i="8" s="1"/>
  <c r="V3" i="2"/>
  <c r="J6" i="8" s="1"/>
  <c r="V4" i="2"/>
  <c r="J7" i="8" s="1"/>
  <c r="V5" i="2"/>
  <c r="J8" i="8" s="1"/>
  <c r="V6" i="2"/>
  <c r="J9" i="8" s="1"/>
  <c r="V7" i="2"/>
  <c r="J10" i="8" s="1"/>
  <c r="V8" i="2"/>
  <c r="J11" i="8" s="1"/>
  <c r="V9" i="2"/>
  <c r="J12" i="8" s="1"/>
  <c r="V10" i="2"/>
  <c r="J13" i="8" s="1"/>
  <c r="V11" i="2"/>
  <c r="J14" i="8" s="1"/>
  <c r="V12" i="2"/>
  <c r="J15" i="8" s="1"/>
  <c r="V13" i="2"/>
  <c r="V14" i="2"/>
  <c r="J17" i="8" s="1"/>
  <c r="V15" i="2"/>
  <c r="J18" i="8" s="1"/>
  <c r="V16" i="2"/>
  <c r="J19" i="8" s="1"/>
  <c r="V17" i="2"/>
  <c r="J20" i="8" s="1"/>
  <c r="V18" i="2"/>
  <c r="J21" i="8" s="1"/>
  <c r="V19" i="2"/>
  <c r="V20" i="2"/>
  <c r="J23" i="8" s="1"/>
  <c r="V21" i="2"/>
  <c r="J24" i="8" s="1"/>
  <c r="V22" i="2"/>
  <c r="J25" i="8" s="1"/>
  <c r="V23" i="2"/>
  <c r="J26" i="8" s="1"/>
  <c r="V24" i="2"/>
  <c r="J27" i="8" s="1"/>
  <c r="V25" i="2"/>
  <c r="J28" i="8" s="1"/>
  <c r="U2" i="2"/>
  <c r="I5" i="8" s="1"/>
  <c r="U3" i="2"/>
  <c r="I6" i="8" s="1"/>
  <c r="U4" i="2"/>
  <c r="I7" i="8" s="1"/>
  <c r="U5" i="2"/>
  <c r="I8" i="8" s="1"/>
  <c r="U6" i="2"/>
  <c r="I9" i="8" s="1"/>
  <c r="U7" i="2"/>
  <c r="I10" i="8" s="1"/>
  <c r="U8" i="2"/>
  <c r="I11" i="8" s="1"/>
  <c r="U9" i="2"/>
  <c r="I12" i="8" s="1"/>
  <c r="U10" i="2"/>
  <c r="I13" i="8" s="1"/>
  <c r="U11" i="2"/>
  <c r="I14" i="8" s="1"/>
  <c r="U12" i="2"/>
  <c r="I15" i="8" s="1"/>
  <c r="U13" i="2"/>
  <c r="I16" i="8" s="1"/>
  <c r="U14" i="2"/>
  <c r="I17" i="8" s="1"/>
  <c r="U15" i="2"/>
  <c r="I18" i="8" s="1"/>
  <c r="U16" i="2"/>
  <c r="I19" i="8" s="1"/>
  <c r="U17" i="2"/>
  <c r="I20" i="8" s="1"/>
  <c r="U18" i="2"/>
  <c r="I21" i="8" s="1"/>
  <c r="U19" i="2"/>
  <c r="I22" i="8" s="1"/>
  <c r="U20" i="2"/>
  <c r="I23" i="8" s="1"/>
  <c r="U21" i="2"/>
  <c r="I24" i="8" s="1"/>
  <c r="U22" i="2"/>
  <c r="I25" i="8" s="1"/>
  <c r="U23" i="2"/>
  <c r="I26" i="8" s="1"/>
  <c r="U24" i="2"/>
  <c r="I27" i="8" s="1"/>
  <c r="U25" i="2"/>
  <c r="I28" i="8" s="1"/>
  <c r="T2" i="2"/>
  <c r="H5" i="8" s="1"/>
  <c r="T3" i="2"/>
  <c r="H6" i="8" s="1"/>
  <c r="T4" i="2"/>
  <c r="H7" i="8" s="1"/>
  <c r="T5" i="2"/>
  <c r="H8" i="8" s="1"/>
  <c r="T6" i="2"/>
  <c r="H9" i="8" s="1"/>
  <c r="T7" i="2"/>
  <c r="H10" i="8" s="1"/>
  <c r="T8" i="2"/>
  <c r="H11" i="8" s="1"/>
  <c r="T9" i="2"/>
  <c r="H12" i="8" s="1"/>
  <c r="T10" i="2"/>
  <c r="H13" i="8" s="1"/>
  <c r="T11" i="2"/>
  <c r="H14" i="8" s="1"/>
  <c r="T12" i="2"/>
  <c r="H15" i="8" s="1"/>
  <c r="T13" i="2"/>
  <c r="H16" i="8" s="1"/>
  <c r="T14" i="2"/>
  <c r="H17" i="8" s="1"/>
  <c r="T15" i="2"/>
  <c r="H18" i="8" s="1"/>
  <c r="T16" i="2"/>
  <c r="H19" i="8" s="1"/>
  <c r="T17" i="2"/>
  <c r="H20" i="8" s="1"/>
  <c r="T18" i="2"/>
  <c r="H21" i="8" s="1"/>
  <c r="T19" i="2"/>
  <c r="H22" i="8" s="1"/>
  <c r="T20" i="2"/>
  <c r="H23" i="8" s="1"/>
  <c r="T21" i="2"/>
  <c r="H24" i="8" s="1"/>
  <c r="T22" i="2"/>
  <c r="H25" i="8" s="1"/>
  <c r="T23" i="2"/>
  <c r="H26" i="8" s="1"/>
  <c r="T24" i="2"/>
  <c r="H27" i="8" s="1"/>
  <c r="T25" i="2"/>
  <c r="H28" i="8" s="1"/>
  <c r="S2" i="2"/>
  <c r="G5" i="8" s="1"/>
  <c r="S3" i="2"/>
  <c r="G6" i="8" s="1"/>
  <c r="S4" i="2"/>
  <c r="G7" i="8" s="1"/>
  <c r="S5" i="2"/>
  <c r="G8" i="8" s="1"/>
  <c r="S6" i="2"/>
  <c r="G9" i="8" s="1"/>
  <c r="S7" i="2"/>
  <c r="G10" i="8" s="1"/>
  <c r="S8" i="2"/>
  <c r="G11" i="8" s="1"/>
  <c r="S9" i="2"/>
  <c r="G12" i="8" s="1"/>
  <c r="S10" i="2"/>
  <c r="G13" i="8" s="1"/>
  <c r="S11" i="2"/>
  <c r="G14" i="8" s="1"/>
  <c r="S12" i="2"/>
  <c r="G15" i="8" s="1"/>
  <c r="S13" i="2"/>
  <c r="G16" i="8" s="1"/>
  <c r="S14" i="2"/>
  <c r="G17" i="8" s="1"/>
  <c r="S15" i="2"/>
  <c r="G18" i="8" s="1"/>
  <c r="S16" i="2"/>
  <c r="G19" i="8" s="1"/>
  <c r="S17" i="2"/>
  <c r="G20" i="8" s="1"/>
  <c r="S18" i="2"/>
  <c r="G21" i="8" s="1"/>
  <c r="S19" i="2"/>
  <c r="G22" i="8" s="1"/>
  <c r="S20" i="2"/>
  <c r="G23" i="8" s="1"/>
  <c r="S21" i="2"/>
  <c r="G24" i="8" s="1"/>
  <c r="S22" i="2"/>
  <c r="G25" i="8" s="1"/>
  <c r="S23" i="2"/>
  <c r="G26" i="8" s="1"/>
  <c r="S24" i="2"/>
  <c r="G27" i="8" s="1"/>
  <c r="S25" i="2"/>
  <c r="G28" i="8" s="1"/>
  <c r="R2" i="2"/>
  <c r="F5" i="8" s="1"/>
  <c r="R3" i="2"/>
  <c r="F6" i="8" s="1"/>
  <c r="R4" i="2"/>
  <c r="F7" i="8" s="1"/>
  <c r="R5" i="2"/>
  <c r="F8" i="8" s="1"/>
  <c r="R6" i="2"/>
  <c r="F9" i="8" s="1"/>
  <c r="R7" i="2"/>
  <c r="F10" i="8" s="1"/>
  <c r="R8" i="2"/>
  <c r="F11" i="8" s="1"/>
  <c r="R9" i="2"/>
  <c r="F12" i="8" s="1"/>
  <c r="R10" i="2"/>
  <c r="F13" i="8" s="1"/>
  <c r="R11" i="2"/>
  <c r="F14" i="8" s="1"/>
  <c r="R12" i="2"/>
  <c r="F15" i="8" s="1"/>
  <c r="R13" i="2"/>
  <c r="F16" i="8" s="1"/>
  <c r="R14" i="2"/>
  <c r="F17" i="8" s="1"/>
  <c r="R15" i="2"/>
  <c r="F18" i="8" s="1"/>
  <c r="R16" i="2"/>
  <c r="F19" i="8" s="1"/>
  <c r="R17" i="2"/>
  <c r="F20" i="8" s="1"/>
  <c r="R18" i="2"/>
  <c r="F21" i="8" s="1"/>
  <c r="R19" i="2"/>
  <c r="F22" i="8" s="1"/>
  <c r="R20" i="2"/>
  <c r="F23" i="8" s="1"/>
  <c r="R21" i="2"/>
  <c r="F24" i="8" s="1"/>
  <c r="R22" i="2"/>
  <c r="F25" i="8" s="1"/>
  <c r="R23" i="2"/>
  <c r="F26" i="8" s="1"/>
  <c r="R24" i="2"/>
  <c r="F27" i="8" s="1"/>
  <c r="R25" i="2"/>
  <c r="F28" i="8" s="1"/>
  <c r="Q2" i="2"/>
  <c r="E5" i="8" s="1"/>
  <c r="Q3" i="2"/>
  <c r="E6" i="8" s="1"/>
  <c r="Q4" i="2"/>
  <c r="E7" i="8" s="1"/>
  <c r="Q5" i="2"/>
  <c r="E8" i="8" s="1"/>
  <c r="Q6" i="2"/>
  <c r="E9" i="8" s="1"/>
  <c r="Q7" i="2"/>
  <c r="E10" i="8" s="1"/>
  <c r="Q8" i="2"/>
  <c r="E11" i="8" s="1"/>
  <c r="Q9" i="2"/>
  <c r="E12" i="8" s="1"/>
  <c r="Q10" i="2"/>
  <c r="E13" i="8" s="1"/>
  <c r="Q11" i="2"/>
  <c r="E14" i="8" s="1"/>
  <c r="Q12" i="2"/>
  <c r="E15" i="8" s="1"/>
  <c r="Q13" i="2"/>
  <c r="E16" i="8" s="1"/>
  <c r="Q14" i="2"/>
  <c r="E17" i="8" s="1"/>
  <c r="Q15" i="2"/>
  <c r="E18" i="8" s="1"/>
  <c r="Q16" i="2"/>
  <c r="E19" i="8" s="1"/>
  <c r="Q17" i="2"/>
  <c r="E20" i="8" s="1"/>
  <c r="Q18" i="2"/>
  <c r="E21" i="8" s="1"/>
  <c r="Q19" i="2"/>
  <c r="E22" i="8" s="1"/>
  <c r="Q20" i="2"/>
  <c r="E23" i="8" s="1"/>
  <c r="Q21" i="2"/>
  <c r="E24" i="8" s="1"/>
  <c r="Q22" i="2"/>
  <c r="E25" i="8" s="1"/>
  <c r="Q23" i="2"/>
  <c r="E26" i="8" s="1"/>
  <c r="Q24" i="2"/>
  <c r="E27" i="8" s="1"/>
  <c r="Q25" i="2"/>
  <c r="E28" i="8" s="1"/>
  <c r="P2" i="2"/>
  <c r="D5" i="8" s="1"/>
  <c r="P3" i="2"/>
  <c r="D6" i="8" s="1"/>
  <c r="P4" i="2"/>
  <c r="D7" i="8" s="1"/>
  <c r="P5" i="2"/>
  <c r="D8" i="8" s="1"/>
  <c r="P6" i="2"/>
  <c r="D9" i="8" s="1"/>
  <c r="P7" i="2"/>
  <c r="D10" i="8" s="1"/>
  <c r="P8" i="2"/>
  <c r="D11" i="8" s="1"/>
  <c r="P9" i="2"/>
  <c r="D12" i="8" s="1"/>
  <c r="P10" i="2"/>
  <c r="D13" i="8" s="1"/>
  <c r="P11" i="2"/>
  <c r="D14" i="8" s="1"/>
  <c r="P12" i="2"/>
  <c r="D15" i="8" s="1"/>
  <c r="P13" i="2"/>
  <c r="D16" i="8" s="1"/>
  <c r="P14" i="2"/>
  <c r="D17" i="8" s="1"/>
  <c r="P15" i="2"/>
  <c r="D18" i="8" s="1"/>
  <c r="P16" i="2"/>
  <c r="D19" i="8" s="1"/>
  <c r="P17" i="2"/>
  <c r="D20" i="8" s="1"/>
  <c r="P18" i="2"/>
  <c r="D21" i="8" s="1"/>
  <c r="P19" i="2"/>
  <c r="D22" i="8" s="1"/>
  <c r="P20" i="2"/>
  <c r="D23" i="8" s="1"/>
  <c r="P21" i="2"/>
  <c r="D24" i="8" s="1"/>
  <c r="P22" i="2"/>
  <c r="D25" i="8" s="1"/>
  <c r="P23" i="2"/>
  <c r="D26" i="8" s="1"/>
  <c r="P24" i="2"/>
  <c r="D27" i="8" s="1"/>
  <c r="P25" i="2"/>
  <c r="D28" i="8" s="1"/>
  <c r="O2" i="2"/>
  <c r="C5" i="8" s="1"/>
  <c r="O3" i="2"/>
  <c r="C6" i="8" s="1"/>
  <c r="O4" i="2"/>
  <c r="C7" i="8" s="1"/>
  <c r="O5" i="2"/>
  <c r="C8" i="8" s="1"/>
  <c r="O6" i="2"/>
  <c r="C9" i="8" s="1"/>
  <c r="O7" i="2"/>
  <c r="C10" i="8" s="1"/>
  <c r="O8" i="2"/>
  <c r="C11" i="8" s="1"/>
  <c r="O9" i="2"/>
  <c r="C12" i="8" s="1"/>
  <c r="O10" i="2"/>
  <c r="C13" i="8" s="1"/>
  <c r="O11" i="2"/>
  <c r="C14" i="8" s="1"/>
  <c r="O12" i="2"/>
  <c r="C15" i="8" s="1"/>
  <c r="O13" i="2"/>
  <c r="C16" i="8" s="1"/>
  <c r="O14" i="2"/>
  <c r="C17" i="8" s="1"/>
  <c r="O15" i="2"/>
  <c r="C18" i="8" s="1"/>
  <c r="O16" i="2"/>
  <c r="C19" i="8" s="1"/>
  <c r="O17" i="2"/>
  <c r="C20" i="8" s="1"/>
  <c r="O18" i="2"/>
  <c r="C21" i="8" s="1"/>
  <c r="O19" i="2"/>
  <c r="C22" i="8" s="1"/>
  <c r="O20" i="2"/>
  <c r="C23" i="8" s="1"/>
  <c r="O21" i="2"/>
  <c r="C24" i="8" s="1"/>
  <c r="O22" i="2"/>
  <c r="C25" i="8" s="1"/>
  <c r="O23" i="2"/>
  <c r="C26" i="8" s="1"/>
  <c r="O24" i="2"/>
  <c r="C27" i="8" s="1"/>
  <c r="O25" i="2"/>
  <c r="C28" i="8" s="1"/>
  <c r="A2" i="6" a="1"/>
  <c r="A2" i="6" s="1"/>
  <c r="B2" i="6" a="1"/>
  <c r="B2" i="6" s="1"/>
  <c r="C2" i="6" a="1"/>
  <c r="C3" i="6" s="1"/>
  <c r="D3" i="6" s="1"/>
  <c r="E3" i="6" s="1"/>
  <c r="Q2" i="3"/>
  <c r="Q3" i="3"/>
  <c r="E6" i="4" s="1"/>
  <c r="Q4" i="3"/>
  <c r="E7" i="4" s="1"/>
  <c r="Q5" i="3"/>
  <c r="E8" i="4" s="1"/>
  <c r="Q6" i="3"/>
  <c r="E9" i="4" s="1"/>
  <c r="Q7" i="3"/>
  <c r="E10" i="4" s="1"/>
  <c r="Q8" i="3"/>
  <c r="E11" i="4" s="1"/>
  <c r="Q9" i="3"/>
  <c r="E12" i="4" s="1"/>
  <c r="Q10" i="3"/>
  <c r="E13" i="4" s="1"/>
  <c r="Q11" i="3"/>
  <c r="E14" i="4" s="1"/>
  <c r="Q12" i="3"/>
  <c r="E15" i="4" s="1"/>
  <c r="Q13" i="3"/>
  <c r="E16" i="4" s="1"/>
  <c r="Q14" i="3"/>
  <c r="E17" i="4" s="1"/>
  <c r="Q15" i="3"/>
  <c r="E18" i="4" s="1"/>
  <c r="Q16" i="3"/>
  <c r="E19" i="4" s="1"/>
  <c r="Q17" i="3"/>
  <c r="E20" i="4" s="1"/>
  <c r="Q18" i="3"/>
  <c r="E21" i="4" s="1"/>
  <c r="Q19" i="3"/>
  <c r="E22" i="4" s="1"/>
  <c r="Q20" i="3"/>
  <c r="E23" i="4" s="1"/>
  <c r="Q21" i="3"/>
  <c r="E24" i="4" s="1"/>
  <c r="Q22" i="3"/>
  <c r="E25" i="4" s="1"/>
  <c r="Q23" i="3"/>
  <c r="E26" i="4" s="1"/>
  <c r="Q24" i="3"/>
  <c r="E27" i="4" s="1"/>
  <c r="Q25" i="3"/>
  <c r="E28" i="4" s="1"/>
  <c r="Q26" i="3"/>
  <c r="E29" i="4" s="1"/>
  <c r="Q27" i="3"/>
  <c r="E30" i="4" s="1"/>
  <c r="Q28" i="3"/>
  <c r="E31" i="4" s="1"/>
  <c r="Q29" i="3"/>
  <c r="E32" i="4" s="1"/>
  <c r="Q30" i="3"/>
  <c r="E33" i="4" s="1"/>
  <c r="Q31" i="3"/>
  <c r="E34" i="4" s="1"/>
  <c r="Q32" i="3"/>
  <c r="E35" i="4" s="1"/>
  <c r="Q33" i="3"/>
  <c r="E36" i="4" s="1"/>
  <c r="Q34" i="3"/>
  <c r="E37" i="4" s="1"/>
  <c r="Q35" i="3"/>
  <c r="E38" i="4" s="1"/>
  <c r="L5" i="4"/>
  <c r="B5" i="4"/>
  <c r="A5" i="4"/>
  <c r="N5" i="4" s="1"/>
  <c r="O5" i="4" s="1"/>
  <c r="A6" i="4"/>
  <c r="N6" i="4" s="1"/>
  <c r="O6" i="4" s="1"/>
  <c r="A7" i="4"/>
  <c r="N7" i="4" s="1"/>
  <c r="O7" i="4" s="1"/>
  <c r="A8" i="4"/>
  <c r="N8" i="4" s="1"/>
  <c r="O8" i="4" s="1"/>
  <c r="A9" i="4"/>
  <c r="N9" i="4" s="1"/>
  <c r="O9" i="4" s="1"/>
  <c r="A10" i="4"/>
  <c r="N10" i="4" s="1"/>
  <c r="O10" i="4" s="1"/>
  <c r="A11" i="4"/>
  <c r="N11" i="4" s="1"/>
  <c r="O11" i="4" s="1"/>
  <c r="A12" i="4"/>
  <c r="N12" i="4" s="1"/>
  <c r="O12" i="4" s="1"/>
  <c r="A13" i="4"/>
  <c r="N13" i="4" s="1"/>
  <c r="O13" i="4" s="1"/>
  <c r="A14" i="4"/>
  <c r="N14" i="4" s="1"/>
  <c r="O14" i="4" s="1"/>
  <c r="A15" i="4"/>
  <c r="N15" i="4" s="1"/>
  <c r="O15" i="4" s="1"/>
  <c r="A16" i="4"/>
  <c r="N16" i="4" s="1"/>
  <c r="O16" i="4" s="1"/>
  <c r="A17" i="4"/>
  <c r="N17" i="4" s="1"/>
  <c r="O17" i="4" s="1"/>
  <c r="A18" i="4"/>
  <c r="N18" i="4" s="1"/>
  <c r="O18" i="4" s="1"/>
  <c r="A19" i="4"/>
  <c r="N19" i="4" s="1"/>
  <c r="O19" i="4" s="1"/>
  <c r="A20" i="4"/>
  <c r="N20" i="4" s="1"/>
  <c r="O20" i="4" s="1"/>
  <c r="S20" i="4" s="1"/>
  <c r="A21" i="4"/>
  <c r="N21" i="4" s="1"/>
  <c r="O21" i="4" s="1"/>
  <c r="A22" i="4"/>
  <c r="N22" i="4" s="1"/>
  <c r="O22" i="4" s="1"/>
  <c r="A23" i="4"/>
  <c r="N23" i="4" s="1"/>
  <c r="O23" i="4" s="1"/>
  <c r="A24" i="4"/>
  <c r="N24" i="4" s="1"/>
  <c r="O24" i="4" s="1"/>
  <c r="S24" i="4" s="1"/>
  <c r="A25" i="4"/>
  <c r="N25" i="4" s="1"/>
  <c r="O25" i="4" s="1"/>
  <c r="A26" i="4"/>
  <c r="N26" i="4" s="1"/>
  <c r="O26" i="4" s="1"/>
  <c r="A27" i="4"/>
  <c r="N27" i="4" s="1"/>
  <c r="O27" i="4" s="1"/>
  <c r="A28" i="4"/>
  <c r="N28" i="4" s="1"/>
  <c r="O28" i="4" s="1"/>
  <c r="A29" i="4"/>
  <c r="N29" i="4" s="1"/>
  <c r="O29" i="4" s="1"/>
  <c r="A30" i="4"/>
  <c r="N30" i="4" s="1"/>
  <c r="O30" i="4" s="1"/>
  <c r="A31" i="4"/>
  <c r="N31" i="4" s="1"/>
  <c r="O31" i="4" s="1"/>
  <c r="A32" i="4"/>
  <c r="N32" i="4" s="1"/>
  <c r="O32" i="4" s="1"/>
  <c r="A33" i="4"/>
  <c r="N33" i="4" s="1"/>
  <c r="O33" i="4" s="1"/>
  <c r="A34" i="4"/>
  <c r="N34" i="4" s="1"/>
  <c r="O34" i="4" s="1"/>
  <c r="A35" i="4"/>
  <c r="N35" i="4" s="1"/>
  <c r="O35" i="4" s="1"/>
  <c r="A36" i="4"/>
  <c r="N36" i="4" s="1"/>
  <c r="O36" i="4" s="1"/>
  <c r="A37" i="4"/>
  <c r="N37" i="4" s="1"/>
  <c r="O37" i="4" s="1"/>
  <c r="A38" i="4"/>
  <c r="N38" i="4" s="1"/>
  <c r="O38" i="4" s="1"/>
  <c r="W2" i="3"/>
  <c r="K5" i="4" s="1"/>
  <c r="W3" i="3"/>
  <c r="K6" i="4" s="1"/>
  <c r="W4" i="3"/>
  <c r="K7" i="4" s="1"/>
  <c r="W5" i="3"/>
  <c r="K8" i="4" s="1"/>
  <c r="W6" i="3"/>
  <c r="K9" i="4" s="1"/>
  <c r="W7" i="3"/>
  <c r="K10" i="4" s="1"/>
  <c r="W8" i="3"/>
  <c r="K11" i="4" s="1"/>
  <c r="W9" i="3"/>
  <c r="K12" i="4" s="1"/>
  <c r="W10" i="3"/>
  <c r="K13" i="4" s="1"/>
  <c r="W11" i="3"/>
  <c r="K14" i="4" s="1"/>
  <c r="W12" i="3"/>
  <c r="K15" i="4" s="1"/>
  <c r="W13" i="3"/>
  <c r="K16" i="4" s="1"/>
  <c r="W14" i="3"/>
  <c r="K17" i="4" s="1"/>
  <c r="W15" i="3"/>
  <c r="K18" i="4" s="1"/>
  <c r="W16" i="3"/>
  <c r="K19" i="4" s="1"/>
  <c r="W17" i="3"/>
  <c r="K20" i="4" s="1"/>
  <c r="W18" i="3"/>
  <c r="K21" i="4" s="1"/>
  <c r="W19" i="3"/>
  <c r="K22" i="4" s="1"/>
  <c r="W20" i="3"/>
  <c r="K23" i="4" s="1"/>
  <c r="W21" i="3"/>
  <c r="K24" i="4" s="1"/>
  <c r="W22" i="3"/>
  <c r="K25" i="4" s="1"/>
  <c r="W23" i="3"/>
  <c r="K26" i="4" s="1"/>
  <c r="W24" i="3"/>
  <c r="K27" i="4" s="1"/>
  <c r="W25" i="3"/>
  <c r="K28" i="4" s="1"/>
  <c r="W26" i="3"/>
  <c r="K29" i="4" s="1"/>
  <c r="W27" i="3"/>
  <c r="K30" i="4" s="1"/>
  <c r="W28" i="3"/>
  <c r="K31" i="4" s="1"/>
  <c r="W29" i="3"/>
  <c r="K32" i="4" s="1"/>
  <c r="W30" i="3"/>
  <c r="K33" i="4" s="1"/>
  <c r="W31" i="3"/>
  <c r="K34" i="4" s="1"/>
  <c r="W32" i="3"/>
  <c r="K35" i="4" s="1"/>
  <c r="W33" i="3"/>
  <c r="K36" i="4" s="1"/>
  <c r="W34" i="3"/>
  <c r="K37" i="4" s="1"/>
  <c r="W35" i="3"/>
  <c r="K38" i="4" s="1"/>
  <c r="V2" i="3"/>
  <c r="J5" i="4" s="1"/>
  <c r="V3" i="3"/>
  <c r="J6" i="4" s="1"/>
  <c r="V4" i="3"/>
  <c r="J7" i="4" s="1"/>
  <c r="V5" i="3"/>
  <c r="J8" i="4" s="1"/>
  <c r="V6" i="3"/>
  <c r="J9" i="4" s="1"/>
  <c r="V7" i="3"/>
  <c r="J10" i="4" s="1"/>
  <c r="V8" i="3"/>
  <c r="J11" i="4" s="1"/>
  <c r="V9" i="3"/>
  <c r="J12" i="4" s="1"/>
  <c r="V10" i="3"/>
  <c r="J13" i="4" s="1"/>
  <c r="V11" i="3"/>
  <c r="J14" i="4" s="1"/>
  <c r="V12" i="3"/>
  <c r="J15" i="4" s="1"/>
  <c r="V13" i="3"/>
  <c r="J16" i="4" s="1"/>
  <c r="V14" i="3"/>
  <c r="J17" i="4" s="1"/>
  <c r="V15" i="3"/>
  <c r="J18" i="4" s="1"/>
  <c r="V16" i="3"/>
  <c r="J19" i="4" s="1"/>
  <c r="V17" i="3"/>
  <c r="J20" i="4" s="1"/>
  <c r="V18" i="3"/>
  <c r="J21" i="4" s="1"/>
  <c r="V19" i="3"/>
  <c r="J22" i="4" s="1"/>
  <c r="V20" i="3"/>
  <c r="J23" i="4" s="1"/>
  <c r="V21" i="3"/>
  <c r="J24" i="4" s="1"/>
  <c r="V22" i="3"/>
  <c r="J25" i="4" s="1"/>
  <c r="V23" i="3"/>
  <c r="J26" i="4" s="1"/>
  <c r="V24" i="3"/>
  <c r="J27" i="4" s="1"/>
  <c r="V25" i="3"/>
  <c r="J28" i="4" s="1"/>
  <c r="V26" i="3"/>
  <c r="J29" i="4" s="1"/>
  <c r="V27" i="3"/>
  <c r="J30" i="4" s="1"/>
  <c r="V28" i="3"/>
  <c r="J31" i="4" s="1"/>
  <c r="V29" i="3"/>
  <c r="J32" i="4" s="1"/>
  <c r="V30" i="3"/>
  <c r="J33" i="4" s="1"/>
  <c r="V31" i="3"/>
  <c r="J34" i="4" s="1"/>
  <c r="V32" i="3"/>
  <c r="J35" i="4" s="1"/>
  <c r="V33" i="3"/>
  <c r="J36" i="4" s="1"/>
  <c r="V34" i="3"/>
  <c r="J37" i="4" s="1"/>
  <c r="V35" i="3"/>
  <c r="J38" i="4" s="1"/>
  <c r="U2" i="3"/>
  <c r="I5" i="4" s="1"/>
  <c r="U3" i="3"/>
  <c r="I6" i="4" s="1"/>
  <c r="U4" i="3"/>
  <c r="I7" i="4" s="1"/>
  <c r="U5" i="3"/>
  <c r="I8" i="4" s="1"/>
  <c r="U6" i="3"/>
  <c r="I9" i="4" s="1"/>
  <c r="U7" i="3"/>
  <c r="I10" i="4" s="1"/>
  <c r="U8" i="3"/>
  <c r="I11" i="4" s="1"/>
  <c r="U9" i="3"/>
  <c r="I12" i="4" s="1"/>
  <c r="U10" i="3"/>
  <c r="I13" i="4" s="1"/>
  <c r="U11" i="3"/>
  <c r="I14" i="4" s="1"/>
  <c r="U12" i="3"/>
  <c r="I15" i="4" s="1"/>
  <c r="U13" i="3"/>
  <c r="I16" i="4" s="1"/>
  <c r="U14" i="3"/>
  <c r="I17" i="4" s="1"/>
  <c r="U15" i="3"/>
  <c r="I18" i="4" s="1"/>
  <c r="U16" i="3"/>
  <c r="I19" i="4" s="1"/>
  <c r="U17" i="3"/>
  <c r="I20" i="4" s="1"/>
  <c r="U18" i="3"/>
  <c r="I21" i="4" s="1"/>
  <c r="U19" i="3"/>
  <c r="I22" i="4" s="1"/>
  <c r="U20" i="3"/>
  <c r="I23" i="4" s="1"/>
  <c r="U21" i="3"/>
  <c r="I24" i="4" s="1"/>
  <c r="U22" i="3"/>
  <c r="I25" i="4" s="1"/>
  <c r="U23" i="3"/>
  <c r="I26" i="4" s="1"/>
  <c r="U24" i="3"/>
  <c r="I27" i="4" s="1"/>
  <c r="U25" i="3"/>
  <c r="I28" i="4" s="1"/>
  <c r="U26" i="3"/>
  <c r="I29" i="4" s="1"/>
  <c r="U27" i="3"/>
  <c r="I30" i="4" s="1"/>
  <c r="U28" i="3"/>
  <c r="I31" i="4" s="1"/>
  <c r="U29" i="3"/>
  <c r="I32" i="4" s="1"/>
  <c r="U30" i="3"/>
  <c r="I33" i="4" s="1"/>
  <c r="U31" i="3"/>
  <c r="I34" i="4" s="1"/>
  <c r="U32" i="3"/>
  <c r="I35" i="4" s="1"/>
  <c r="U33" i="3"/>
  <c r="I36" i="4" s="1"/>
  <c r="U34" i="3"/>
  <c r="I37" i="4" s="1"/>
  <c r="U35" i="3"/>
  <c r="I38" i="4" s="1"/>
  <c r="T2" i="3"/>
  <c r="H5" i="4" s="1"/>
  <c r="T3" i="3"/>
  <c r="H6" i="4" s="1"/>
  <c r="T4" i="3"/>
  <c r="H7" i="4" s="1"/>
  <c r="T5" i="3"/>
  <c r="H8" i="4" s="1"/>
  <c r="T6" i="3"/>
  <c r="H9" i="4" s="1"/>
  <c r="T7" i="3"/>
  <c r="H10" i="4" s="1"/>
  <c r="T8" i="3"/>
  <c r="H11" i="4" s="1"/>
  <c r="T9" i="3"/>
  <c r="H12" i="4" s="1"/>
  <c r="T10" i="3"/>
  <c r="H13" i="4" s="1"/>
  <c r="T11" i="3"/>
  <c r="H14" i="4" s="1"/>
  <c r="T12" i="3"/>
  <c r="H15" i="4" s="1"/>
  <c r="T13" i="3"/>
  <c r="H16" i="4" s="1"/>
  <c r="T14" i="3"/>
  <c r="H17" i="4" s="1"/>
  <c r="T15" i="3"/>
  <c r="H18" i="4" s="1"/>
  <c r="T16" i="3"/>
  <c r="H19" i="4" s="1"/>
  <c r="T17" i="3"/>
  <c r="H20" i="4" s="1"/>
  <c r="T18" i="3"/>
  <c r="H21" i="4" s="1"/>
  <c r="T19" i="3"/>
  <c r="H22" i="4" s="1"/>
  <c r="T20" i="3"/>
  <c r="H23" i="4" s="1"/>
  <c r="T21" i="3"/>
  <c r="H24" i="4" s="1"/>
  <c r="T22" i="3"/>
  <c r="H25" i="4" s="1"/>
  <c r="T23" i="3"/>
  <c r="H26" i="4" s="1"/>
  <c r="T24" i="3"/>
  <c r="H27" i="4" s="1"/>
  <c r="T25" i="3"/>
  <c r="H28" i="4" s="1"/>
  <c r="T26" i="3"/>
  <c r="H29" i="4" s="1"/>
  <c r="T27" i="3"/>
  <c r="H30" i="4" s="1"/>
  <c r="T28" i="3"/>
  <c r="H31" i="4" s="1"/>
  <c r="T29" i="3"/>
  <c r="H32" i="4" s="1"/>
  <c r="T30" i="3"/>
  <c r="H33" i="4" s="1"/>
  <c r="T31" i="3"/>
  <c r="H34" i="4" s="1"/>
  <c r="T32" i="3"/>
  <c r="H35" i="4" s="1"/>
  <c r="T33" i="3"/>
  <c r="H36" i="4" s="1"/>
  <c r="T34" i="3"/>
  <c r="H37" i="4" s="1"/>
  <c r="T35" i="3"/>
  <c r="H38" i="4" s="1"/>
  <c r="S2" i="3"/>
  <c r="G5" i="4" s="1"/>
  <c r="S3" i="3"/>
  <c r="G6" i="4" s="1"/>
  <c r="S4" i="3"/>
  <c r="G7" i="4" s="1"/>
  <c r="S5" i="3"/>
  <c r="G8" i="4" s="1"/>
  <c r="S6" i="3"/>
  <c r="G9" i="4" s="1"/>
  <c r="S7" i="3"/>
  <c r="G10" i="4" s="1"/>
  <c r="S8" i="3"/>
  <c r="G11" i="4" s="1"/>
  <c r="S9" i="3"/>
  <c r="G12" i="4" s="1"/>
  <c r="S10" i="3"/>
  <c r="G13" i="4" s="1"/>
  <c r="S11" i="3"/>
  <c r="G14" i="4" s="1"/>
  <c r="S12" i="3"/>
  <c r="G15" i="4" s="1"/>
  <c r="S13" i="3"/>
  <c r="G16" i="4" s="1"/>
  <c r="S14" i="3"/>
  <c r="G17" i="4" s="1"/>
  <c r="S15" i="3"/>
  <c r="G18" i="4" s="1"/>
  <c r="S16" i="3"/>
  <c r="G19" i="4" s="1"/>
  <c r="S17" i="3"/>
  <c r="G20" i="4" s="1"/>
  <c r="S18" i="3"/>
  <c r="G21" i="4" s="1"/>
  <c r="S19" i="3"/>
  <c r="G22" i="4" s="1"/>
  <c r="S20" i="3"/>
  <c r="G23" i="4" s="1"/>
  <c r="S21" i="3"/>
  <c r="G24" i="4" s="1"/>
  <c r="P24" i="4" s="1"/>
  <c r="Q24" i="4" s="1"/>
  <c r="R24" i="4" s="1"/>
  <c r="S22" i="3"/>
  <c r="G25" i="4" s="1"/>
  <c r="S23" i="3"/>
  <c r="G26" i="4" s="1"/>
  <c r="S24" i="3"/>
  <c r="G27" i="4" s="1"/>
  <c r="S25" i="3"/>
  <c r="G28" i="4" s="1"/>
  <c r="S26" i="3"/>
  <c r="G29" i="4" s="1"/>
  <c r="S27" i="3"/>
  <c r="G30" i="4" s="1"/>
  <c r="S28" i="3"/>
  <c r="G31" i="4" s="1"/>
  <c r="S29" i="3"/>
  <c r="G32" i="4" s="1"/>
  <c r="S30" i="3"/>
  <c r="G33" i="4" s="1"/>
  <c r="P33" i="4" s="1"/>
  <c r="Q33" i="4" s="1"/>
  <c r="R33" i="4" s="1"/>
  <c r="S31" i="3"/>
  <c r="G34" i="4" s="1"/>
  <c r="S32" i="3"/>
  <c r="G35" i="4" s="1"/>
  <c r="S33" i="3"/>
  <c r="G36" i="4" s="1"/>
  <c r="S34" i="3"/>
  <c r="G37" i="4" s="1"/>
  <c r="S35" i="3"/>
  <c r="G38" i="4" s="1"/>
  <c r="R2" i="3"/>
  <c r="F5" i="4" s="1"/>
  <c r="R3" i="3"/>
  <c r="F6" i="4" s="1"/>
  <c r="R4" i="3"/>
  <c r="F7" i="4" s="1"/>
  <c r="R5" i="3"/>
  <c r="F8" i="4" s="1"/>
  <c r="R6" i="3"/>
  <c r="F9" i="4" s="1"/>
  <c r="R7" i="3"/>
  <c r="F10" i="4" s="1"/>
  <c r="R8" i="3"/>
  <c r="F11" i="4" s="1"/>
  <c r="R9" i="3"/>
  <c r="F12" i="4" s="1"/>
  <c r="R10" i="3"/>
  <c r="F13" i="4" s="1"/>
  <c r="R11" i="3"/>
  <c r="F14" i="4" s="1"/>
  <c r="R12" i="3"/>
  <c r="F15" i="4" s="1"/>
  <c r="R13" i="3"/>
  <c r="F16" i="4" s="1"/>
  <c r="R14" i="3"/>
  <c r="F17" i="4" s="1"/>
  <c r="R15" i="3"/>
  <c r="F18" i="4" s="1"/>
  <c r="R16" i="3"/>
  <c r="F19" i="4" s="1"/>
  <c r="R17" i="3"/>
  <c r="F20" i="4" s="1"/>
  <c r="R18" i="3"/>
  <c r="F21" i="4" s="1"/>
  <c r="R19" i="3"/>
  <c r="F22" i="4" s="1"/>
  <c r="R20" i="3"/>
  <c r="F23" i="4" s="1"/>
  <c r="R21" i="3"/>
  <c r="F24" i="4" s="1"/>
  <c r="R22" i="3"/>
  <c r="F25" i="4" s="1"/>
  <c r="R23" i="3"/>
  <c r="F26" i="4" s="1"/>
  <c r="R24" i="3"/>
  <c r="F27" i="4" s="1"/>
  <c r="R25" i="3"/>
  <c r="F28" i="4" s="1"/>
  <c r="R26" i="3"/>
  <c r="F29" i="4" s="1"/>
  <c r="R27" i="3"/>
  <c r="F30" i="4" s="1"/>
  <c r="R28" i="3"/>
  <c r="F31" i="4" s="1"/>
  <c r="R29" i="3"/>
  <c r="F32" i="4" s="1"/>
  <c r="R30" i="3"/>
  <c r="F33" i="4" s="1"/>
  <c r="R31" i="3"/>
  <c r="F34" i="4" s="1"/>
  <c r="R32" i="3"/>
  <c r="F35" i="4" s="1"/>
  <c r="R33" i="3"/>
  <c r="F36" i="4" s="1"/>
  <c r="R34" i="3"/>
  <c r="F37" i="4" s="1"/>
  <c r="R35" i="3"/>
  <c r="F38" i="4" s="1"/>
  <c r="P2" i="3"/>
  <c r="D5" i="4" s="1"/>
  <c r="P3" i="3"/>
  <c r="D6" i="4" s="1"/>
  <c r="P4" i="3"/>
  <c r="D7" i="4" s="1"/>
  <c r="P5" i="3"/>
  <c r="D8" i="4" s="1"/>
  <c r="P6" i="3"/>
  <c r="D9" i="4" s="1"/>
  <c r="P7" i="3"/>
  <c r="D10" i="4" s="1"/>
  <c r="P8" i="3"/>
  <c r="D11" i="4" s="1"/>
  <c r="P9" i="3"/>
  <c r="D12" i="4" s="1"/>
  <c r="P10" i="3"/>
  <c r="D13" i="4" s="1"/>
  <c r="P11" i="3"/>
  <c r="D14" i="4" s="1"/>
  <c r="P12" i="3"/>
  <c r="D15" i="4" s="1"/>
  <c r="P13" i="3"/>
  <c r="D16" i="4" s="1"/>
  <c r="P14" i="3"/>
  <c r="D17" i="4" s="1"/>
  <c r="P15" i="3"/>
  <c r="D18" i="4" s="1"/>
  <c r="P16" i="3"/>
  <c r="D19" i="4" s="1"/>
  <c r="P17" i="3"/>
  <c r="D20" i="4" s="1"/>
  <c r="P18" i="3"/>
  <c r="D21" i="4" s="1"/>
  <c r="P19" i="3"/>
  <c r="D22" i="4" s="1"/>
  <c r="P20" i="3"/>
  <c r="D23" i="4" s="1"/>
  <c r="P21" i="3"/>
  <c r="D24" i="4" s="1"/>
  <c r="P22" i="3"/>
  <c r="D25" i="4" s="1"/>
  <c r="P23" i="3"/>
  <c r="D26" i="4" s="1"/>
  <c r="P24" i="3"/>
  <c r="D27" i="4" s="1"/>
  <c r="P25" i="3"/>
  <c r="D28" i="4" s="1"/>
  <c r="P26" i="3"/>
  <c r="D29" i="4" s="1"/>
  <c r="P27" i="3"/>
  <c r="D30" i="4" s="1"/>
  <c r="P28" i="3"/>
  <c r="D31" i="4" s="1"/>
  <c r="P29" i="3"/>
  <c r="D32" i="4" s="1"/>
  <c r="P30" i="3"/>
  <c r="D33" i="4" s="1"/>
  <c r="P31" i="3"/>
  <c r="D34" i="4" s="1"/>
  <c r="P32" i="3"/>
  <c r="D35" i="4" s="1"/>
  <c r="P33" i="3"/>
  <c r="D36" i="4" s="1"/>
  <c r="P34" i="3"/>
  <c r="D37" i="4" s="1"/>
  <c r="P35" i="3"/>
  <c r="D38" i="4" s="1"/>
  <c r="O2" i="3"/>
  <c r="C5" i="4" s="1"/>
  <c r="O3" i="3"/>
  <c r="C6" i="4" s="1"/>
  <c r="P6" i="4" s="1"/>
  <c r="Q6" i="4" s="1"/>
  <c r="R6" i="4" s="1"/>
  <c r="O4" i="3"/>
  <c r="C7" i="4" s="1"/>
  <c r="P7" i="4" s="1"/>
  <c r="Q7" i="4" s="1"/>
  <c r="R7" i="4" s="1"/>
  <c r="O5" i="3"/>
  <c r="C8" i="4" s="1"/>
  <c r="P8" i="4" s="1"/>
  <c r="Q8" i="4" s="1"/>
  <c r="R8" i="4" s="1"/>
  <c r="O6" i="3"/>
  <c r="C9" i="4" s="1"/>
  <c r="P9" i="4" s="1"/>
  <c r="Q9" i="4" s="1"/>
  <c r="R9" i="4" s="1"/>
  <c r="O7" i="3"/>
  <c r="C10" i="4" s="1"/>
  <c r="P10" i="4" s="1"/>
  <c r="Q10" i="4" s="1"/>
  <c r="R10" i="4" s="1"/>
  <c r="O8" i="3"/>
  <c r="C11" i="4" s="1"/>
  <c r="P11" i="4" s="1"/>
  <c r="Q11" i="4" s="1"/>
  <c r="R11" i="4" s="1"/>
  <c r="O9" i="3"/>
  <c r="C12" i="4" s="1"/>
  <c r="O10" i="3"/>
  <c r="C13" i="4" s="1"/>
  <c r="P13" i="4" s="1"/>
  <c r="Q13" i="4" s="1"/>
  <c r="R13" i="4" s="1"/>
  <c r="O11" i="3"/>
  <c r="C14" i="4" s="1"/>
  <c r="P14" i="4" s="1"/>
  <c r="Q14" i="4" s="1"/>
  <c r="R14" i="4" s="1"/>
  <c r="O12" i="3"/>
  <c r="C15" i="4" s="1"/>
  <c r="O13" i="3"/>
  <c r="C16" i="4" s="1"/>
  <c r="P16" i="4" s="1"/>
  <c r="Q16" i="4" s="1"/>
  <c r="R16" i="4" s="1"/>
  <c r="O14" i="3"/>
  <c r="C17" i="4" s="1"/>
  <c r="P17" i="4" s="1"/>
  <c r="Q17" i="4" s="1"/>
  <c r="R17" i="4" s="1"/>
  <c r="O15" i="3"/>
  <c r="C18" i="4" s="1"/>
  <c r="P18" i="4" s="1"/>
  <c r="Q18" i="4" s="1"/>
  <c r="R18" i="4" s="1"/>
  <c r="O16" i="3"/>
  <c r="C19" i="4" s="1"/>
  <c r="P19" i="4" s="1"/>
  <c r="Q19" i="4" s="1"/>
  <c r="R19" i="4" s="1"/>
  <c r="O17" i="3"/>
  <c r="C20" i="4" s="1"/>
  <c r="O18" i="3"/>
  <c r="C21" i="4" s="1"/>
  <c r="P21" i="4" s="1"/>
  <c r="Q21" i="4" s="1"/>
  <c r="R21" i="4" s="1"/>
  <c r="O19" i="3"/>
  <c r="C22" i="4" s="1"/>
  <c r="P22" i="4" s="1"/>
  <c r="Q22" i="4" s="1"/>
  <c r="R22" i="4" s="1"/>
  <c r="O20" i="3"/>
  <c r="C23" i="4" s="1"/>
  <c r="P23" i="4" s="1"/>
  <c r="Q23" i="4" s="1"/>
  <c r="R23" i="4" s="1"/>
  <c r="O21" i="3"/>
  <c r="C24" i="4" s="1"/>
  <c r="O22" i="3"/>
  <c r="C25" i="4" s="1"/>
  <c r="P25" i="4" s="1"/>
  <c r="Q25" i="4" s="1"/>
  <c r="R25" i="4" s="1"/>
  <c r="O23" i="3"/>
  <c r="C26" i="4" s="1"/>
  <c r="O24" i="3"/>
  <c r="C27" i="4" s="1"/>
  <c r="P27" i="4" s="1"/>
  <c r="Q27" i="4" s="1"/>
  <c r="R27" i="4" s="1"/>
  <c r="O25" i="3"/>
  <c r="C28" i="4" s="1"/>
  <c r="P28" i="4" s="1"/>
  <c r="Q28" i="4" s="1"/>
  <c r="R28" i="4" s="1"/>
  <c r="O26" i="3"/>
  <c r="C29" i="4" s="1"/>
  <c r="P29" i="4" s="1"/>
  <c r="Q29" i="4" s="1"/>
  <c r="R29" i="4" s="1"/>
  <c r="O27" i="3"/>
  <c r="C30" i="4" s="1"/>
  <c r="O28" i="3"/>
  <c r="C31" i="4" s="1"/>
  <c r="P31" i="4" s="1"/>
  <c r="Q31" i="4" s="1"/>
  <c r="R31" i="4" s="1"/>
  <c r="O29" i="3"/>
  <c r="C32" i="4" s="1"/>
  <c r="P32" i="4" s="1"/>
  <c r="Q32" i="4" s="1"/>
  <c r="R32" i="4" s="1"/>
  <c r="O30" i="3"/>
  <c r="C33" i="4" s="1"/>
  <c r="O31" i="3"/>
  <c r="C34" i="4" s="1"/>
  <c r="P34" i="4" s="1"/>
  <c r="Q34" i="4" s="1"/>
  <c r="R34" i="4" s="1"/>
  <c r="O32" i="3"/>
  <c r="C35" i="4" s="1"/>
  <c r="P35" i="4" s="1"/>
  <c r="Q35" i="4" s="1"/>
  <c r="R35" i="4" s="1"/>
  <c r="O33" i="3"/>
  <c r="C36" i="4" s="1"/>
  <c r="O34" i="3"/>
  <c r="C37" i="4" s="1"/>
  <c r="P37" i="4" s="1"/>
  <c r="Q37" i="4" s="1"/>
  <c r="R37" i="4" s="1"/>
  <c r="O35" i="3"/>
  <c r="C38" i="4" s="1"/>
  <c r="P38" i="4" s="1"/>
  <c r="Q38" i="4" s="1"/>
  <c r="R38" i="4" s="1"/>
  <c r="S10" i="4" l="1"/>
  <c r="S17" i="4"/>
  <c r="S9" i="4"/>
  <c r="S16" i="4"/>
  <c r="S8" i="4"/>
  <c r="S38" i="4"/>
  <c r="S14" i="4"/>
  <c r="S32" i="4"/>
  <c r="S37" i="4"/>
  <c r="S13" i="4"/>
  <c r="S7" i="4"/>
  <c r="S23" i="4"/>
  <c r="S36" i="4"/>
  <c r="S28" i="4"/>
  <c r="S12" i="4"/>
  <c r="S35" i="4"/>
  <c r="S11" i="4"/>
  <c r="S33" i="4"/>
  <c r="S25" i="4"/>
  <c r="S26" i="4"/>
  <c r="C10" i="6"/>
  <c r="D10" i="6" s="1"/>
  <c r="E10" i="6" s="1"/>
  <c r="S19" i="4"/>
  <c r="S34" i="4"/>
  <c r="P15" i="4"/>
  <c r="Q15" i="4" s="1"/>
  <c r="R15" i="4" s="1"/>
  <c r="T13" i="4" s="1"/>
  <c r="S31" i="4"/>
  <c r="S15" i="4"/>
  <c r="P30" i="4"/>
  <c r="Q30" i="4" s="1"/>
  <c r="R30" i="4" s="1"/>
  <c r="T30" i="4" s="1"/>
  <c r="S22" i="4"/>
  <c r="S6" i="4"/>
  <c r="B12" i="6"/>
  <c r="S29" i="4"/>
  <c r="S21" i="4"/>
  <c r="S27" i="4"/>
  <c r="S18" i="4"/>
  <c r="P36" i="4"/>
  <c r="Q36" i="4" s="1"/>
  <c r="R36" i="4" s="1"/>
  <c r="P12" i="4"/>
  <c r="Q12" i="4" s="1"/>
  <c r="R12" i="4" s="1"/>
  <c r="T10" i="4" s="1"/>
  <c r="B9" i="6"/>
  <c r="B4" i="6"/>
  <c r="C9" i="6"/>
  <c r="D9" i="6" s="1"/>
  <c r="E9" i="6" s="1"/>
  <c r="C2" i="6"/>
  <c r="P7" i="8"/>
  <c r="Q7" i="8" s="1"/>
  <c r="R7" i="8" s="1"/>
  <c r="P6" i="8"/>
  <c r="Q6" i="8" s="1"/>
  <c r="R6" i="8" s="1"/>
  <c r="P5" i="8"/>
  <c r="Q5" i="8" s="1"/>
  <c r="R5" i="8" s="1"/>
  <c r="B8" i="8"/>
  <c r="A9" i="6"/>
  <c r="A8" i="6"/>
  <c r="A7" i="6"/>
  <c r="A6" i="6"/>
  <c r="A5" i="6"/>
  <c r="A12" i="6"/>
  <c r="A4" i="6"/>
  <c r="A11" i="6"/>
  <c r="A3" i="6"/>
  <c r="A10" i="6"/>
  <c r="B8" i="6"/>
  <c r="B7" i="6"/>
  <c r="B6" i="6"/>
  <c r="B5" i="6"/>
  <c r="B11" i="6"/>
  <c r="B3" i="6"/>
  <c r="B10" i="6"/>
  <c r="C8" i="6"/>
  <c r="D8" i="6" s="1"/>
  <c r="E8" i="6" s="1"/>
  <c r="C7" i="6"/>
  <c r="D7" i="6" s="1"/>
  <c r="E7" i="6" s="1"/>
  <c r="C6" i="6"/>
  <c r="D6" i="6" s="1"/>
  <c r="E6" i="6" s="1"/>
  <c r="C5" i="6"/>
  <c r="D5" i="6" s="1"/>
  <c r="E5" i="6" s="1"/>
  <c r="C12" i="6"/>
  <c r="D12" i="6" s="1"/>
  <c r="E12" i="6" s="1"/>
  <c r="C4" i="6"/>
  <c r="D4" i="6" s="1"/>
  <c r="E4" i="6" s="1"/>
  <c r="C11" i="6"/>
  <c r="D11" i="6" s="1"/>
  <c r="E11" i="6" s="1"/>
  <c r="E5" i="4"/>
  <c r="P5" i="4" s="1"/>
  <c r="Q5" i="4" s="1"/>
  <c r="R5" i="4" s="1"/>
  <c r="S5" i="4" s="1"/>
  <c r="T7" i="4" l="1"/>
  <c r="T22" i="4"/>
  <c r="T23" i="4"/>
  <c r="T26" i="4"/>
  <c r="T25" i="4"/>
  <c r="T24" i="4"/>
  <c r="T32" i="4"/>
  <c r="T8" i="4"/>
  <c r="T33" i="4"/>
  <c r="T28" i="4"/>
  <c r="T21" i="4"/>
  <c r="T9" i="4"/>
  <c r="T18" i="4"/>
  <c r="T14" i="4"/>
  <c r="T31" i="4"/>
  <c r="T20" i="4"/>
  <c r="T11" i="4"/>
  <c r="T29" i="4"/>
  <c r="T34" i="4"/>
  <c r="T35" i="4"/>
  <c r="T38" i="4"/>
  <c r="T16" i="4"/>
  <c r="T15" i="4"/>
  <c r="T12" i="4"/>
  <c r="T36" i="4"/>
  <c r="S30" i="4"/>
  <c r="T19" i="4"/>
  <c r="T37" i="4"/>
  <c r="T6" i="4"/>
  <c r="T17" i="4"/>
  <c r="T27" i="4"/>
  <c r="B9" i="8"/>
  <c r="P8" i="8"/>
  <c r="Q8" i="8" s="1"/>
  <c r="R8" i="8" s="1"/>
  <c r="P9" i="8" l="1"/>
  <c r="Q9" i="8" s="1"/>
  <c r="R9" i="8" s="1"/>
  <c r="B10" i="8"/>
  <c r="P10" i="8" l="1"/>
  <c r="Q10" i="8" s="1"/>
  <c r="R10" i="8" s="1"/>
  <c r="B11" i="8"/>
  <c r="P11" i="8" l="1"/>
  <c r="Q11" i="8" s="1"/>
  <c r="R11" i="8" s="1"/>
  <c r="B12" i="8"/>
  <c r="P12" i="8" l="1"/>
  <c r="Q12" i="8" s="1"/>
  <c r="R12" i="8" s="1"/>
  <c r="B13" i="8"/>
  <c r="B14" i="8" l="1"/>
  <c r="P13" i="8"/>
  <c r="Q13" i="8" s="1"/>
  <c r="R13" i="8" s="1"/>
  <c r="P14" i="8" l="1"/>
  <c r="Q14" i="8" s="1"/>
  <c r="R14" i="8" s="1"/>
  <c r="B15" i="8"/>
  <c r="P15" i="8" l="1"/>
  <c r="Q15" i="8" s="1"/>
  <c r="R15" i="8" s="1"/>
  <c r="B16" i="8"/>
  <c r="B17" i="8" l="1"/>
  <c r="P16" i="8"/>
  <c r="Q16" i="8" s="1"/>
  <c r="R16" i="8" s="1"/>
  <c r="P17" i="8" l="1"/>
  <c r="Q17" i="8" s="1"/>
  <c r="R17" i="8" s="1"/>
  <c r="B18" i="8"/>
  <c r="P18" i="8" l="1"/>
  <c r="Q18" i="8" s="1"/>
  <c r="R18" i="8" s="1"/>
  <c r="B19" i="8"/>
  <c r="P19" i="8" l="1"/>
  <c r="Q19" i="8" s="1"/>
  <c r="R19" i="8" s="1"/>
  <c r="B20" i="8"/>
  <c r="P20" i="8" l="1"/>
  <c r="Q20" i="8" s="1"/>
  <c r="R20" i="8" s="1"/>
  <c r="B21" i="8"/>
  <c r="B22" i="8" l="1"/>
  <c r="P21" i="8"/>
  <c r="Q21" i="8" s="1"/>
  <c r="R21" i="8" s="1"/>
  <c r="P22" i="8" l="1"/>
  <c r="Q22" i="8" s="1"/>
  <c r="R22" i="8" s="1"/>
  <c r="B23" i="8"/>
  <c r="P23" i="8" l="1"/>
  <c r="Q23" i="8" s="1"/>
  <c r="R23" i="8" s="1"/>
  <c r="B24" i="8"/>
  <c r="B25" i="8" l="1"/>
  <c r="P24" i="8"/>
  <c r="Q24" i="8" s="1"/>
  <c r="R24" i="8" s="1"/>
  <c r="P25" i="8" l="1"/>
  <c r="Q25" i="8" s="1"/>
  <c r="R25" i="8" s="1"/>
  <c r="B26" i="8"/>
  <c r="P26" i="8" l="1"/>
  <c r="Q26" i="8" s="1"/>
  <c r="R26" i="8" s="1"/>
  <c r="B27" i="8"/>
  <c r="P27" i="8" l="1"/>
  <c r="Q27" i="8" s="1"/>
  <c r="R27" i="8" s="1"/>
  <c r="B28" i="8"/>
  <c r="P28" i="8" l="1"/>
  <c r="Q28" i="8" s="1"/>
  <c r="R28" i="8" s="1"/>
  <c r="S28" i="8" l="1"/>
  <c r="S5" i="8" l="1"/>
  <c r="S7" i="8"/>
  <c r="S6" i="8"/>
  <c r="S8" i="8"/>
  <c r="S9" i="8"/>
  <c r="S10" i="8"/>
  <c r="S11" i="8"/>
  <c r="S12" i="8"/>
  <c r="S13" i="8"/>
  <c r="S16" i="8"/>
  <c r="S14" i="8"/>
  <c r="S15" i="8"/>
  <c r="S17" i="8"/>
  <c r="S18" i="8"/>
  <c r="S19" i="8"/>
  <c r="S22" i="8"/>
  <c r="S21" i="8"/>
  <c r="S20" i="8"/>
  <c r="S24" i="8"/>
  <c r="S23" i="8"/>
  <c r="S25" i="8"/>
  <c r="S26" i="8"/>
  <c r="S27" i="8"/>
  <c r="G35" i="7" l="1"/>
  <c r="F28" i="7"/>
  <c r="F36" i="7"/>
  <c r="G34" i="7"/>
  <c r="F29" i="7"/>
  <c r="F37" i="7"/>
  <c r="G33" i="7"/>
  <c r="F30" i="7"/>
  <c r="F38" i="7"/>
  <c r="H38" i="7" s="1"/>
  <c r="G32" i="7"/>
  <c r="F31" i="7"/>
  <c r="H31" i="7" s="1"/>
  <c r="G31" i="7"/>
  <c r="F32" i="7"/>
  <c r="G38" i="7"/>
  <c r="G30" i="7"/>
  <c r="F33" i="7"/>
  <c r="G36" i="7"/>
  <c r="F35" i="7"/>
  <c r="G37" i="7"/>
  <c r="G29" i="7"/>
  <c r="F34" i="7"/>
  <c r="H34" i="7" s="1"/>
  <c r="G28" i="7"/>
  <c r="T5" i="4"/>
  <c r="S2" i="4"/>
  <c r="H35" i="7" l="1"/>
  <c r="H33" i="7"/>
  <c r="H30" i="7"/>
  <c r="H32" i="7"/>
  <c r="K32" i="7" s="1"/>
  <c r="H29" i="7"/>
  <c r="K29" i="7" s="1"/>
  <c r="K33" i="7"/>
  <c r="K30" i="7"/>
  <c r="G39" i="7"/>
  <c r="K38" i="7"/>
  <c r="H37" i="7"/>
  <c r="K31" i="7"/>
  <c r="K34" i="7"/>
  <c r="H36" i="7"/>
  <c r="K36" i="7" s="1"/>
  <c r="H28" i="7"/>
  <c r="L33" i="7" s="1"/>
  <c r="F39" i="7"/>
  <c r="K35" i="7"/>
  <c r="G17" i="7"/>
  <c r="G9" i="7"/>
  <c r="F12" i="7"/>
  <c r="F11" i="7"/>
  <c r="G16" i="7"/>
  <c r="G8" i="7"/>
  <c r="F13" i="7"/>
  <c r="G15" i="7"/>
  <c r="G7" i="7"/>
  <c r="F14" i="7"/>
  <c r="H14" i="7" s="1"/>
  <c r="G14" i="7"/>
  <c r="F7" i="7"/>
  <c r="F15" i="7"/>
  <c r="G13" i="7"/>
  <c r="F8" i="7"/>
  <c r="F16" i="7"/>
  <c r="G12" i="7"/>
  <c r="F9" i="7"/>
  <c r="H9" i="7" s="1"/>
  <c r="F17" i="7"/>
  <c r="H17" i="7" s="1"/>
  <c r="G11" i="7"/>
  <c r="F10" i="7"/>
  <c r="G10" i="7"/>
  <c r="H10" i="7" l="1"/>
  <c r="H8" i="7"/>
  <c r="K8" i="7" s="1"/>
  <c r="L38" i="7"/>
  <c r="L29" i="7"/>
  <c r="K28" i="7"/>
  <c r="N33" i="7"/>
  <c r="Q33" i="7" s="1"/>
  <c r="N32" i="7"/>
  <c r="Q32" i="7" s="1"/>
  <c r="N31" i="7"/>
  <c r="Q31" i="7" s="1"/>
  <c r="N38" i="7"/>
  <c r="Q38" i="7" s="1"/>
  <c r="N30" i="7"/>
  <c r="Q30" i="7" s="1"/>
  <c r="N37" i="7"/>
  <c r="Q37" i="7" s="1"/>
  <c r="N29" i="7"/>
  <c r="Q29" i="7" s="1"/>
  <c r="N36" i="7"/>
  <c r="Q36" i="7" s="1"/>
  <c r="N28" i="7"/>
  <c r="Q28" i="7" s="1"/>
  <c r="N35" i="7"/>
  <c r="Q35" i="7" s="1"/>
  <c r="N34" i="7"/>
  <c r="Q34" i="7" s="1"/>
  <c r="L37" i="7"/>
  <c r="M36" i="7"/>
  <c r="M28" i="7"/>
  <c r="M35" i="7"/>
  <c r="M34" i="7"/>
  <c r="M33" i="7"/>
  <c r="M32" i="7"/>
  <c r="M31" i="7"/>
  <c r="M37" i="7"/>
  <c r="M38" i="7"/>
  <c r="M30" i="7"/>
  <c r="H39" i="7"/>
  <c r="I37" i="7" s="1"/>
  <c r="M29" i="7"/>
  <c r="L32" i="7"/>
  <c r="L30" i="7"/>
  <c r="L34" i="7"/>
  <c r="L31" i="7"/>
  <c r="H16" i="7"/>
  <c r="K16" i="7" s="1"/>
  <c r="L35" i="7"/>
  <c r="K37" i="7"/>
  <c r="L28" i="7"/>
  <c r="I36" i="7"/>
  <c r="L36" i="7"/>
  <c r="H13" i="7"/>
  <c r="K13" i="7" s="1"/>
  <c r="K10" i="7"/>
  <c r="H15" i="7"/>
  <c r="H7" i="7"/>
  <c r="L9" i="7" s="1"/>
  <c r="F18" i="7"/>
  <c r="M15" i="7" s="1"/>
  <c r="M9" i="7"/>
  <c r="M12" i="7"/>
  <c r="H11" i="7"/>
  <c r="K11" i="7" s="1"/>
  <c r="K14" i="7"/>
  <c r="H12" i="7"/>
  <c r="K12" i="7" s="1"/>
  <c r="K9" i="7"/>
  <c r="G18" i="7"/>
  <c r="N14" i="7" s="1"/>
  <c r="Q14" i="7" s="1"/>
  <c r="N15" i="7"/>
  <c r="Q15" i="7" s="1"/>
  <c r="K17" i="7"/>
  <c r="M17" i="7" l="1"/>
  <c r="M11" i="7"/>
  <c r="K39" i="7"/>
  <c r="N17" i="7"/>
  <c r="Q17" i="7" s="1"/>
  <c r="O38" i="7"/>
  <c r="P38" i="7"/>
  <c r="R38" i="7" s="1"/>
  <c r="O36" i="7"/>
  <c r="P36" i="7"/>
  <c r="O30" i="7"/>
  <c r="P30" i="7"/>
  <c r="N12" i="7"/>
  <c r="Q12" i="7" s="1"/>
  <c r="P37" i="7"/>
  <c r="O37" i="7"/>
  <c r="P28" i="7"/>
  <c r="O28" i="7"/>
  <c r="P32" i="7"/>
  <c r="O32" i="7"/>
  <c r="P31" i="7"/>
  <c r="O31" i="7"/>
  <c r="N11" i="7"/>
  <c r="Q11" i="7" s="1"/>
  <c r="M14" i="7"/>
  <c r="O14" i="7" s="1"/>
  <c r="O33" i="7"/>
  <c r="P33" i="7"/>
  <c r="N10" i="7"/>
  <c r="Q10" i="7" s="1"/>
  <c r="M10" i="7"/>
  <c r="P10" i="7" s="1"/>
  <c r="P29" i="7"/>
  <c r="R29" i="7" s="1"/>
  <c r="O29" i="7"/>
  <c r="O34" i="7"/>
  <c r="P34" i="7"/>
  <c r="N8" i="7"/>
  <c r="Q8" i="7" s="1"/>
  <c r="N9" i="7"/>
  <c r="Q9" i="7" s="1"/>
  <c r="J28" i="7"/>
  <c r="J29" i="7"/>
  <c r="J30" i="7"/>
  <c r="J38" i="7"/>
  <c r="J32" i="7"/>
  <c r="J34" i="7"/>
  <c r="J35" i="7"/>
  <c r="J33" i="7"/>
  <c r="J36" i="7"/>
  <c r="J37" i="7"/>
  <c r="I33" i="7"/>
  <c r="I38" i="7"/>
  <c r="I30" i="7"/>
  <c r="I32" i="7"/>
  <c r="J31" i="7"/>
  <c r="I29" i="7"/>
  <c r="I35" i="7"/>
  <c r="I34" i="7"/>
  <c r="I31" i="7"/>
  <c r="O35" i="7"/>
  <c r="P35" i="7"/>
  <c r="I28" i="7"/>
  <c r="K7" i="7"/>
  <c r="L15" i="7"/>
  <c r="L13" i="7"/>
  <c r="L8" i="7"/>
  <c r="L12" i="7"/>
  <c r="L7" i="7"/>
  <c r="N13" i="7"/>
  <c r="Q13" i="7" s="1"/>
  <c r="L14" i="7"/>
  <c r="L10" i="7"/>
  <c r="N16" i="7"/>
  <c r="Q16" i="7" s="1"/>
  <c r="L16" i="7"/>
  <c r="H18" i="7"/>
  <c r="J11" i="7" s="1"/>
  <c r="P17" i="7"/>
  <c r="R17" i="7" s="1"/>
  <c r="O17" i="7"/>
  <c r="P15" i="7"/>
  <c r="O15" i="7"/>
  <c r="P11" i="7"/>
  <c r="P12" i="7"/>
  <c r="O9" i="7"/>
  <c r="P9" i="7"/>
  <c r="M13" i="7"/>
  <c r="J9" i="7"/>
  <c r="M8" i="7"/>
  <c r="N7" i="7"/>
  <c r="Q7" i="7" s="1"/>
  <c r="I17" i="7"/>
  <c r="M16" i="7"/>
  <c r="L11" i="7"/>
  <c r="L17" i="7"/>
  <c r="M7" i="7"/>
  <c r="K15" i="7"/>
  <c r="R34" i="7" l="1"/>
  <c r="R31" i="7"/>
  <c r="R10" i="7"/>
  <c r="R35" i="7"/>
  <c r="R37" i="7"/>
  <c r="O12" i="7"/>
  <c r="I16" i="7"/>
  <c r="J15" i="7"/>
  <c r="J12" i="7"/>
  <c r="J14" i="7"/>
  <c r="K18" i="7"/>
  <c r="J16" i="7"/>
  <c r="J10" i="7"/>
  <c r="P14" i="7"/>
  <c r="R14" i="7" s="1"/>
  <c r="J17" i="7"/>
  <c r="I7" i="7"/>
  <c r="R30" i="7"/>
  <c r="I15" i="7"/>
  <c r="J13" i="7"/>
  <c r="I12" i="7"/>
  <c r="R32" i="7"/>
  <c r="R36" i="7"/>
  <c r="I13" i="7"/>
  <c r="J8" i="7"/>
  <c r="O10" i="7"/>
  <c r="O11" i="7"/>
  <c r="R33" i="7"/>
  <c r="U38" i="7"/>
  <c r="I11" i="7"/>
  <c r="R28" i="7"/>
  <c r="I8" i="7"/>
  <c r="I14" i="7"/>
  <c r="I9" i="7"/>
  <c r="R11" i="7"/>
  <c r="J7" i="7"/>
  <c r="I10" i="7"/>
  <c r="P8" i="7"/>
  <c r="R8" i="7" s="1"/>
  <c r="O8" i="7"/>
  <c r="P7" i="7"/>
  <c r="O7" i="7"/>
  <c r="R9" i="7"/>
  <c r="O16" i="7"/>
  <c r="P16" i="7"/>
  <c r="R16" i="7" s="1"/>
  <c r="O13" i="7"/>
  <c r="P13" i="7"/>
  <c r="U36" i="7" l="1"/>
  <c r="U37" i="7" s="1"/>
  <c r="R7" i="7"/>
  <c r="R15" i="7"/>
  <c r="R12" i="7"/>
  <c r="R13" i="7"/>
  <c r="U16" i="7"/>
  <c r="U17" i="7" s="1"/>
  <c r="U14" i="7" l="1"/>
  <c r="U15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SPARTA-USER</author>
  </authors>
  <commentList>
    <comment ref="T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Double click cell T5 only after maximizing cell S2 using Solver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SPARTA-USER</author>
  </authors>
  <commentList>
    <comment ref="C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Effect of predictors on logarithmic traansformation of odds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Transform effect of predictors in terms of log of odds back to effect in terms of raw form of the odds</t>
        </r>
      </text>
    </comment>
  </commentList>
</comments>
</file>

<file path=xl/sharedStrings.xml><?xml version="1.0" encoding="utf-8"?>
<sst xmlns="http://schemas.openxmlformats.org/spreadsheetml/2006/main" count="415" uniqueCount="133">
  <si>
    <t>Firm</t>
  </si>
  <si>
    <t>SALES</t>
  </si>
  <si>
    <t>ROCE</t>
  </si>
  <si>
    <t>FFTL</t>
  </si>
  <si>
    <t>GEAR</t>
  </si>
  <si>
    <t>CLTA</t>
  </si>
  <si>
    <t>CACL</t>
  </si>
  <si>
    <t>QACL</t>
  </si>
  <si>
    <t>WCTA</t>
  </si>
  <si>
    <t>AGE</t>
  </si>
  <si>
    <t>CHAUD</t>
  </si>
  <si>
    <t>BIG6</t>
  </si>
  <si>
    <t>FAIL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</si>
  <si>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</si>
  <si>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</si>
  <si>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</si>
  <si>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</si>
  <si>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</si>
  <si>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</si>
  <si>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</si>
  <si>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</si>
  <si>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</si>
  <si>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</si>
  <si>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</si>
  <si>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</si>
  <si>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</si>
  <si>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</si>
  <si>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</si>
  <si>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</si>
  <si>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</si>
  <si>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</si>
  <si>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</si>
  <si>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</si>
  <si>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</si>
  <si>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</si>
  <si>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</si>
  <si>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</si>
  <si>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</si>
  <si>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</si>
  <si>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</si>
  <si>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</si>
  <si>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</si>
  <si>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</si>
  <si>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</si>
  <si>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</si>
  <si>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</si>
  <si>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</si>
  <si>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</si>
  <si>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</si>
  <si>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</si>
  <si>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</si>
  <si>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</si>
  <si>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</si>
  <si>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</si>
  <si>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</si>
  <si>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</si>
  <si>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</si>
  <si>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</si>
  <si>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</si>
  <si>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</si>
  <si>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</si>
  <si>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</si>
  <si>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</si>
  <si>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</si>
  <si>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</si>
  <si>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</si>
  <si>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</si>
  <si>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</si>
  <si>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</si>
  <si>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</si>
  <si>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</si>
  <si>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SAMPLE</t>
  </si>
  <si>
    <t>Training</t>
  </si>
  <si>
    <t>Test</t>
  </si>
  <si>
    <t>STD_SALES</t>
  </si>
  <si>
    <t>STD_ROCE</t>
  </si>
  <si>
    <t>STD_FFTL</t>
  </si>
  <si>
    <t>STD_GEAR</t>
  </si>
  <si>
    <t>STD_CLTA</t>
  </si>
  <si>
    <t>STD_CACL</t>
  </si>
  <si>
    <t>STD_QACL</t>
  </si>
  <si>
    <t>STD_WCTA</t>
  </si>
  <si>
    <t>STD_AGE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</si>
  <si>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</si>
  <si>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</si>
  <si>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</si>
  <si>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</si>
  <si>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</si>
  <si>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</si>
  <si>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</si>
  <si>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</si>
  <si>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</si>
  <si>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</si>
  <si>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</si>
  <si>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Intercept</t>
  </si>
  <si>
    <t>Fail</t>
  </si>
  <si>
    <t>Log Odds</t>
  </si>
  <si>
    <t>Odds</t>
  </si>
  <si>
    <t>Prob</t>
  </si>
  <si>
    <t>Log Likelihood</t>
  </si>
  <si>
    <t>P_Group</t>
  </si>
  <si>
    <t>Coefficients</t>
  </si>
  <si>
    <t>Variables</t>
  </si>
  <si>
    <t>Estimates</t>
  </si>
  <si>
    <t>Odds Ratio</t>
  </si>
  <si>
    <t>Interpretation</t>
  </si>
  <si>
    <t>Training Data</t>
  </si>
  <si>
    <t>----- Probability Ranges-----</t>
  </si>
  <si>
    <t>Row Labels</t>
  </si>
  <si>
    <t>Grand Total</t>
  </si>
  <si>
    <t>Min of Prob</t>
  </si>
  <si>
    <t>Max of Prob2</t>
  </si>
  <si>
    <t>Count of Firm</t>
  </si>
  <si>
    <t>Decile</t>
  </si>
  <si>
    <t>% to Total</t>
  </si>
  <si>
    <t>Marginal</t>
  </si>
  <si>
    <t>Cumulative</t>
  </si>
  <si>
    <t>Cum % by Decile</t>
  </si>
  <si>
    <t>Spread</t>
  </si>
  <si>
    <t>1-Specificity</t>
  </si>
  <si>
    <t>False Positive Rate</t>
  </si>
  <si>
    <t>Sensitivity</t>
  </si>
  <si>
    <t>True Positive Rate</t>
  </si>
  <si>
    <t>Area under the Curve</t>
  </si>
  <si>
    <t>(AUC)</t>
  </si>
  <si>
    <t>Bankruptcy Rate</t>
  </si>
  <si>
    <t>AUC</t>
  </si>
  <si>
    <t>Gini</t>
  </si>
  <si>
    <t>KS</t>
  </si>
  <si>
    <t>Optimal Cutoff</t>
  </si>
  <si>
    <t>Test Data</t>
  </si>
  <si>
    <t>Non-Bankrupt</t>
  </si>
  <si>
    <t>Bankrupt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</si>
</sst>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0.00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u/>
      <sz val="11"/>
      <color theme="1"/>
      <name val="Century Gothic"/>
      <family val="2"/>
    </font>
    <font>
      <b/>
      <sz val="12"/>
      <name val="Century Gothic"/>
      <family val="2"/>
    </font>
    <font>
      <sz val="12"/>
      <name val="Century Gothic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rgb="FF99FF99"/>
        <bgColor theme="0" tint="-4.9989318521683403E-2"/>
      </patternFill>
    </fill>
    <fill>
      <patternFill patternType="solid">
        <fgColor theme="8" tint="0.59999389629810485"/>
        <bgColor theme="0" tint="-4.9989318521683403E-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thin">
        <color theme="0" tint="-0.14996795556505021"/>
      </bottom>
      <diagonal/>
    </border>
    <border>
      <left/>
      <right/>
      <top style="thick">
        <color auto="1"/>
      </top>
      <bottom style="thin">
        <color theme="0" tint="-0.14996795556505021"/>
      </bottom>
      <diagonal/>
    </border>
    <border>
      <left/>
      <right style="thick">
        <color auto="1"/>
      </right>
      <top style="thick">
        <color auto="1"/>
      </top>
      <bottom style="thin">
        <color theme="0" tint="-0.14996795556505021"/>
      </bottom>
      <diagonal/>
    </border>
    <border>
      <left style="thick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/>
      <top style="thin">
        <color theme="0" tint="-0.14996795556505021"/>
      </top>
      <bottom style="thick">
        <color auto="1"/>
      </bottom>
      <diagonal/>
    </border>
    <border>
      <left/>
      <right/>
      <top style="thin">
        <color theme="0" tint="-0.14996795556505021"/>
      </top>
      <bottom style="thick">
        <color auto="1"/>
      </bottom>
      <diagonal/>
    </border>
    <border>
      <left/>
      <right style="thick">
        <color auto="1"/>
      </right>
      <top style="thin">
        <color theme="0" tint="-0.14996795556505021"/>
      </top>
      <bottom style="thick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0" fillId="36" borderId="0" xfId="0" applyFill="1"/>
    <xf numFmtId="0" fontId="16" fillId="35" borderId="0" xfId="0" applyFont="1" applyFill="1"/>
    <xf numFmtId="0" fontId="16" fillId="37" borderId="0" xfId="0" applyFont="1" applyFill="1"/>
    <xf numFmtId="0" fontId="20" fillId="36" borderId="0" xfId="0" applyFont="1" applyFill="1"/>
    <xf numFmtId="0" fontId="20" fillId="36" borderId="13" xfId="0" applyFont="1" applyFill="1" applyBorder="1" applyAlignment="1">
      <alignment vertical="center" wrapText="1"/>
    </xf>
    <xf numFmtId="0" fontId="20" fillId="36" borderId="14" xfId="0" applyFont="1" applyFill="1" applyBorder="1" applyAlignment="1">
      <alignment vertical="center" wrapText="1"/>
    </xf>
    <xf numFmtId="164" fontId="20" fillId="36" borderId="14" xfId="1" applyNumberFormat="1" applyFont="1" applyFill="1" applyBorder="1" applyAlignment="1">
      <alignment vertical="center" wrapText="1"/>
    </xf>
    <xf numFmtId="0" fontId="20" fillId="36" borderId="15" xfId="0" applyFont="1" applyFill="1" applyBorder="1" applyAlignment="1">
      <alignment vertical="center" wrapText="1"/>
    </xf>
    <xf numFmtId="0" fontId="20" fillId="36" borderId="16" xfId="0" applyFont="1" applyFill="1" applyBorder="1" applyAlignment="1">
      <alignment vertical="center" wrapText="1"/>
    </xf>
    <xf numFmtId="0" fontId="20" fillId="36" borderId="17" xfId="0" applyFont="1" applyFill="1" applyBorder="1" applyAlignment="1">
      <alignment vertical="center" wrapText="1"/>
    </xf>
    <xf numFmtId="164" fontId="20" fillId="36" borderId="17" xfId="1" applyNumberFormat="1" applyFont="1" applyFill="1" applyBorder="1" applyAlignment="1">
      <alignment vertical="center" wrapText="1"/>
    </xf>
    <xf numFmtId="0" fontId="20" fillId="36" borderId="18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16" fillId="38" borderId="0" xfId="0" applyFont="1" applyFill="1"/>
    <xf numFmtId="0" fontId="22" fillId="36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17" fillId="33" borderId="0" xfId="0" applyFont="1" applyFill="1" applyBorder="1"/>
    <xf numFmtId="0" fontId="17" fillId="33" borderId="0" xfId="0" applyFont="1" applyFill="1" applyBorder="1" applyAlignment="1">
      <alignment horizontal="left"/>
    </xf>
    <xf numFmtId="0" fontId="0" fillId="39" borderId="19" xfId="0" applyFont="1" applyFill="1" applyBorder="1" applyAlignment="1">
      <alignment horizontal="left"/>
    </xf>
    <xf numFmtId="0" fontId="0" fillId="39" borderId="19" xfId="0" applyNumberFormat="1" applyFont="1" applyFill="1" applyBorder="1"/>
    <xf numFmtId="0" fontId="17" fillId="33" borderId="0" xfId="0" applyNumberFormat="1" applyFont="1" applyFill="1" applyBorder="1"/>
    <xf numFmtId="0" fontId="13" fillId="33" borderId="0" xfId="0" applyFont="1" applyFill="1" applyBorder="1" applyAlignment="1">
      <alignment horizontal="center"/>
    </xf>
    <xf numFmtId="0" fontId="17" fillId="33" borderId="0" xfId="0" applyFont="1" applyFill="1" applyBorder="1" applyAlignment="1">
      <alignment horizontal="center"/>
    </xf>
    <xf numFmtId="9" fontId="0" fillId="39" borderId="19" xfId="2" applyFont="1" applyFill="1" applyBorder="1"/>
    <xf numFmtId="10" fontId="0" fillId="39" borderId="19" xfId="2" applyNumberFormat="1" applyFont="1" applyFill="1" applyBorder="1"/>
    <xf numFmtId="9" fontId="17" fillId="33" borderId="0" xfId="2" applyFont="1" applyFill="1" applyBorder="1"/>
    <xf numFmtId="10" fontId="17" fillId="33" borderId="0" xfId="2" applyNumberFormat="1" applyFont="1" applyFill="1" applyBorder="1"/>
    <xf numFmtId="9" fontId="0" fillId="39" borderId="19" xfId="0" applyNumberFormat="1" applyFont="1" applyFill="1" applyBorder="1"/>
    <xf numFmtId="0" fontId="23" fillId="36" borderId="0" xfId="0" applyFont="1" applyFill="1"/>
    <xf numFmtId="10" fontId="24" fillId="36" borderId="0" xfId="0" applyNumberFormat="1" applyFont="1" applyFill="1"/>
    <xf numFmtId="10" fontId="24" fillId="36" borderId="0" xfId="2" applyNumberFormat="1" applyFont="1" applyFill="1"/>
    <xf numFmtId="0" fontId="13" fillId="33" borderId="0" xfId="0" applyFont="1" applyFill="1" applyBorder="1" applyAlignment="1">
      <alignment horizontal="center"/>
    </xf>
    <xf numFmtId="0" fontId="23" fillId="36" borderId="0" xfId="0" quotePrefix="1" applyFont="1" applyFill="1" applyAlignment="1">
      <alignment horizontal="center"/>
    </xf>
    <xf numFmtId="0" fontId="23" fillId="36" borderId="0" xfId="0" applyFont="1" applyFill="1" applyAlignment="1">
      <alignment horizontal="center"/>
    </xf>
    <xf numFmtId="0" fontId="0" fillId="40" borderId="19" xfId="0" applyFont="1" applyFill="1" applyBorder="1" applyAlignment="1">
      <alignment horizontal="left"/>
    </xf>
    <xf numFmtId="0" fontId="0" fillId="40" borderId="19" xfId="0" applyNumberFormat="1" applyFont="1" applyFill="1" applyBorder="1"/>
    <xf numFmtId="9" fontId="0" fillId="40" borderId="19" xfId="2" applyFont="1" applyFill="1" applyBorder="1"/>
    <xf numFmtId="10" fontId="0" fillId="40" borderId="19" xfId="2" applyNumberFormat="1" applyFont="1" applyFill="1" applyBorder="1"/>
    <xf numFmtId="0" fontId="0" fillId="41" borderId="19" xfId="0" applyFont="1" applyFill="1" applyBorder="1" applyAlignment="1">
      <alignment horizontal="left"/>
    </xf>
    <xf numFmtId="0" fontId="0" fillId="41" borderId="19" xfId="0" applyNumberFormat="1" applyFont="1" applyFill="1" applyBorder="1"/>
    <xf numFmtId="9" fontId="0" fillId="41" borderId="19" xfId="2" applyFont="1" applyFill="1" applyBorder="1"/>
    <xf numFmtId="10" fontId="0" fillId="41" borderId="19" xfId="2" applyNumberFormat="1" applyFont="1" applyFill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31">
    <dxf>
      <numFmt numFmtId="165" formatCode="0.000%"/>
    </dxf>
    <dxf>
      <numFmt numFmtId="14" formatCode="0.00%"/>
    </dxf>
    <dxf>
      <numFmt numFmtId="166" formatCode="0.0%"/>
    </dxf>
    <dxf>
      <numFmt numFmtId="13" formatCode="0%"/>
    </dxf>
    <dxf>
      <numFmt numFmtId="165" formatCode="0.000%"/>
    </dxf>
    <dxf>
      <numFmt numFmtId="14" formatCode="0.00%"/>
    </dxf>
    <dxf>
      <numFmt numFmtId="166" formatCode="0.0%"/>
    </dxf>
    <dxf>
      <numFmt numFmtId="13" formatCode="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99FF99"/>
      <color rgb="FF66FF66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PH"/>
              <a:t>KS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Non-bankrupt (Training)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Validation!$E$7:$E$17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Validation!$M$7:$M$17</c:f>
              <c:numCache>
                <c:formatCode>0%</c:formatCode>
                <c:ptCount val="11"/>
                <c:pt idx="0">
                  <c:v>0</c:v>
                </c:pt>
                <c:pt idx="1">
                  <c:v>0.21052631578947367</c:v>
                </c:pt>
                <c:pt idx="2">
                  <c:v>0.36842105263157893</c:v>
                </c:pt>
                <c:pt idx="3">
                  <c:v>0.52631578947368418</c:v>
                </c:pt>
                <c:pt idx="4">
                  <c:v>0.73684210526315785</c:v>
                </c:pt>
                <c:pt idx="5">
                  <c:v>0.84210526315789469</c:v>
                </c:pt>
                <c:pt idx="6">
                  <c:v>0.89473684210526316</c:v>
                </c:pt>
                <c:pt idx="7">
                  <c:v>0.94736842105263153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CC-4D6D-9B14-CEC68AA19257}"/>
            </c:ext>
          </c:extLst>
        </c:ser>
        <c:ser>
          <c:idx val="1"/>
          <c:order val="1"/>
          <c:tx>
            <c:v>Bankrupt (Training)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Validation!$E$7:$E$17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Validation!$N$7:$N$17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6.6666666666666666E-2</c:v>
                </c:pt>
                <c:pt idx="6">
                  <c:v>0.2</c:v>
                </c:pt>
                <c:pt idx="7">
                  <c:v>0.4</c:v>
                </c:pt>
                <c:pt idx="8">
                  <c:v>0.53333333333333333</c:v>
                </c:pt>
                <c:pt idx="9">
                  <c:v>0.73333333333333328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CC-4D6D-9B14-CEC68AA19257}"/>
            </c:ext>
          </c:extLst>
        </c:ser>
        <c:ser>
          <c:idx val="2"/>
          <c:order val="2"/>
          <c:tx>
            <c:v>Non-bankrupt (Test)</c:v>
          </c:tx>
          <c:spPr>
            <a:ln w="22225" cap="rnd">
              <a:solidFill>
                <a:schemeClr val="accent1"/>
              </a:solidFill>
              <a:prstDash val="dash"/>
            </a:ln>
            <a:effectLst>
              <a:glow rad="139700">
                <a:schemeClr val="accent1">
                  <a:lumMod val="40000"/>
                  <a:lumOff val="60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Validation!$M$28:$M$38</c:f>
              <c:numCache>
                <c:formatCode>0%</c:formatCode>
                <c:ptCount val="11"/>
                <c:pt idx="0">
                  <c:v>0</c:v>
                </c:pt>
                <c:pt idx="1">
                  <c:v>9.0909090909090912E-2</c:v>
                </c:pt>
                <c:pt idx="2">
                  <c:v>0.27272727272727271</c:v>
                </c:pt>
                <c:pt idx="3">
                  <c:v>0.36363636363636365</c:v>
                </c:pt>
                <c:pt idx="4">
                  <c:v>0.45454545454545453</c:v>
                </c:pt>
                <c:pt idx="5">
                  <c:v>0.54545454545454541</c:v>
                </c:pt>
                <c:pt idx="6">
                  <c:v>0.63636363636363635</c:v>
                </c:pt>
                <c:pt idx="7">
                  <c:v>0.90909090909090906</c:v>
                </c:pt>
                <c:pt idx="8">
                  <c:v>0.90909090909090906</c:v>
                </c:pt>
                <c:pt idx="9">
                  <c:v>0.90909090909090906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CC-4D6D-9B14-CEC68AA19257}"/>
            </c:ext>
          </c:extLst>
        </c:ser>
        <c:ser>
          <c:idx val="3"/>
          <c:order val="3"/>
          <c:tx>
            <c:v>Bankrupt (Test)</c:v>
          </c:tx>
          <c:spPr>
            <a:ln w="22225" cap="rnd">
              <a:solidFill>
                <a:schemeClr val="accent2"/>
              </a:solidFill>
              <a:prstDash val="dash"/>
            </a:ln>
            <a:effectLst>
              <a:glow rad="139700">
                <a:schemeClr val="accent4">
                  <a:lumMod val="40000"/>
                  <a:lumOff val="60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Validation!$N$28:$N$38</c:f>
              <c:numCache>
                <c:formatCode>0%</c:formatCode>
                <c:ptCount val="11"/>
                <c:pt idx="0">
                  <c:v>0</c:v>
                </c:pt>
                <c:pt idx="1">
                  <c:v>0.15384615384615385</c:v>
                </c:pt>
                <c:pt idx="2">
                  <c:v>0.15384615384615385</c:v>
                </c:pt>
                <c:pt idx="3">
                  <c:v>0.23076923076923078</c:v>
                </c:pt>
                <c:pt idx="4">
                  <c:v>0.38461538461538464</c:v>
                </c:pt>
                <c:pt idx="5">
                  <c:v>0.46153846153846156</c:v>
                </c:pt>
                <c:pt idx="6">
                  <c:v>0.53846153846153844</c:v>
                </c:pt>
                <c:pt idx="7">
                  <c:v>0.53846153846153844</c:v>
                </c:pt>
                <c:pt idx="8">
                  <c:v>0.69230769230769229</c:v>
                </c:pt>
                <c:pt idx="9">
                  <c:v>0.84615384615384615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CC-4D6D-9B14-CEC68AA19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615551"/>
        <c:axId val="1069609727"/>
      </c:lineChart>
      <c:catAx>
        <c:axId val="10696155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en-PH"/>
                  <a:t>Decile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69609727"/>
        <c:crosses val="autoZero"/>
        <c:auto val="1"/>
        <c:lblAlgn val="ctr"/>
        <c:lblOffset val="100"/>
        <c:noMultiLvlLbl val="0"/>
      </c:catAx>
      <c:valAx>
        <c:axId val="106960972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69615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r>
              <a:rPr lang="en-PH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Random</c:v>
          </c:tx>
          <c:spPr>
            <a:ln w="22225" cap="rnd">
              <a:solidFill>
                <a:srgbClr val="FF0000"/>
              </a:solidFill>
            </a:ln>
            <a:effectLst>
              <a:glow rad="63500">
                <a:srgbClr val="FF5050">
                  <a:alpha val="30000"/>
                </a:srgbClr>
              </a:glow>
            </a:effectLst>
          </c:spPr>
          <c:marker>
            <c:symbol val="circl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  <a:effectLst>
                <a:glow rad="63500">
                  <a:srgbClr val="FF5050">
                    <a:alpha val="30000"/>
                  </a:srgbClr>
                </a:glow>
              </a:effectLst>
            </c:spPr>
          </c:marker>
          <c:xVal>
            <c:numRef>
              <c:f>Validation!$P$7:$P$17</c:f>
            </c:numRef>
          </c:xVal>
          <c:yVal>
            <c:numRef>
              <c:f>Validation!$P$7:$P$17</c:f>
            </c:numRef>
          </c:yVal>
          <c:smooth val="0"/>
          <c:extLst>
            <c:ext xmlns:c16="http://schemas.microsoft.com/office/drawing/2014/chart" uri="{C3380CC4-5D6E-409C-BE32-E72D297353CC}">
              <c16:uniqueId val="{00000000-8364-4965-841E-E52E37FA8549}"/>
            </c:ext>
          </c:extLst>
        </c:ser>
        <c:ser>
          <c:idx val="1"/>
          <c:order val="1"/>
          <c:tx>
            <c:v>Perfect </c:v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66FF66">
                  <a:alpha val="30000"/>
                </a:srgbClr>
              </a:glow>
            </a:effectLst>
          </c:spPr>
          <c:marker>
            <c:symbol val="circle"/>
            <c:size val="4"/>
            <c:spPr>
              <a:solidFill>
                <a:srgbClr val="00FF00"/>
              </a:solidFill>
              <a:ln>
                <a:solidFill>
                  <a:srgbClr val="00FF00"/>
                </a:solidFill>
              </a:ln>
              <a:effectLst>
                <a:glow rad="63500">
                  <a:srgbClr val="66FF66">
                    <a:alpha val="30000"/>
                  </a:srgbClr>
                </a:glow>
              </a:effectLst>
            </c:spPr>
          </c:marker>
          <c:xVal>
            <c:numRef>
              <c:f>Validation!$P$7:$P$17</c:f>
            </c:numRef>
          </c:xVal>
          <c:yVal>
            <c:numLit>
              <c:formatCode>General</c:formatCode>
              <c:ptCount val="1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8364-4965-841E-E52E37FA8549}"/>
            </c:ext>
          </c:extLst>
        </c:ser>
        <c:ser>
          <c:idx val="2"/>
          <c:order val="2"/>
          <c:tx>
            <c:v>Model (Training)</c:v>
          </c:tx>
          <c:spPr>
            <a:ln w="22225" cap="rnd">
              <a:solidFill>
                <a:srgbClr val="002060"/>
              </a:solidFill>
            </a:ln>
            <a:effectLst>
              <a:glow rad="63500">
                <a:schemeClr val="accent1">
                  <a:lumMod val="75000"/>
                  <a:alpha val="30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75000"/>
                    <a:alpha val="30000"/>
                  </a:schemeClr>
                </a:glow>
              </a:effectLst>
            </c:spPr>
          </c:marker>
          <c:xVal>
            <c:numRef>
              <c:f>Validation!$P$7:$P$17</c:f>
            </c:numRef>
          </c:xVal>
          <c:yVal>
            <c:numRef>
              <c:f>Validation!$Q$7:$Q$17</c:f>
            </c:numRef>
          </c:yVal>
          <c:smooth val="0"/>
          <c:extLst>
            <c:ext xmlns:c16="http://schemas.microsoft.com/office/drawing/2014/chart" uri="{C3380CC4-5D6E-409C-BE32-E72D297353CC}">
              <c16:uniqueId val="{00000003-8364-4965-841E-E52E37FA8549}"/>
            </c:ext>
          </c:extLst>
        </c:ser>
        <c:ser>
          <c:idx val="3"/>
          <c:order val="3"/>
          <c:tx>
            <c:v>Model (Test)</c:v>
          </c:tx>
          <c:spPr>
            <a:ln w="22225" cap="rnd">
              <a:solidFill>
                <a:schemeClr val="accent5">
                  <a:lumMod val="50000"/>
                </a:schemeClr>
              </a:solidFill>
              <a:prstDash val="dash"/>
            </a:ln>
            <a:effectLst>
              <a:glow rad="63500">
                <a:schemeClr val="accent1">
                  <a:lumMod val="75000"/>
                  <a:alpha val="30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glow rad="63500">
                  <a:schemeClr val="accent1">
                    <a:lumMod val="75000"/>
                    <a:alpha val="30000"/>
                  </a:schemeClr>
                </a:glow>
              </a:effectLst>
            </c:spPr>
          </c:marker>
          <c:xVal>
            <c:numRef>
              <c:f>Validation!$P$28:$P$38</c:f>
            </c:numRef>
          </c:xVal>
          <c:yVal>
            <c:numRef>
              <c:f>Validation!$Q$28:$Q$38</c:f>
            </c:numRef>
          </c:yVal>
          <c:smooth val="0"/>
          <c:extLst>
            <c:ext xmlns:c16="http://schemas.microsoft.com/office/drawing/2014/chart" uri="{C3380CC4-5D6E-409C-BE32-E72D297353CC}">
              <c16:uniqueId val="{00000004-8364-4965-841E-E52E37FA8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9615551"/>
        <c:axId val="1069609727"/>
      </c:scatterChart>
      <c:valAx>
        <c:axId val="106961555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69609727"/>
        <c:crosses val="autoZero"/>
        <c:crossBetween val="midCat"/>
      </c:valAx>
      <c:valAx>
        <c:axId val="1069609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1069615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594360</xdr:colOff>
      <xdr:row>3</xdr:row>
      <xdr:rowOff>3810</xdr:rowOff>
    </xdr:from>
    <xdr:to>
      <xdr:col>30</xdr:col>
      <xdr:colOff>320040</xdr:colOff>
      <xdr:row>18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0</xdr:colOff>
      <xdr:row>3</xdr:row>
      <xdr:rowOff>0</xdr:rowOff>
    </xdr:from>
    <xdr:to>
      <xdr:col>39</xdr:col>
      <xdr:colOff>335280</xdr:colOff>
      <xdr:row>18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-USER" refreshedDate="44220.060286342596" createdVersion="6" refreshedVersion="6" minRefreshableVersion="3" recordCount="34" xr:uid="{00000000-000A-0000-FFFF-FFFF13000000}">
  <cacheSource type="worksheet">
    <worksheetSource ref="N4:T38" sheet="Estimation"/>
  </cacheSource>
  <cacheFields count="7">
    <cacheField name="Firm" numFmtId="0">
      <sharedItems/>
    </cacheField>
    <cacheField name="Fail" numFmtId="0">
      <sharedItems containsSemiMixedTypes="0" containsString="0" containsNumber="1" containsInteger="1" minValue="0" maxValue="1" count="2">
        <n v="0"/>
        <n v="1"/>
      </sharedItems>
    </cacheField>
    <cacheField name="Log Odds" numFmtId="0">
      <sharedItems containsSemiMixedTypes="0" containsString="0" containsNumber="1" minValue="-22.175707474134246" maxValue="6.1915861077915739"/>
    </cacheField>
    <cacheField name="Odds" numFmtId="0">
      <sharedItems containsSemiMixedTypes="0" containsString="0" containsNumber="1" minValue="2.3399825119269955E-10" maxValue="488.62049669563709"/>
    </cacheField>
    <cacheField name="Prob" numFmtId="0">
      <sharedItems containsSemiMixedTypes="0" containsString="0" containsNumber="1" minValue="2.3399825113794439E-10" maxValue="0.99795760184316462"/>
    </cacheField>
    <cacheField name="Log Likelihood" numFmtId="0">
      <sharedItems containsSemiMixedTypes="0" containsString="0" containsNumber="1" minValue="-2.1442829516155477" maxValue="-2.3399826523624552E-10"/>
    </cacheField>
    <cacheField name="P_Group" numFmtId="0">
      <sharedItems containsSemiMixedTypes="0" containsString="0" containsNumber="1" containsInteger="1" minValue="1" maxValue="10" count="10">
        <n v="4"/>
        <n v="8"/>
        <n v="1"/>
        <n v="2"/>
        <n v="3"/>
        <n v="6"/>
        <n v="5"/>
        <n v="7"/>
        <n v="9"/>
        <n v="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ARTA-USER" refreshedDate="44220.091228472222" createdVersion="6" refreshedVersion="6" minRefreshableVersion="3" recordCount="24" xr:uid="{00000000-000A-0000-FFFF-FFFF14000000}">
  <cacheSource type="worksheet">
    <worksheetSource ref="N4:S28" sheet="Scoring"/>
  </cacheSource>
  <cacheFields count="6">
    <cacheField name="Firm" numFmtId="0">
      <sharedItems/>
    </cacheField>
    <cacheField name="Fail" numFmtId="0">
      <sharedItems containsSemiMixedTypes="0" containsString="0" containsNumber="1" containsInteger="1" minValue="0" maxValue="1"/>
    </cacheField>
    <cacheField name="Log Odds" numFmtId="0">
      <sharedItems containsSemiMixedTypes="0" containsString="0" containsNumber="1" minValue="-49.784058423656575" maxValue="33.131893197388834"/>
    </cacheField>
    <cacheField name="Odds" numFmtId="0">
      <sharedItems containsSemiMixedTypes="0" containsString="0" containsNumber="1" minValue="2.3936361757420992E-22" maxValue="244905416636180.91"/>
    </cacheField>
    <cacheField name="Prob" numFmtId="0">
      <sharedItems containsSemiMixedTypes="0" containsString="0" containsNumber="1" minValue="2.3936361757420992E-22" maxValue="0.99999999999999589"/>
    </cacheField>
    <cacheField name="P_Group" numFmtId="0">
      <sharedItems containsSemiMixedTypes="0" containsString="0" containsNumber="1" containsInteger="1" minValue="1" maxValue="10" count="10">
        <n v="2"/>
        <n v="7"/>
        <n v="3"/>
        <n v="10"/>
        <n v="1"/>
        <n v="6"/>
        <n v="4"/>
        <n v="5"/>
        <n v="9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">
  <r>
    <s v="o1"/>
    <x v="0"/>
    <n v="-1.9493652346396189"/>
    <n v="0.14236441090793969"/>
    <n v="0.1246225893844066"/>
    <n v="-0.13310015920120127"/>
    <x v="0"/>
  </r>
  <r>
    <s v="o2"/>
    <x v="0"/>
    <n v="2.019680705989455"/>
    <n v="7.5359183758812502"/>
    <n v="0.882847989406089"/>
    <n v="-2.1442829516155477"/>
    <x v="1"/>
  </r>
  <r>
    <s v="o3"/>
    <x v="0"/>
    <n v="-22.175707474134246"/>
    <n v="2.3399825119269955E-10"/>
    <n v="2.3399825113794439E-10"/>
    <n v="-2.3399826523624552E-10"/>
    <x v="2"/>
  </r>
  <r>
    <s v="o4"/>
    <x v="0"/>
    <n v="-17.56942497759799"/>
    <n v="2.3425867472482371E-8"/>
    <n v="2.3425866923711119E-8"/>
    <n v="-2.3425867187337302E-8"/>
    <x v="2"/>
  </r>
  <r>
    <s v="o5"/>
    <x v="0"/>
    <n v="-10.957509590083449"/>
    <n v="1.7426655649407994E-5"/>
    <n v="1.7426351966373051E-5"/>
    <n v="-1.742650380696747E-5"/>
    <x v="3"/>
  </r>
  <r>
    <s v="o6"/>
    <x v="0"/>
    <n v="-6.7339720689127303"/>
    <n v="1.1897976017198665E-3"/>
    <n v="1.188383665684512E-3"/>
    <n v="-1.1890903534859296E-3"/>
    <x v="4"/>
  </r>
  <r>
    <s v="o7"/>
    <x v="0"/>
    <n v="-12.716253348963376"/>
    <n v="3.0019353850158602E-6"/>
    <n v="3.001926373426857E-6"/>
    <n v="-3.0019308792703948E-6"/>
    <x v="2"/>
  </r>
  <r>
    <s v="o11"/>
    <x v="0"/>
    <n v="-3.5858852220424899"/>
    <n v="2.7712125384879913E-2"/>
    <n v="2.6964871485292318E-2"/>
    <n v="-2.7335094143927284E-2"/>
    <x v="0"/>
  </r>
  <r>
    <s v="o12"/>
    <x v="0"/>
    <n v="-3.8539541098578347"/>
    <n v="2.1195760157887274E-2"/>
    <n v="2.0755824676171972E-2"/>
    <n v="-2.0974254553117407E-2"/>
    <x v="0"/>
  </r>
  <r>
    <s v="o13"/>
    <x v="0"/>
    <n v="-5.7520681469191235"/>
    <n v="3.1762051402665207E-3"/>
    <n v="3.1661488021662311E-3"/>
    <n v="-3.1711716561557924E-3"/>
    <x v="4"/>
  </r>
  <r>
    <s v="o15"/>
    <x v="0"/>
    <n v="0.5081487131685879"/>
    <n v="1.6622111152214201"/>
    <n v="0.62437238944634621"/>
    <n v="-0.97915702382356073"/>
    <x v="5"/>
  </r>
  <r>
    <s v="o18"/>
    <x v="0"/>
    <n v="-0.16313117913419414"/>
    <n v="0.8494797470876233"/>
    <n v="0.45930740708315376"/>
    <n v="-0.6149043817506219"/>
    <x v="6"/>
  </r>
  <r>
    <s v="o19"/>
    <x v="0"/>
    <n v="-5.0101716930533238"/>
    <n v="6.6697580568166933E-3"/>
    <n v="6.6255671270898063E-3"/>
    <n v="-6.6476136313209297E-3"/>
    <x v="4"/>
  </r>
  <r>
    <s v="o21"/>
    <x v="0"/>
    <n v="0.77160828727000785"/>
    <n v="2.1632425730677771"/>
    <n v="0.68386869583947851"/>
    <n v="-1.1515976322042227"/>
    <x v="7"/>
  </r>
  <r>
    <s v="o22"/>
    <x v="0"/>
    <n v="-10.63734409762284"/>
    <n v="2.400270327207562E-5"/>
    <n v="2.4002127156139593E-5"/>
    <n v="-2.4002415211805234E-5"/>
    <x v="3"/>
  </r>
  <r>
    <s v="o23"/>
    <x v="0"/>
    <n v="-2.3148766320244194"/>
    <n v="9.877836933793234E-2"/>
    <n v="8.9898356296776338E-2"/>
    <n v="-9.4198989331648331E-2"/>
    <x v="0"/>
  </r>
  <r>
    <s v="o24"/>
    <x v="0"/>
    <n v="-11.697680254108413"/>
    <n v="8.3130810463834189E-6"/>
    <n v="8.3130119396414242E-6"/>
    <n v="-8.3130464928732397E-6"/>
    <x v="2"/>
  </r>
  <r>
    <s v="o25"/>
    <x v="0"/>
    <n v="-1.1584500030988005"/>
    <n v="0.3139724602599494"/>
    <n v="0.23894904174615253"/>
    <n v="-0.27305496113650296"/>
    <x v="6"/>
  </r>
  <r>
    <s v="o27"/>
    <x v="0"/>
    <n v="-11.192541569298578"/>
    <n v="1.3776565392146944E-5"/>
    <n v="1.3776375601007609E-5"/>
    <n v="-1.3776470496094013E-5"/>
    <x v="3"/>
  </r>
  <r>
    <s v="o31"/>
    <x v="1"/>
    <n v="3.7852342055815531"/>
    <n v="44.045985166404407"/>
    <n v="0.97780046331974091"/>
    <n v="-2.2449654998738178E-2"/>
    <x v="8"/>
  </r>
  <r>
    <s v="o32"/>
    <x v="1"/>
    <n v="6.1915861077915739"/>
    <n v="488.62049669563709"/>
    <n v="0.99795760184316462"/>
    <n v="-2.0444866961880515E-3"/>
    <x v="9"/>
  </r>
  <r>
    <s v="o36"/>
    <x v="1"/>
    <n v="0.50988774519483582"/>
    <n v="1.6651042684991482"/>
    <n v="0.62478015895297434"/>
    <n v="-0.47035543679799702"/>
    <x v="5"/>
  </r>
  <r>
    <s v="o40"/>
    <x v="1"/>
    <n v="-2.7643773302869899E-2"/>
    <n v="0.97273481920161375"/>
    <n v="0.49308949674000768"/>
    <n v="-0.70706458644533599"/>
    <x v="5"/>
  </r>
  <r>
    <s v="o41"/>
    <x v="1"/>
    <n v="1.5486521009606469"/>
    <n v="4.705123874509817"/>
    <n v="0.82471896807220157"/>
    <n v="-0.19271259544102981"/>
    <x v="7"/>
  </r>
  <r>
    <s v="o43"/>
    <x v="1"/>
    <n v="3.7346460719273824"/>
    <n v="41.873202838193379"/>
    <n v="0.97667540715877765"/>
    <n v="-2.3600916369849928E-2"/>
    <x v="8"/>
  </r>
  <r>
    <s v="o45"/>
    <x v="1"/>
    <n v="1.15604354906476"/>
    <n v="3.1773373955450759"/>
    <n v="0.76061306394201"/>
    <n v="-0.27363050779797093"/>
    <x v="7"/>
  </r>
  <r>
    <s v="o46"/>
    <x v="1"/>
    <n v="3.0227236141491325"/>
    <n v="20.547178128165307"/>
    <n v="0.95359021055788029"/>
    <n v="-4.752124849778009E-2"/>
    <x v="8"/>
  </r>
  <r>
    <s v="o47"/>
    <x v="1"/>
    <n v="4.0771877214314509"/>
    <n v="58.979369981618959"/>
    <n v="0.98332760080163473"/>
    <n v="-1.6812948026626782E-2"/>
    <x v="9"/>
  </r>
  <r>
    <s v="o48"/>
    <x v="1"/>
    <n v="-0.25940778579658536"/>
    <n v="0.77150834874164476"/>
    <n v="0.43550929313410808"/>
    <n v="-0.83123914391815268"/>
    <x v="6"/>
  </r>
  <r>
    <s v="o52"/>
    <x v="1"/>
    <n v="2.1115767227366398"/>
    <n v="8.2612567323771948"/>
    <n v="0.89202329350140819"/>
    <n v="-0.11426303295227042"/>
    <x v="1"/>
  </r>
  <r>
    <s v="o53"/>
    <x v="1"/>
    <n v="5.3959203328849057"/>
    <n v="220.50499173506134"/>
    <n v="0.99548542905436599"/>
    <n v="-4.5247923962900309E-3"/>
    <x v="9"/>
  </r>
  <r>
    <s v="o54"/>
    <x v="1"/>
    <n v="4.4333502579927151"/>
    <n v="84.21308036978607"/>
    <n v="0.98826471246362113"/>
    <n v="-1.1804689525699234E-2"/>
    <x v="9"/>
  </r>
  <r>
    <s v="o55"/>
    <x v="1"/>
    <n v="2.866882648845309"/>
    <n v="17.582123029004219"/>
    <n v="0.94618483590711711"/>
    <n v="-5.5317342221779697E-2"/>
    <x v="1"/>
  </r>
  <r>
    <s v="o60"/>
    <x v="1"/>
    <n v="0.52243920816495781"/>
    <n v="1.6861354731572713"/>
    <n v="0.6277179576409806"/>
    <n v="-0.4656643254316099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4">
  <r>
    <s v="o8"/>
    <n v="0"/>
    <n v="-8.3409043014590445"/>
    <n v="2.3855651835881492E-4"/>
    <n v="2.3849962271918913E-4"/>
    <x v="0"/>
  </r>
  <r>
    <s v="o9"/>
    <n v="0"/>
    <n v="3.303947236942494"/>
    <n v="27.219870425464322"/>
    <n v="0.96456397620105139"/>
    <x v="1"/>
  </r>
  <r>
    <s v="o10"/>
    <n v="0"/>
    <n v="-3.4994575737932774"/>
    <n v="3.021376771769509E-2"/>
    <n v="2.932766835821829E-2"/>
    <x v="2"/>
  </r>
  <r>
    <s v="o14"/>
    <n v="0"/>
    <n v="33.131893197388834"/>
    <n v="244905416636180.91"/>
    <n v="0.99999999999999589"/>
    <x v="3"/>
  </r>
  <r>
    <s v="o16"/>
    <n v="0"/>
    <n v="-5.8805819153723622"/>
    <n v="2.7931594196238568E-3"/>
    <n v="2.7853794108851169E-3"/>
    <x v="0"/>
  </r>
  <r>
    <s v="o17"/>
    <n v="0"/>
    <n v="-49.784058423656575"/>
    <n v="2.3936361757420992E-22"/>
    <n v="2.3936361757420992E-22"/>
    <x v="4"/>
  </r>
  <r>
    <s v="o20"/>
    <n v="0"/>
    <n v="3.6191328343570439"/>
    <n v="37.305204000471967"/>
    <n v="0.9738938865855491"/>
    <x v="1"/>
  </r>
  <r>
    <s v="o26"/>
    <n v="0"/>
    <n v="3.0376306315544812"/>
    <n v="20.855769645152087"/>
    <n v="0.95424549140863524"/>
    <x v="5"/>
  </r>
  <r>
    <s v="o28"/>
    <n v="0"/>
    <n v="3.4782938902267047"/>
    <n v="32.404389441987334"/>
    <n v="0.97006381446556067"/>
    <x v="1"/>
  </r>
  <r>
    <s v="o29"/>
    <n v="0"/>
    <n v="1.3859670152599506"/>
    <n v="3.9986908308474813"/>
    <n v="0.79994761951891724"/>
    <x v="6"/>
  </r>
  <r>
    <s v="o30"/>
    <n v="0"/>
    <n v="1.9429462004076306"/>
    <n v="6.9792830765812939"/>
    <n v="0.87467545763165888"/>
    <x v="7"/>
  </r>
  <r>
    <s v="o33"/>
    <n v="1"/>
    <n v="2.4638897970283944"/>
    <n v="11.750429546000449"/>
    <n v="0.92157126970567982"/>
    <x v="5"/>
  </r>
  <r>
    <s v="o34"/>
    <n v="1"/>
    <n v="1.7638683113372025"/>
    <n v="5.8349652561717553"/>
    <n v="0.85369347721306532"/>
    <x v="7"/>
  </r>
  <r>
    <s v="o35"/>
    <n v="1"/>
    <n v="5.2495617160341705"/>
    <n v="190.48276461927028"/>
    <n v="0.99477759785854192"/>
    <x v="8"/>
  </r>
  <r>
    <s v="o38"/>
    <n v="1"/>
    <n v="-11.367055369694331"/>
    <n v="1.1570458725628125E-5"/>
    <n v="1.1570324851661988E-5"/>
    <x v="4"/>
  </r>
  <r>
    <s v="o39"/>
    <n v="1"/>
    <n v="-2.6613005460808092"/>
    <n v="6.9857309989283509E-2"/>
    <n v="6.5295913143766107E-2"/>
    <x v="6"/>
  </r>
  <r>
    <s v="o42"/>
    <n v="1"/>
    <n v="-17.833691446165524"/>
    <n v="1.798565311255327E-8"/>
    <n v="1.7985652789069558E-8"/>
    <x v="4"/>
  </r>
  <r>
    <s v="o44"/>
    <n v="1"/>
    <n v="0.81624019277915616"/>
    <n v="2.2619792238181984"/>
    <n v="0.69343765505977562"/>
    <x v="6"/>
  </r>
  <r>
    <s v="o49"/>
    <n v="1"/>
    <n v="8.686435697800956"/>
    <n v="5922.0366521970645"/>
    <n v="0.99983116768328129"/>
    <x v="3"/>
  </r>
  <r>
    <s v="o50"/>
    <n v="1"/>
    <n v="4.2543327374814499"/>
    <n v="70.409819676729143"/>
    <n v="0.9859963236915178"/>
    <x v="9"/>
  </r>
  <r>
    <s v="o56"/>
    <n v="1"/>
    <n v="6.5380716454767711"/>
    <n v="690.95289040693297"/>
    <n v="0.99855481491028686"/>
    <x v="8"/>
  </r>
  <r>
    <s v="o57"/>
    <n v="1"/>
    <n v="-4.9037738889880975"/>
    <n v="7.4185334544341905E-3"/>
    <n v="7.3639040856197761E-3"/>
    <x v="2"/>
  </r>
  <r>
    <s v="o58"/>
    <n v="1"/>
    <n v="4.7577932648832464"/>
    <n v="116.48858261323518"/>
    <n v="0.9914885346494311"/>
    <x v="9"/>
  </r>
  <r>
    <s v="o59"/>
    <n v="1"/>
    <n v="14.287978357497023"/>
    <n v="1603947.5341599167"/>
    <n v="0.9999993765385991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C37" firstHeaderRow="0" firstDataRow="1" firstDataCol="1"/>
  <pivotFields count="6">
    <pivotField showAll="0"/>
    <pivotField showAll="0"/>
    <pivotField showAll="0"/>
    <pivotField showAll="0"/>
    <pivotField dataField="1" showAll="0"/>
    <pivotField axis="axisRow" showAll="0">
      <items count="11">
        <item x="4"/>
        <item x="0"/>
        <item x="2"/>
        <item x="6"/>
        <item x="7"/>
        <item x="5"/>
        <item x="1"/>
        <item x="9"/>
        <item x="8"/>
        <item x="3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Prob" fld="4" subtotal="min" baseField="0" baseItem="0"/>
    <dataField name="Max of Prob2" fld="4" subtotal="max" baseField="0" baseItem="0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C16" firstHeaderRow="0" firstDataRow="1" firstDataCol="1"/>
  <pivotFields count="7">
    <pivotField showAll="0"/>
    <pivotField showAll="0"/>
    <pivotField showAll="0"/>
    <pivotField showAll="0"/>
    <pivotField dataField="1" showAll="0"/>
    <pivotField showAll="0" defaultSubtotal="0"/>
    <pivotField axis="axisRow" showAll="0">
      <items count="11">
        <item x="2"/>
        <item x="3"/>
        <item x="4"/>
        <item x="0"/>
        <item x="6"/>
        <item x="5"/>
        <item x="7"/>
        <item x="1"/>
        <item x="8"/>
        <item x="9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Prob" fld="4" subtotal="min" baseField="0" baseItem="0"/>
    <dataField name="Max of Prob2" fld="4" subtotal="max" baseField="0" baseItem="0"/>
  </dataFields>
  <formats count="4"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</formats>
  <pivotTableStyleInfo name="PivotStyleMedium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59" totalsRowShown="0">
  <tableColumns count="14">
    <tableColumn id="1" xr3:uid="{00000000-0010-0000-0000-000001000000}" name="Firm"/>
    <tableColumn id="2" xr3:uid="{00000000-0010-0000-0000-000002000000}" name="SALES"/>
    <tableColumn id="3" xr3:uid="{00000000-0010-0000-0000-000003000000}" name="ROCE"/>
    <tableColumn id="4" xr3:uid="{00000000-0010-0000-0000-000004000000}" name="FFTL"/>
    <tableColumn id="5" xr3:uid="{00000000-0010-0000-0000-000005000000}" name="GEAR"/>
    <tableColumn id="6" xr3:uid="{00000000-0010-0000-0000-000006000000}" name="CLTA"/>
    <tableColumn id="7" xr3:uid="{00000000-0010-0000-0000-000007000000}" name="CACL"/>
    <tableColumn id="8" xr3:uid="{00000000-0010-0000-0000-000008000000}" name="QACL"/>
    <tableColumn id="9" xr3:uid="{00000000-0010-0000-0000-000009000000}" name="WCTA"/>
    <tableColumn id="11" xr3:uid="{00000000-0010-0000-0000-00000B000000}" name="AGE"/>
    <tableColumn id="12" xr3:uid="{00000000-0010-0000-0000-00000C000000}" name="CHAUD"/>
    <tableColumn id="13" xr3:uid="{00000000-0010-0000-0000-00000D000000}" name="BIG6"/>
    <tableColumn id="14" xr3:uid="{00000000-0010-0000-0000-00000E000000}" name="FAIL"/>
    <tableColumn id="15" xr3:uid="{00000000-0010-0000-0000-00000F000000}" name="SAMPLE" dataDxfId="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W35" totalsRowShown="0">
  <tableColumns count="23">
    <tableColumn id="1" xr3:uid="{00000000-0010-0000-0100-000001000000}" name="Firm"/>
    <tableColumn id="2" xr3:uid="{00000000-0010-0000-0100-000002000000}" name="SALES"/>
    <tableColumn id="3" xr3:uid="{00000000-0010-0000-0100-000003000000}" name="ROCE"/>
    <tableColumn id="4" xr3:uid="{00000000-0010-0000-0100-000004000000}" name="FFTL"/>
    <tableColumn id="5" xr3:uid="{00000000-0010-0000-0100-000005000000}" name="GEAR"/>
    <tableColumn id="6" xr3:uid="{00000000-0010-0000-0100-000006000000}" name="CLTA"/>
    <tableColumn id="7" xr3:uid="{00000000-0010-0000-0100-000007000000}" name="CACL"/>
    <tableColumn id="8" xr3:uid="{00000000-0010-0000-0100-000008000000}" name="QACL"/>
    <tableColumn id="9" xr3:uid="{00000000-0010-0000-0100-000009000000}" name="WCTA"/>
    <tableColumn id="11" xr3:uid="{00000000-0010-0000-0100-00000B000000}" name="AGE"/>
    <tableColumn id="12" xr3:uid="{00000000-0010-0000-0100-00000C000000}" name="CHAUD"/>
    <tableColumn id="13" xr3:uid="{00000000-0010-0000-0100-00000D000000}" name="BIG6"/>
    <tableColumn id="14" xr3:uid="{00000000-0010-0000-0100-00000E000000}" name="FAIL"/>
    <tableColumn id="15" xr3:uid="{00000000-0010-0000-0100-00000F000000}" name="SAMPLE" dataDxfId="29"/>
    <tableColumn id="16" xr3:uid="{00000000-0010-0000-0100-000010000000}" name="STD_SALES" dataDxfId="28">
      <calculatedColumnFormula>STANDARDIZE(Table14[[#This Row],[SALES]],AVERAGE(Table14[SALES]),STDEV(Table14[SALES]))</calculatedColumnFormula>
    </tableColumn>
    <tableColumn id="17" xr3:uid="{00000000-0010-0000-0100-000011000000}" name="STD_ROCE" dataDxfId="27">
      <calculatedColumnFormula>STANDARDIZE(Table14[[#This Row],[ROCE]],AVERAGE(Table14[ROCE]),STDEV(Table14[ROCE]))</calculatedColumnFormula>
    </tableColumn>
    <tableColumn id="18" xr3:uid="{00000000-0010-0000-0100-000012000000}" name="STD_FFTL" dataDxfId="26">
      <calculatedColumnFormula>STANDARDIZE(Table14[[#This Row],[FFTL]],AVERAGE(Table14[FFTL]),STDEV(Table14[FFTL]))</calculatedColumnFormula>
    </tableColumn>
    <tableColumn id="19" xr3:uid="{00000000-0010-0000-0100-000013000000}" name="STD_GEAR" dataDxfId="25">
      <calculatedColumnFormula>STANDARDIZE(Table14[[#This Row],[GEAR]],AVERAGE(Table14[GEAR]),STDEV(Table14[GEAR]))</calculatedColumnFormula>
    </tableColumn>
    <tableColumn id="20" xr3:uid="{00000000-0010-0000-0100-000014000000}" name="STD_CLTA" dataDxfId="24">
      <calculatedColumnFormula>STANDARDIZE(Table14[[#This Row],[CLTA]],AVERAGE(Table14[CLTA]),STDEV(Table14[CLTA]))</calculatedColumnFormula>
    </tableColumn>
    <tableColumn id="21" xr3:uid="{00000000-0010-0000-0100-000015000000}" name="STD_CACL" dataDxfId="23">
      <calculatedColumnFormula>STANDARDIZE(Table14[[#This Row],[CACL]],AVERAGE(Table14[CACL]),STDEV(Table14[CACL]))</calculatedColumnFormula>
    </tableColumn>
    <tableColumn id="22" xr3:uid="{00000000-0010-0000-0100-000016000000}" name="STD_QACL" dataDxfId="22">
      <calculatedColumnFormula>STANDARDIZE(Table14[[#This Row],[QACL]],AVERAGE(Table14[QACL]),STDEV(Table14[QACL]))</calculatedColumnFormula>
    </tableColumn>
    <tableColumn id="23" xr3:uid="{00000000-0010-0000-0100-000017000000}" name="STD_WCTA" dataDxfId="21">
      <calculatedColumnFormula>STANDARDIZE(Table14[[#This Row],[WCTA]],AVERAGE(Table14[WCTA]),STDEV(Table14[WCTA]))</calculatedColumnFormula>
    </tableColumn>
    <tableColumn id="25" xr3:uid="{00000000-0010-0000-0100-000019000000}" name="STD_AGE" dataDxfId="20">
      <calculatedColumnFormula>STANDARDIZE(Table14[[#This Row],[AGE]],AVERAGE(Table14[AGE]),STDEV(Table14[AGE]))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13" displayName="Table13" ref="A1:W25" totalsRowShown="0">
  <tableColumns count="23">
    <tableColumn id="1" xr3:uid="{00000000-0010-0000-0200-000001000000}" name="Firm"/>
    <tableColumn id="2" xr3:uid="{00000000-0010-0000-0200-000002000000}" name="SALES"/>
    <tableColumn id="3" xr3:uid="{00000000-0010-0000-0200-000003000000}" name="ROCE"/>
    <tableColumn id="4" xr3:uid="{00000000-0010-0000-0200-000004000000}" name="FFTL"/>
    <tableColumn id="5" xr3:uid="{00000000-0010-0000-0200-000005000000}" name="GEAR"/>
    <tableColumn id="6" xr3:uid="{00000000-0010-0000-0200-000006000000}" name="CLTA"/>
    <tableColumn id="7" xr3:uid="{00000000-0010-0000-0200-000007000000}" name="CACL"/>
    <tableColumn id="8" xr3:uid="{00000000-0010-0000-0200-000008000000}" name="QACL"/>
    <tableColumn id="9" xr3:uid="{00000000-0010-0000-0200-000009000000}" name="WCTA"/>
    <tableColumn id="11" xr3:uid="{00000000-0010-0000-0200-00000B000000}" name="AGE"/>
    <tableColumn id="12" xr3:uid="{00000000-0010-0000-0200-00000C000000}" name="CHAUD"/>
    <tableColumn id="13" xr3:uid="{00000000-0010-0000-0200-00000D000000}" name="BIG6"/>
    <tableColumn id="14" xr3:uid="{00000000-0010-0000-0200-00000E000000}" name="FAIL"/>
    <tableColumn id="15" xr3:uid="{00000000-0010-0000-0200-00000F000000}" name="SAMPLE" dataDxfId="17"/>
    <tableColumn id="16" xr3:uid="{00000000-0010-0000-0200-000010000000}" name="STD_SALES" dataDxfId="16">
      <calculatedColumnFormula>STANDARDIZE(Table13[[#This Row],[SALES]],AVERAGE(Table14[SALES]),STDEV(Table14[SALES]))</calculatedColumnFormula>
    </tableColumn>
    <tableColumn id="17" xr3:uid="{00000000-0010-0000-0200-000011000000}" name="STD_ROCE" dataDxfId="15">
      <calculatedColumnFormula>STANDARDIZE(Table13[[#This Row],[ROCE]],AVERAGE(Table14[ROCE]),STDEV(Table14[ROCE]))</calculatedColumnFormula>
    </tableColumn>
    <tableColumn id="18" xr3:uid="{00000000-0010-0000-0200-000012000000}" name="STD_FFTL" dataDxfId="14">
      <calculatedColumnFormula>STANDARDIZE(Table13[[#This Row],[FFTL]],AVERAGE(Table14[FFTL]),STDEV(Table14[FFTL]))</calculatedColumnFormula>
    </tableColumn>
    <tableColumn id="19" xr3:uid="{00000000-0010-0000-0200-000013000000}" name="STD_GEAR" dataDxfId="13">
      <calculatedColumnFormula>STANDARDIZE(Table13[[#This Row],[GEAR]],AVERAGE(Table14[GEAR]),STDEV(Table14[GEAR]))</calculatedColumnFormula>
    </tableColumn>
    <tableColumn id="20" xr3:uid="{00000000-0010-0000-0200-000014000000}" name="STD_CLTA" dataDxfId="12">
      <calculatedColumnFormula>STANDARDIZE(Table13[[#This Row],[CLTA]],AVERAGE(Table14[CLTA]),STDEV(Table14[CLTA]))</calculatedColumnFormula>
    </tableColumn>
    <tableColumn id="21" xr3:uid="{00000000-0010-0000-0200-000015000000}" name="STD_CACL" dataDxfId="11">
      <calculatedColumnFormula>STANDARDIZE(Table13[[#This Row],[CACL]],AVERAGE(Table14[CACL]),STDEV(Table14[CACL]))</calculatedColumnFormula>
    </tableColumn>
    <tableColumn id="22" xr3:uid="{00000000-0010-0000-0200-000016000000}" name="STD_QACL" dataDxfId="10">
      <calculatedColumnFormula>STANDARDIZE(Table13[[#This Row],[QACL]],AVERAGE(Table14[QACL]),STDEV(Table14[QACL]))</calculatedColumnFormula>
    </tableColumn>
    <tableColumn id="23" xr3:uid="{00000000-0010-0000-0200-000017000000}" name="STD_WCTA" dataDxfId="9">
      <calculatedColumnFormula>STANDARDIZE(Table13[[#This Row],[WCTA]],AVERAGE(Table14[WCTA]),STDEV(Table14[WCTA]))</calculatedColumnFormula>
    </tableColumn>
    <tableColumn id="24" xr3:uid="{00000000-0010-0000-0200-000018000000}" name="STD_AGE" dataDxfId="8">
      <calculatedColumnFormula>STANDARDIZE(Table13[[#This Row],[AGE]],AVERAGE(Table14[AGE]),STDEV(Table14[AGE]))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N59"/>
  <sheetViews>
    <sheetView workbookViewId="0">
      <selection activeCell="P21" sqref="P21"/>
    </sheetView>
  </sheetViews>
  <sheetFormatPr defaultRowHeight="14.4" x14ac:dyDescent="0.3"/>
  <cols>
    <col min="11" max="11" width="9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71</v>
      </c>
    </row>
    <row r="2" spans="1:14" x14ac:dyDescent="0.3">
      <c r="A2" t="s">
        <v>13</v>
      </c>
      <c r="B2">
        <v>6762</v>
      </c>
      <c r="C2">
        <v>7.5364000000000004</v>
      </c>
      <c r="D2">
        <v>0.1545</v>
      </c>
      <c r="E2">
        <v>0.62329999999999997</v>
      </c>
      <c r="F2">
        <v>0.62329999999999997</v>
      </c>
      <c r="G2">
        <v>1.5488999999999999</v>
      </c>
      <c r="H2">
        <v>0.73560000000000003</v>
      </c>
      <c r="I2">
        <v>0.3422</v>
      </c>
      <c r="J2">
        <v>74</v>
      </c>
      <c r="K2">
        <v>0</v>
      </c>
      <c r="L2">
        <v>0</v>
      </c>
      <c r="M2">
        <v>0</v>
      </c>
      <c r="N2" t="s">
        <v>72</v>
      </c>
    </row>
    <row r="3" spans="1:14" x14ac:dyDescent="0.3">
      <c r="A3" t="s">
        <v>14</v>
      </c>
      <c r="B3">
        <v>16149</v>
      </c>
      <c r="C3">
        <v>-1.0711999999999999</v>
      </c>
      <c r="D3">
        <v>2.7099999999999999E-2</v>
      </c>
      <c r="E3">
        <v>1.2218</v>
      </c>
      <c r="F3">
        <v>1.2218</v>
      </c>
      <c r="G3">
        <v>0.62360000000000004</v>
      </c>
      <c r="H3">
        <v>0.31530000000000002</v>
      </c>
      <c r="I3">
        <v>-0.45989999999999998</v>
      </c>
      <c r="J3">
        <v>29</v>
      </c>
      <c r="K3">
        <v>0</v>
      </c>
      <c r="L3">
        <v>1</v>
      </c>
      <c r="M3">
        <v>0</v>
      </c>
      <c r="N3" t="s">
        <v>72</v>
      </c>
    </row>
    <row r="4" spans="1:14" x14ac:dyDescent="0.3">
      <c r="A4" t="s">
        <v>15</v>
      </c>
      <c r="B4">
        <v>8086</v>
      </c>
      <c r="C4">
        <v>15.202400000000001</v>
      </c>
      <c r="D4">
        <v>0.61629999999999996</v>
      </c>
      <c r="E4">
        <v>0.33069999999999999</v>
      </c>
      <c r="F4">
        <v>0.33069999999999999</v>
      </c>
      <c r="G4">
        <v>2.3553000000000002</v>
      </c>
      <c r="H4">
        <v>1.7513000000000001</v>
      </c>
      <c r="I4">
        <v>0.44819999999999999</v>
      </c>
      <c r="J4">
        <v>51</v>
      </c>
      <c r="K4">
        <v>0</v>
      </c>
      <c r="L4">
        <v>1</v>
      </c>
      <c r="M4">
        <v>0</v>
      </c>
      <c r="N4" t="s">
        <v>72</v>
      </c>
    </row>
    <row r="5" spans="1:14" x14ac:dyDescent="0.3">
      <c r="A5" t="s">
        <v>16</v>
      </c>
      <c r="B5">
        <v>7646</v>
      </c>
      <c r="C5">
        <v>31.2239</v>
      </c>
      <c r="D5">
        <v>0.63119999999999998</v>
      </c>
      <c r="E5">
        <v>0.52049999999999996</v>
      </c>
      <c r="F5">
        <v>0.4829</v>
      </c>
      <c r="G5">
        <v>1.6396999999999999</v>
      </c>
      <c r="H5">
        <v>1.4935</v>
      </c>
      <c r="I5">
        <v>0.30890000000000001</v>
      </c>
      <c r="J5">
        <v>25</v>
      </c>
      <c r="K5">
        <v>0</v>
      </c>
      <c r="L5">
        <v>0</v>
      </c>
      <c r="M5">
        <v>0</v>
      </c>
      <c r="N5" t="s">
        <v>72</v>
      </c>
    </row>
    <row r="6" spans="1:14" x14ac:dyDescent="0.3">
      <c r="A6" t="s">
        <v>17</v>
      </c>
      <c r="B6">
        <v>36067</v>
      </c>
      <c r="C6">
        <v>10.9613</v>
      </c>
      <c r="D6">
        <v>0.35399999999999998</v>
      </c>
      <c r="E6">
        <v>0.37859999999999999</v>
      </c>
      <c r="F6">
        <v>0.37859999999999999</v>
      </c>
      <c r="G6">
        <v>1.5851999999999999</v>
      </c>
      <c r="H6">
        <v>1.1626000000000001</v>
      </c>
      <c r="I6">
        <v>0.22159999999999999</v>
      </c>
      <c r="J6">
        <v>33</v>
      </c>
      <c r="K6">
        <v>0</v>
      </c>
      <c r="L6">
        <v>1</v>
      </c>
      <c r="M6">
        <v>0</v>
      </c>
      <c r="N6" t="s">
        <v>72</v>
      </c>
    </row>
    <row r="7" spans="1:14" x14ac:dyDescent="0.3">
      <c r="A7" t="s">
        <v>18</v>
      </c>
      <c r="B7">
        <v>3205</v>
      </c>
      <c r="C7">
        <v>-1.9790000000000001</v>
      </c>
      <c r="D7">
        <v>-1.03E-2</v>
      </c>
      <c r="E7">
        <v>0.3548</v>
      </c>
      <c r="F7">
        <v>0.3548</v>
      </c>
      <c r="G7">
        <v>1.8835</v>
      </c>
      <c r="H7">
        <v>1.2034</v>
      </c>
      <c r="I7">
        <v>0.31340000000000001</v>
      </c>
      <c r="J7">
        <v>19</v>
      </c>
      <c r="K7">
        <v>0</v>
      </c>
      <c r="L7">
        <v>1</v>
      </c>
      <c r="M7">
        <v>0</v>
      </c>
      <c r="N7" t="s">
        <v>72</v>
      </c>
    </row>
    <row r="8" spans="1:14" x14ac:dyDescent="0.3">
      <c r="A8" t="s">
        <v>19</v>
      </c>
      <c r="B8">
        <v>9819</v>
      </c>
      <c r="C8">
        <v>33.845100000000002</v>
      </c>
      <c r="D8">
        <v>0.53259999999999996</v>
      </c>
      <c r="E8">
        <v>0.70179999999999998</v>
      </c>
      <c r="F8">
        <v>0.70179999999999998</v>
      </c>
      <c r="G8">
        <v>1.1863999999999999</v>
      </c>
      <c r="H8">
        <v>1.1761999999999999</v>
      </c>
      <c r="I8">
        <v>0.1308</v>
      </c>
      <c r="J8">
        <v>10</v>
      </c>
      <c r="K8">
        <v>0</v>
      </c>
      <c r="L8">
        <v>1</v>
      </c>
      <c r="M8">
        <v>0</v>
      </c>
      <c r="N8" t="s">
        <v>72</v>
      </c>
    </row>
    <row r="9" spans="1:14" x14ac:dyDescent="0.3">
      <c r="A9" t="s">
        <v>20</v>
      </c>
      <c r="B9">
        <v>16737</v>
      </c>
      <c r="C9">
        <v>17.994900000000001</v>
      </c>
      <c r="D9">
        <v>0.43880000000000002</v>
      </c>
      <c r="E9">
        <v>0.52359999999999995</v>
      </c>
      <c r="F9">
        <v>0.43469999999999998</v>
      </c>
      <c r="G9">
        <v>1.1748000000000001</v>
      </c>
      <c r="H9">
        <v>0.97950000000000004</v>
      </c>
      <c r="I9">
        <v>7.5999999999999998E-2</v>
      </c>
      <c r="J9">
        <v>26</v>
      </c>
      <c r="K9">
        <v>0</v>
      </c>
      <c r="L9">
        <v>1</v>
      </c>
      <c r="M9">
        <v>0</v>
      </c>
      <c r="N9" t="s">
        <v>73</v>
      </c>
    </row>
    <row r="10" spans="1:14" x14ac:dyDescent="0.3">
      <c r="A10" t="s">
        <v>21</v>
      </c>
      <c r="B10">
        <v>4168</v>
      </c>
      <c r="C10">
        <v>-6.7091000000000003</v>
      </c>
      <c r="D10">
        <v>4.2599999999999999E-2</v>
      </c>
      <c r="E10">
        <v>0.78600000000000003</v>
      </c>
      <c r="F10">
        <v>0.67149999999999999</v>
      </c>
      <c r="G10">
        <v>1.2963</v>
      </c>
      <c r="H10">
        <v>0.62880000000000003</v>
      </c>
      <c r="I10">
        <v>0.19900000000000001</v>
      </c>
      <c r="J10">
        <v>57</v>
      </c>
      <c r="K10">
        <v>0</v>
      </c>
      <c r="L10">
        <v>0</v>
      </c>
      <c r="M10">
        <v>0</v>
      </c>
      <c r="N10" t="s">
        <v>73</v>
      </c>
    </row>
    <row r="11" spans="1:14" x14ac:dyDescent="0.3">
      <c r="A11" t="s">
        <v>22</v>
      </c>
      <c r="B11">
        <v>38917</v>
      </c>
      <c r="C11">
        <v>11.1326</v>
      </c>
      <c r="D11">
        <v>0.1898</v>
      </c>
      <c r="E11">
        <v>0.40189999999999998</v>
      </c>
      <c r="F11">
        <v>0.1401</v>
      </c>
      <c r="G11">
        <v>1.1728000000000001</v>
      </c>
      <c r="H11">
        <v>1.0867</v>
      </c>
      <c r="I11">
        <v>2.4199999999999999E-2</v>
      </c>
      <c r="J11">
        <v>14</v>
      </c>
      <c r="K11">
        <v>1</v>
      </c>
      <c r="L11">
        <v>1</v>
      </c>
      <c r="M11">
        <v>0</v>
      </c>
      <c r="N11" t="s">
        <v>73</v>
      </c>
    </row>
    <row r="12" spans="1:14" x14ac:dyDescent="0.3">
      <c r="A12" t="s">
        <v>23</v>
      </c>
      <c r="B12">
        <v>3813</v>
      </c>
      <c r="C12">
        <v>4.4080000000000004</v>
      </c>
      <c r="D12">
        <v>0.217</v>
      </c>
      <c r="E12">
        <v>0.53979999999999995</v>
      </c>
      <c r="F12">
        <v>0.45329999999999998</v>
      </c>
      <c r="G12">
        <v>1.1907000000000001</v>
      </c>
      <c r="H12">
        <v>0.88939999999999997</v>
      </c>
      <c r="I12">
        <v>8.6400000000000005E-2</v>
      </c>
      <c r="J12">
        <v>27</v>
      </c>
      <c r="K12">
        <v>0</v>
      </c>
      <c r="L12">
        <v>1</v>
      </c>
      <c r="M12">
        <v>0</v>
      </c>
      <c r="N12" t="s">
        <v>72</v>
      </c>
    </row>
    <row r="13" spans="1:14" x14ac:dyDescent="0.3">
      <c r="A13" t="s">
        <v>24</v>
      </c>
      <c r="B13">
        <v>4049</v>
      </c>
      <c r="C13">
        <v>9.4606999999999992</v>
      </c>
      <c r="D13">
        <v>0.29220000000000002</v>
      </c>
      <c r="E13">
        <v>0.63160000000000005</v>
      </c>
      <c r="F13">
        <v>0.52969999999999995</v>
      </c>
      <c r="G13">
        <v>1.3874</v>
      </c>
      <c r="H13">
        <v>0.88090000000000002</v>
      </c>
      <c r="I13">
        <v>0.20519999999999999</v>
      </c>
      <c r="J13">
        <v>18</v>
      </c>
      <c r="K13">
        <v>0</v>
      </c>
      <c r="L13">
        <v>0</v>
      </c>
      <c r="M13">
        <v>0</v>
      </c>
      <c r="N13" t="s">
        <v>72</v>
      </c>
    </row>
    <row r="14" spans="1:14" x14ac:dyDescent="0.3">
      <c r="A14" t="s">
        <v>25</v>
      </c>
      <c r="B14">
        <v>6912</v>
      </c>
      <c r="C14">
        <v>24.532499999999999</v>
      </c>
      <c r="D14">
        <v>0.3483</v>
      </c>
      <c r="E14">
        <v>0.78659999999999997</v>
      </c>
      <c r="F14">
        <v>0.78659999999999997</v>
      </c>
      <c r="G14">
        <v>0.94199999999999995</v>
      </c>
      <c r="H14">
        <v>0.70630000000000004</v>
      </c>
      <c r="I14">
        <v>-4.5699999999999998E-2</v>
      </c>
      <c r="J14">
        <v>39</v>
      </c>
      <c r="K14">
        <v>0</v>
      </c>
      <c r="L14">
        <v>1</v>
      </c>
      <c r="M14">
        <v>0</v>
      </c>
      <c r="N14" t="s">
        <v>72</v>
      </c>
    </row>
    <row r="15" spans="1:14" x14ac:dyDescent="0.3">
      <c r="A15" t="s">
        <v>26</v>
      </c>
      <c r="B15">
        <v>11362</v>
      </c>
      <c r="C15">
        <v>-37.35</v>
      </c>
      <c r="D15">
        <v>-8.14E-2</v>
      </c>
      <c r="E15">
        <v>3.5335999999999999</v>
      </c>
      <c r="F15">
        <v>0.63009999999999999</v>
      </c>
      <c r="G15">
        <v>1.1943999999999999</v>
      </c>
      <c r="H15">
        <v>1.1639999999999999</v>
      </c>
      <c r="I15">
        <v>0.1225</v>
      </c>
      <c r="J15">
        <v>22</v>
      </c>
      <c r="K15">
        <v>0</v>
      </c>
      <c r="L15">
        <v>1</v>
      </c>
      <c r="M15">
        <v>0</v>
      </c>
      <c r="N15" t="s">
        <v>73</v>
      </c>
    </row>
    <row r="16" spans="1:14" x14ac:dyDescent="0.3">
      <c r="A16" t="s">
        <v>27</v>
      </c>
      <c r="B16">
        <v>24261</v>
      </c>
      <c r="C16">
        <v>9.0815000000000001</v>
      </c>
      <c r="D16">
        <v>0.26429999999999998</v>
      </c>
      <c r="E16">
        <v>0.5736</v>
      </c>
      <c r="F16">
        <v>0.50719999999999998</v>
      </c>
      <c r="G16">
        <v>1.3533999999999999</v>
      </c>
      <c r="H16">
        <v>0.44400000000000001</v>
      </c>
      <c r="I16">
        <v>0.1792</v>
      </c>
      <c r="J16">
        <v>25</v>
      </c>
      <c r="K16">
        <v>0</v>
      </c>
      <c r="L16">
        <v>0</v>
      </c>
      <c r="M16">
        <v>0</v>
      </c>
      <c r="N16" t="s">
        <v>72</v>
      </c>
    </row>
    <row r="17" spans="1:14" x14ac:dyDescent="0.3">
      <c r="A17" t="s">
        <v>28</v>
      </c>
      <c r="B17">
        <v>47679</v>
      </c>
      <c r="C17">
        <v>10.0875</v>
      </c>
      <c r="D17">
        <v>0.2596</v>
      </c>
      <c r="E17">
        <v>0.81699999999999995</v>
      </c>
      <c r="F17">
        <v>0.39989999999999998</v>
      </c>
      <c r="G17">
        <v>1.6963999999999999</v>
      </c>
      <c r="H17">
        <v>1.2495000000000001</v>
      </c>
      <c r="I17">
        <v>0.27850000000000003</v>
      </c>
      <c r="J17">
        <v>3</v>
      </c>
      <c r="K17">
        <v>0</v>
      </c>
      <c r="L17">
        <v>1</v>
      </c>
      <c r="M17">
        <v>0</v>
      </c>
      <c r="N17" t="s">
        <v>73</v>
      </c>
    </row>
    <row r="18" spans="1:14" x14ac:dyDescent="0.3">
      <c r="A18" t="s">
        <v>29</v>
      </c>
      <c r="B18">
        <v>22461</v>
      </c>
      <c r="C18">
        <v>2.637</v>
      </c>
      <c r="D18">
        <v>0.16719999999999999</v>
      </c>
      <c r="E18">
        <v>0.1212</v>
      </c>
      <c r="F18">
        <v>0.1212</v>
      </c>
      <c r="G18">
        <v>4.4465000000000003</v>
      </c>
      <c r="H18">
        <v>3.3635000000000002</v>
      </c>
      <c r="I18">
        <v>0.41760000000000003</v>
      </c>
      <c r="J18">
        <v>90</v>
      </c>
      <c r="K18">
        <v>0</v>
      </c>
      <c r="L18">
        <v>0</v>
      </c>
      <c r="M18">
        <v>0</v>
      </c>
      <c r="N18" t="s">
        <v>73</v>
      </c>
    </row>
    <row r="19" spans="1:14" x14ac:dyDescent="0.3">
      <c r="A19" t="s">
        <v>30</v>
      </c>
      <c r="B19">
        <v>24001</v>
      </c>
      <c r="C19">
        <v>-9.2211999999999996</v>
      </c>
      <c r="D19">
        <v>5.1000000000000004E-3</v>
      </c>
      <c r="E19">
        <v>0.876</v>
      </c>
      <c r="F19">
        <v>0.27610000000000001</v>
      </c>
      <c r="G19">
        <v>2.1924999999999999</v>
      </c>
      <c r="H19">
        <v>1.0912999999999999</v>
      </c>
      <c r="I19">
        <v>0.32929999999999998</v>
      </c>
      <c r="J19">
        <v>25</v>
      </c>
      <c r="K19">
        <v>0</v>
      </c>
      <c r="L19">
        <v>1</v>
      </c>
      <c r="M19">
        <v>0</v>
      </c>
      <c r="N19" t="s">
        <v>72</v>
      </c>
    </row>
    <row r="20" spans="1:14" x14ac:dyDescent="0.3">
      <c r="A20" t="s">
        <v>31</v>
      </c>
      <c r="B20">
        <v>4818</v>
      </c>
      <c r="C20">
        <v>-8.8514999999999997</v>
      </c>
      <c r="D20">
        <v>-9.5500000000000002E-2</v>
      </c>
      <c r="E20">
        <v>0.5081</v>
      </c>
      <c r="F20">
        <v>0.50139999999999996</v>
      </c>
      <c r="G20">
        <v>1.6033999999999999</v>
      </c>
      <c r="H20">
        <v>1.3363</v>
      </c>
      <c r="I20">
        <v>0.30249999999999999</v>
      </c>
      <c r="J20">
        <v>28</v>
      </c>
      <c r="K20">
        <v>0</v>
      </c>
      <c r="L20">
        <v>1</v>
      </c>
      <c r="M20">
        <v>0</v>
      </c>
      <c r="N20" t="s">
        <v>72</v>
      </c>
    </row>
    <row r="21" spans="1:14" x14ac:dyDescent="0.3">
      <c r="A21" t="s">
        <v>32</v>
      </c>
      <c r="B21">
        <v>3518</v>
      </c>
      <c r="C21">
        <v>-2.9022000000000001</v>
      </c>
      <c r="D21">
        <v>2.4899999999999999E-2</v>
      </c>
      <c r="E21">
        <v>0.74890000000000001</v>
      </c>
      <c r="F21">
        <v>0.40600000000000003</v>
      </c>
      <c r="G21">
        <v>1.2253000000000001</v>
      </c>
      <c r="H21">
        <v>0.92069999999999996</v>
      </c>
      <c r="I21">
        <v>9.1499999999999998E-2</v>
      </c>
      <c r="J21">
        <v>36</v>
      </c>
      <c r="K21">
        <v>1</v>
      </c>
      <c r="L21">
        <v>1</v>
      </c>
      <c r="M21">
        <v>0</v>
      </c>
      <c r="N21" t="s">
        <v>73</v>
      </c>
    </row>
    <row r="22" spans="1:14" x14ac:dyDescent="0.3">
      <c r="A22" t="s">
        <v>33</v>
      </c>
      <c r="B22">
        <v>2857</v>
      </c>
      <c r="C22">
        <v>4.4519000000000002</v>
      </c>
      <c r="D22">
        <v>0.14369999999999999</v>
      </c>
      <c r="E22">
        <v>0.7228</v>
      </c>
      <c r="F22">
        <v>0.54579999999999995</v>
      </c>
      <c r="G22">
        <v>0.92249999999999999</v>
      </c>
      <c r="H22">
        <v>0.69289999999999996</v>
      </c>
      <c r="I22">
        <v>-4.2299999999999997E-2</v>
      </c>
      <c r="J22">
        <v>9</v>
      </c>
      <c r="K22">
        <v>0</v>
      </c>
      <c r="L22">
        <v>0</v>
      </c>
      <c r="M22">
        <v>0</v>
      </c>
      <c r="N22" t="s">
        <v>72</v>
      </c>
    </row>
    <row r="23" spans="1:14" x14ac:dyDescent="0.3">
      <c r="A23" t="s">
        <v>34</v>
      </c>
      <c r="B23">
        <v>9433</v>
      </c>
      <c r="C23">
        <v>6.3358999999999996</v>
      </c>
      <c r="D23">
        <v>0.26669999999999999</v>
      </c>
      <c r="E23">
        <v>0.45490000000000003</v>
      </c>
      <c r="F23">
        <v>0.39829999999999999</v>
      </c>
      <c r="G23">
        <v>1.5444</v>
      </c>
      <c r="H23">
        <v>1.2766</v>
      </c>
      <c r="I23">
        <v>0.21690000000000001</v>
      </c>
      <c r="J23">
        <v>81</v>
      </c>
      <c r="K23">
        <v>0</v>
      </c>
      <c r="L23">
        <v>0</v>
      </c>
      <c r="M23">
        <v>0</v>
      </c>
      <c r="N23" t="s">
        <v>72</v>
      </c>
    </row>
    <row r="24" spans="1:14" x14ac:dyDescent="0.3">
      <c r="A24" t="s">
        <v>35</v>
      </c>
      <c r="B24">
        <v>103541</v>
      </c>
      <c r="C24">
        <v>14.2607</v>
      </c>
      <c r="D24">
        <v>0.21529999999999999</v>
      </c>
      <c r="E24">
        <v>0.74119999999999997</v>
      </c>
      <c r="F24">
        <v>0.74119999999999997</v>
      </c>
      <c r="G24">
        <v>1.1223000000000001</v>
      </c>
      <c r="H24">
        <v>0.79210000000000003</v>
      </c>
      <c r="I24">
        <v>9.06E-2</v>
      </c>
      <c r="J24">
        <v>28</v>
      </c>
      <c r="K24">
        <v>1</v>
      </c>
      <c r="L24">
        <v>1</v>
      </c>
      <c r="M24">
        <v>0</v>
      </c>
      <c r="N24" t="s">
        <v>72</v>
      </c>
    </row>
    <row r="25" spans="1:14" x14ac:dyDescent="0.3">
      <c r="A25" t="s">
        <v>36</v>
      </c>
      <c r="B25">
        <v>3310</v>
      </c>
      <c r="C25">
        <v>6.7887000000000004</v>
      </c>
      <c r="D25">
        <v>0.47960000000000003</v>
      </c>
      <c r="E25">
        <v>0.50739999999999996</v>
      </c>
      <c r="F25">
        <v>0.34260000000000002</v>
      </c>
      <c r="G25">
        <v>1.4407000000000001</v>
      </c>
      <c r="H25">
        <v>1.3364</v>
      </c>
      <c r="I25">
        <v>0.151</v>
      </c>
      <c r="J25">
        <v>51</v>
      </c>
      <c r="K25">
        <v>0</v>
      </c>
      <c r="L25">
        <v>0</v>
      </c>
      <c r="M25">
        <v>0</v>
      </c>
      <c r="N25" t="s">
        <v>72</v>
      </c>
    </row>
    <row r="26" spans="1:14" x14ac:dyDescent="0.3">
      <c r="A26" t="s">
        <v>37</v>
      </c>
      <c r="B26">
        <v>99520</v>
      </c>
      <c r="C26">
        <v>-7.1056999999999997</v>
      </c>
      <c r="D26">
        <v>-1.01E-2</v>
      </c>
      <c r="E26">
        <v>0.64949999999999997</v>
      </c>
      <c r="F26">
        <v>0.15379999999999999</v>
      </c>
      <c r="G26">
        <v>1.5267999999999999</v>
      </c>
      <c r="H26">
        <v>1.2591000000000001</v>
      </c>
      <c r="I26">
        <v>8.1000000000000003E-2</v>
      </c>
      <c r="J26">
        <v>13</v>
      </c>
      <c r="K26">
        <v>1</v>
      </c>
      <c r="L26">
        <v>1</v>
      </c>
      <c r="M26">
        <v>0</v>
      </c>
      <c r="N26" t="s">
        <v>72</v>
      </c>
    </row>
    <row r="27" spans="1:14" x14ac:dyDescent="0.3">
      <c r="A27" t="s">
        <v>38</v>
      </c>
      <c r="B27">
        <v>6336</v>
      </c>
      <c r="C27">
        <v>4.4825999999999997</v>
      </c>
      <c r="D27">
        <v>0.1305</v>
      </c>
      <c r="E27">
        <v>0.73550000000000004</v>
      </c>
      <c r="F27">
        <v>0.61980000000000002</v>
      </c>
      <c r="G27">
        <v>1.0992999999999999</v>
      </c>
      <c r="H27">
        <v>0.47210000000000002</v>
      </c>
      <c r="I27">
        <v>6.1600000000000002E-2</v>
      </c>
      <c r="J27">
        <v>16</v>
      </c>
      <c r="K27">
        <v>0</v>
      </c>
      <c r="L27">
        <v>1</v>
      </c>
      <c r="M27">
        <v>0</v>
      </c>
      <c r="N27" t="s">
        <v>73</v>
      </c>
    </row>
    <row r="28" spans="1:14" x14ac:dyDescent="0.3">
      <c r="A28" t="s">
        <v>39</v>
      </c>
      <c r="B28">
        <v>5814</v>
      </c>
      <c r="C28">
        <v>8.0061999999999998</v>
      </c>
      <c r="D28">
        <v>0.36109999999999998</v>
      </c>
      <c r="E28">
        <v>0.40339999999999998</v>
      </c>
      <c r="F28">
        <v>0.40339999999999998</v>
      </c>
      <c r="G28">
        <v>1.5610999999999999</v>
      </c>
      <c r="H28">
        <v>1.2662</v>
      </c>
      <c r="I28">
        <v>0.2263</v>
      </c>
      <c r="J28">
        <v>33</v>
      </c>
      <c r="K28">
        <v>0</v>
      </c>
      <c r="L28">
        <v>1</v>
      </c>
      <c r="M28">
        <v>0</v>
      </c>
      <c r="N28" t="s">
        <v>72</v>
      </c>
    </row>
    <row r="29" spans="1:14" x14ac:dyDescent="0.3">
      <c r="A29" t="s">
        <v>40</v>
      </c>
      <c r="B29">
        <v>3514</v>
      </c>
      <c r="C29">
        <v>-16.803000000000001</v>
      </c>
      <c r="D29">
        <v>-0.10639999999999999</v>
      </c>
      <c r="E29">
        <v>1.1831</v>
      </c>
      <c r="F29">
        <v>1.1831</v>
      </c>
      <c r="G29">
        <v>0.7944</v>
      </c>
      <c r="H29">
        <v>0.64910000000000001</v>
      </c>
      <c r="I29">
        <v>-0.2432</v>
      </c>
      <c r="J29">
        <v>6</v>
      </c>
      <c r="K29">
        <v>0</v>
      </c>
      <c r="L29">
        <v>1</v>
      </c>
      <c r="M29">
        <v>0</v>
      </c>
      <c r="N29" t="s">
        <v>73</v>
      </c>
    </row>
    <row r="30" spans="1:14" x14ac:dyDescent="0.3">
      <c r="A30" t="s">
        <v>41</v>
      </c>
      <c r="B30">
        <v>7864</v>
      </c>
      <c r="C30">
        <v>1.7552000000000001</v>
      </c>
      <c r="D30">
        <v>0.12379999999999999</v>
      </c>
      <c r="E30">
        <v>0.75690000000000002</v>
      </c>
      <c r="F30">
        <v>0.69650000000000001</v>
      </c>
      <c r="G30">
        <v>0.50439999999999996</v>
      </c>
      <c r="H30">
        <v>0.44140000000000001</v>
      </c>
      <c r="I30">
        <v>-0.34520000000000001</v>
      </c>
      <c r="J30">
        <v>24</v>
      </c>
      <c r="K30">
        <v>0</v>
      </c>
      <c r="L30">
        <v>0</v>
      </c>
      <c r="M30">
        <v>0</v>
      </c>
      <c r="N30" t="s">
        <v>73</v>
      </c>
    </row>
    <row r="31" spans="1:14" x14ac:dyDescent="0.3">
      <c r="A31" t="s">
        <v>42</v>
      </c>
      <c r="B31">
        <v>37415</v>
      </c>
      <c r="C31">
        <v>-8.3371999999999993</v>
      </c>
      <c r="D31">
        <v>-2.5999999999999999E-2</v>
      </c>
      <c r="E31">
        <v>0.7883</v>
      </c>
      <c r="F31">
        <v>0.7883</v>
      </c>
      <c r="G31">
        <v>0.79759999999999998</v>
      </c>
      <c r="H31">
        <v>0.56310000000000004</v>
      </c>
      <c r="I31">
        <v>-0.15959999999999999</v>
      </c>
      <c r="J31">
        <v>40</v>
      </c>
      <c r="K31">
        <v>0</v>
      </c>
      <c r="L31">
        <v>1</v>
      </c>
      <c r="M31">
        <v>0</v>
      </c>
      <c r="N31" t="s">
        <v>73</v>
      </c>
    </row>
    <row r="32" spans="1:14" x14ac:dyDescent="0.3">
      <c r="A32" t="s">
        <v>43</v>
      </c>
      <c r="B32">
        <v>3691</v>
      </c>
      <c r="C32">
        <v>4.0960999999999999</v>
      </c>
      <c r="D32">
        <v>0.17810000000000001</v>
      </c>
      <c r="E32">
        <v>0.72860000000000003</v>
      </c>
      <c r="F32">
        <v>0.70340000000000003</v>
      </c>
      <c r="G32">
        <v>1.1660999999999999</v>
      </c>
      <c r="H32">
        <v>0.55979999999999996</v>
      </c>
      <c r="I32">
        <v>0.1169</v>
      </c>
      <c r="J32">
        <v>16</v>
      </c>
      <c r="K32">
        <v>1</v>
      </c>
      <c r="L32">
        <v>0</v>
      </c>
      <c r="M32">
        <v>1</v>
      </c>
      <c r="N32" t="s">
        <v>72</v>
      </c>
    </row>
    <row r="33" spans="1:14" x14ac:dyDescent="0.3">
      <c r="A33" t="s">
        <v>44</v>
      </c>
      <c r="B33">
        <v>6398</v>
      </c>
      <c r="C33">
        <v>-11.593</v>
      </c>
      <c r="D33">
        <v>-3.5900000000000001E-2</v>
      </c>
      <c r="E33">
        <v>0.86129999999999995</v>
      </c>
      <c r="F33">
        <v>0.70809999999999995</v>
      </c>
      <c r="G33">
        <v>1.0629999999999999</v>
      </c>
      <c r="H33">
        <v>0.55920000000000003</v>
      </c>
      <c r="I33">
        <v>4.4600000000000001E-2</v>
      </c>
      <c r="J33">
        <v>3</v>
      </c>
      <c r="K33">
        <v>0</v>
      </c>
      <c r="L33">
        <v>1</v>
      </c>
      <c r="M33">
        <v>1</v>
      </c>
      <c r="N33" t="s">
        <v>72</v>
      </c>
    </row>
    <row r="34" spans="1:14" x14ac:dyDescent="0.3">
      <c r="A34" t="s">
        <v>45</v>
      </c>
      <c r="B34">
        <v>8604</v>
      </c>
      <c r="C34">
        <v>-16.667000000000002</v>
      </c>
      <c r="D34">
        <v>-3.6299999999999999E-2</v>
      </c>
      <c r="E34">
        <v>1.0139</v>
      </c>
      <c r="F34">
        <v>1.0139</v>
      </c>
      <c r="G34">
        <v>0.74850000000000005</v>
      </c>
      <c r="H34">
        <v>0.52649999999999997</v>
      </c>
      <c r="I34">
        <v>-0.255</v>
      </c>
      <c r="J34">
        <v>90</v>
      </c>
      <c r="K34">
        <v>0</v>
      </c>
      <c r="L34">
        <v>0</v>
      </c>
      <c r="M34">
        <v>1</v>
      </c>
      <c r="N34" t="s">
        <v>73</v>
      </c>
    </row>
    <row r="35" spans="1:14" x14ac:dyDescent="0.3">
      <c r="A35" t="s">
        <v>46</v>
      </c>
      <c r="B35">
        <v>17295</v>
      </c>
      <c r="C35">
        <v>5.3741000000000003</v>
      </c>
      <c r="D35">
        <v>0.1691</v>
      </c>
      <c r="E35">
        <v>0.88129999999999997</v>
      </c>
      <c r="F35">
        <v>0.75849999999999995</v>
      </c>
      <c r="G35">
        <v>0.85560000000000003</v>
      </c>
      <c r="H35">
        <v>0.51819999999999999</v>
      </c>
      <c r="I35">
        <v>-0.1095</v>
      </c>
      <c r="J35">
        <v>2</v>
      </c>
      <c r="K35">
        <v>0</v>
      </c>
      <c r="L35">
        <v>1</v>
      </c>
      <c r="M35">
        <v>1</v>
      </c>
      <c r="N35" t="s">
        <v>73</v>
      </c>
    </row>
    <row r="36" spans="1:14" x14ac:dyDescent="0.3">
      <c r="A36" t="s">
        <v>47</v>
      </c>
      <c r="B36">
        <v>3340</v>
      </c>
      <c r="C36">
        <v>-4.2769000000000004</v>
      </c>
      <c r="D36">
        <v>4.3900000000000002E-2</v>
      </c>
      <c r="E36">
        <v>0.57630000000000003</v>
      </c>
      <c r="F36">
        <v>0.56000000000000005</v>
      </c>
      <c r="G36">
        <v>0.84330000000000005</v>
      </c>
      <c r="H36">
        <v>0.51729999999999998</v>
      </c>
      <c r="I36">
        <v>-8.77E-2</v>
      </c>
      <c r="J36">
        <v>17</v>
      </c>
      <c r="K36">
        <v>1</v>
      </c>
      <c r="L36">
        <v>0</v>
      </c>
      <c r="M36">
        <v>1</v>
      </c>
      <c r="N36" t="s">
        <v>73</v>
      </c>
    </row>
    <row r="37" spans="1:14" x14ac:dyDescent="0.3">
      <c r="A37" t="s">
        <v>48</v>
      </c>
      <c r="B37">
        <v>5574</v>
      </c>
      <c r="C37">
        <v>-0.4819</v>
      </c>
      <c r="D37">
        <v>8.6599999999999996E-2</v>
      </c>
      <c r="E37">
        <v>0.80079999999999996</v>
      </c>
      <c r="F37">
        <v>0.7772</v>
      </c>
      <c r="G37">
        <v>0.71309999999999996</v>
      </c>
      <c r="H37">
        <v>0.56669999999999998</v>
      </c>
      <c r="I37">
        <v>-0.223</v>
      </c>
      <c r="J37">
        <v>32</v>
      </c>
      <c r="K37">
        <v>0</v>
      </c>
      <c r="L37">
        <v>0</v>
      </c>
      <c r="M37">
        <v>1</v>
      </c>
      <c r="N37" t="s">
        <v>72</v>
      </c>
    </row>
    <row r="38" spans="1:14" x14ac:dyDescent="0.3">
      <c r="A38" t="s">
        <v>49</v>
      </c>
      <c r="B38">
        <v>5105</v>
      </c>
      <c r="C38">
        <v>26.500599999999999</v>
      </c>
      <c r="D38">
        <v>0.42770000000000002</v>
      </c>
      <c r="E38">
        <v>0.70050000000000001</v>
      </c>
      <c r="F38">
        <v>0.70050000000000001</v>
      </c>
      <c r="G38">
        <v>1.3217000000000001</v>
      </c>
      <c r="H38">
        <v>1.2667999999999999</v>
      </c>
      <c r="I38">
        <v>0.22539999999999999</v>
      </c>
      <c r="J38">
        <v>2</v>
      </c>
      <c r="K38">
        <v>0</v>
      </c>
      <c r="L38">
        <v>1</v>
      </c>
      <c r="M38">
        <v>1</v>
      </c>
      <c r="N38" t="s">
        <v>73</v>
      </c>
    </row>
    <row r="39" spans="1:14" x14ac:dyDescent="0.3">
      <c r="A39" t="s">
        <v>50</v>
      </c>
      <c r="B39">
        <v>11528</v>
      </c>
      <c r="C39">
        <v>1.3274999999999999</v>
      </c>
      <c r="D39">
        <v>6.6000000000000003E-2</v>
      </c>
      <c r="E39">
        <v>0.71240000000000003</v>
      </c>
      <c r="F39">
        <v>0.63770000000000004</v>
      </c>
      <c r="G39">
        <v>0.99670000000000003</v>
      </c>
      <c r="H39">
        <v>0.94379999999999997</v>
      </c>
      <c r="I39">
        <v>-2.0999999999999999E-3</v>
      </c>
      <c r="J39">
        <v>40</v>
      </c>
      <c r="K39">
        <v>0</v>
      </c>
      <c r="L39">
        <v>0</v>
      </c>
      <c r="M39">
        <v>1</v>
      </c>
      <c r="N39" t="s">
        <v>73</v>
      </c>
    </row>
    <row r="40" spans="1:14" x14ac:dyDescent="0.3">
      <c r="A40" t="s">
        <v>51</v>
      </c>
      <c r="B40">
        <v>29300</v>
      </c>
      <c r="C40">
        <v>7.4499999999999997E-2</v>
      </c>
      <c r="D40">
        <v>6.83E-2</v>
      </c>
      <c r="E40">
        <v>0.59770000000000001</v>
      </c>
      <c r="F40">
        <v>0.47670000000000001</v>
      </c>
      <c r="G40">
        <v>1.1994</v>
      </c>
      <c r="H40">
        <v>0.75129999999999997</v>
      </c>
      <c r="I40">
        <v>9.5100000000000004E-2</v>
      </c>
      <c r="J40">
        <v>25</v>
      </c>
      <c r="K40">
        <v>0</v>
      </c>
      <c r="L40">
        <v>0</v>
      </c>
      <c r="M40">
        <v>1</v>
      </c>
      <c r="N40" t="s">
        <v>72</v>
      </c>
    </row>
    <row r="41" spans="1:14" x14ac:dyDescent="0.3">
      <c r="A41" t="s">
        <v>52</v>
      </c>
      <c r="B41">
        <v>2958</v>
      </c>
      <c r="C41">
        <v>-9.4013000000000009</v>
      </c>
      <c r="D41">
        <v>1.4500000000000001E-2</v>
      </c>
      <c r="E41">
        <v>1.4864999999999999</v>
      </c>
      <c r="F41">
        <v>1.4864999999999999</v>
      </c>
      <c r="G41">
        <v>0.49740000000000001</v>
      </c>
      <c r="H41">
        <v>0.28470000000000001</v>
      </c>
      <c r="I41">
        <v>-0.747</v>
      </c>
      <c r="J41">
        <v>11</v>
      </c>
      <c r="K41">
        <v>0</v>
      </c>
      <c r="L41">
        <v>0</v>
      </c>
      <c r="M41">
        <v>1</v>
      </c>
      <c r="N41" t="s">
        <v>72</v>
      </c>
    </row>
    <row r="42" spans="1:14" x14ac:dyDescent="0.3">
      <c r="A42" t="s">
        <v>53</v>
      </c>
      <c r="B42">
        <v>2978</v>
      </c>
      <c r="C42">
        <v>8.5486000000000004</v>
      </c>
      <c r="D42">
        <v>0.32850000000000001</v>
      </c>
      <c r="E42">
        <v>0.38979999999999998</v>
      </c>
      <c r="F42">
        <v>0.38829999999999998</v>
      </c>
      <c r="G42">
        <v>2.0518999999999998</v>
      </c>
      <c r="H42">
        <v>1.8492999999999999</v>
      </c>
      <c r="I42">
        <v>0.40839999999999999</v>
      </c>
      <c r="J42">
        <v>9</v>
      </c>
      <c r="K42">
        <v>0</v>
      </c>
      <c r="L42">
        <v>1</v>
      </c>
      <c r="M42">
        <v>1</v>
      </c>
      <c r="N42" t="s">
        <v>73</v>
      </c>
    </row>
    <row r="43" spans="1:14" x14ac:dyDescent="0.3">
      <c r="A43" t="s">
        <v>54</v>
      </c>
      <c r="B43">
        <v>47237</v>
      </c>
      <c r="C43">
        <v>-2.5558999999999998</v>
      </c>
      <c r="D43">
        <v>7.3499999999999996E-2</v>
      </c>
      <c r="E43">
        <v>1.0072000000000001</v>
      </c>
      <c r="F43">
        <v>0.85160000000000002</v>
      </c>
      <c r="G43">
        <v>0.74370000000000003</v>
      </c>
      <c r="H43">
        <v>0.4385</v>
      </c>
      <c r="I43">
        <v>-0.21829999999999999</v>
      </c>
      <c r="J43">
        <v>8</v>
      </c>
      <c r="K43">
        <v>0</v>
      </c>
      <c r="L43">
        <v>1</v>
      </c>
      <c r="M43">
        <v>1</v>
      </c>
      <c r="N43" t="s">
        <v>72</v>
      </c>
    </row>
    <row r="44" spans="1:14" x14ac:dyDescent="0.3">
      <c r="A44" t="s">
        <v>55</v>
      </c>
      <c r="B44">
        <v>8125</v>
      </c>
      <c r="C44">
        <v>1.0502</v>
      </c>
      <c r="D44">
        <v>0.1358</v>
      </c>
      <c r="E44">
        <v>0.80979999999999996</v>
      </c>
      <c r="F44">
        <v>0.75849999999999995</v>
      </c>
      <c r="G44">
        <v>0.67379999999999995</v>
      </c>
      <c r="H44">
        <v>0.45960000000000001</v>
      </c>
      <c r="I44">
        <v>-0.24740000000000001</v>
      </c>
      <c r="J44">
        <v>59</v>
      </c>
      <c r="K44">
        <v>0</v>
      </c>
      <c r="L44">
        <v>0</v>
      </c>
      <c r="M44">
        <v>1</v>
      </c>
      <c r="N44" t="s">
        <v>73</v>
      </c>
    </row>
    <row r="45" spans="1:14" x14ac:dyDescent="0.3">
      <c r="A45" t="s">
        <v>56</v>
      </c>
      <c r="B45">
        <v>10339</v>
      </c>
      <c r="C45">
        <v>4.4451999999999998</v>
      </c>
      <c r="D45">
        <v>0.1176</v>
      </c>
      <c r="E45">
        <v>0.74609999999999999</v>
      </c>
      <c r="F45">
        <v>0.65600000000000003</v>
      </c>
      <c r="G45">
        <v>1.1398999999999999</v>
      </c>
      <c r="H45">
        <v>0.62960000000000005</v>
      </c>
      <c r="I45">
        <v>9.1800000000000007E-2</v>
      </c>
      <c r="J45">
        <v>19</v>
      </c>
      <c r="K45">
        <v>0</v>
      </c>
      <c r="L45">
        <v>0</v>
      </c>
      <c r="M45">
        <v>1</v>
      </c>
      <c r="N45" t="s">
        <v>72</v>
      </c>
    </row>
    <row r="46" spans="1:14" x14ac:dyDescent="0.3">
      <c r="A46" t="s">
        <v>57</v>
      </c>
      <c r="B46">
        <v>27599</v>
      </c>
      <c r="C46">
        <v>-5.9040999999999997</v>
      </c>
      <c r="D46">
        <v>5.1900000000000002E-2</v>
      </c>
      <c r="E46">
        <v>0.79769999999999996</v>
      </c>
      <c r="F46">
        <v>0.4824</v>
      </c>
      <c r="G46">
        <v>0.89590000000000003</v>
      </c>
      <c r="H46">
        <v>0.75139999999999996</v>
      </c>
      <c r="I46">
        <v>-5.0200000000000002E-2</v>
      </c>
      <c r="J46">
        <v>21</v>
      </c>
      <c r="K46">
        <v>0</v>
      </c>
      <c r="L46">
        <v>0</v>
      </c>
      <c r="M46">
        <v>1</v>
      </c>
      <c r="N46" t="s">
        <v>72</v>
      </c>
    </row>
    <row r="47" spans="1:14" x14ac:dyDescent="0.3">
      <c r="A47" t="s">
        <v>58</v>
      </c>
      <c r="B47">
        <v>8070</v>
      </c>
      <c r="C47">
        <v>13.9864</v>
      </c>
      <c r="D47">
        <v>0.2122</v>
      </c>
      <c r="E47">
        <v>0.99690000000000001</v>
      </c>
      <c r="F47">
        <v>0.29859999999999998</v>
      </c>
      <c r="G47">
        <v>2.0674000000000001</v>
      </c>
      <c r="H47">
        <v>0.72829999999999995</v>
      </c>
      <c r="I47">
        <v>0.31879999999999997</v>
      </c>
      <c r="J47">
        <v>26</v>
      </c>
      <c r="K47">
        <v>1</v>
      </c>
      <c r="L47">
        <v>1</v>
      </c>
      <c r="M47">
        <v>1</v>
      </c>
      <c r="N47" t="s">
        <v>72</v>
      </c>
    </row>
    <row r="48" spans="1:14" x14ac:dyDescent="0.3">
      <c r="A48" t="s">
        <v>59</v>
      </c>
      <c r="B48">
        <v>48162</v>
      </c>
      <c r="C48">
        <v>6.1787000000000001</v>
      </c>
      <c r="D48">
        <v>0.1181</v>
      </c>
      <c r="E48">
        <v>0.99960000000000004</v>
      </c>
      <c r="F48">
        <v>0.74370000000000003</v>
      </c>
      <c r="G48">
        <v>1.3007</v>
      </c>
      <c r="H48">
        <v>0.90700000000000003</v>
      </c>
      <c r="I48">
        <v>0.22359999999999999</v>
      </c>
      <c r="J48">
        <v>34</v>
      </c>
      <c r="K48">
        <v>0</v>
      </c>
      <c r="L48">
        <v>0</v>
      </c>
      <c r="M48">
        <v>1</v>
      </c>
      <c r="N48" t="s">
        <v>72</v>
      </c>
    </row>
    <row r="49" spans="1:14" x14ac:dyDescent="0.3">
      <c r="A49" t="s">
        <v>60</v>
      </c>
      <c r="B49">
        <v>6953</v>
      </c>
      <c r="C49">
        <v>6.4799999999999996E-2</v>
      </c>
      <c r="D49">
        <v>0.1447</v>
      </c>
      <c r="E49">
        <v>0.95199999999999996</v>
      </c>
      <c r="F49">
        <v>0.49759999999999999</v>
      </c>
      <c r="G49">
        <v>1.0409999999999999</v>
      </c>
      <c r="H49">
        <v>0.53549999999999998</v>
      </c>
      <c r="I49">
        <v>2.0400000000000001E-2</v>
      </c>
      <c r="J49">
        <v>14</v>
      </c>
      <c r="K49">
        <v>1</v>
      </c>
      <c r="L49">
        <v>1</v>
      </c>
      <c r="M49">
        <v>1</v>
      </c>
      <c r="N49" t="s">
        <v>73</v>
      </c>
    </row>
    <row r="50" spans="1:14" x14ac:dyDescent="0.3">
      <c r="A50" t="s">
        <v>61</v>
      </c>
      <c r="B50">
        <v>3900</v>
      </c>
      <c r="C50">
        <v>-2.6840000000000002</v>
      </c>
      <c r="D50">
        <v>0.14510000000000001</v>
      </c>
      <c r="E50">
        <v>0.6925</v>
      </c>
      <c r="F50">
        <v>0.66720000000000002</v>
      </c>
      <c r="G50">
        <v>0.60860000000000003</v>
      </c>
      <c r="H50">
        <v>0.4879</v>
      </c>
      <c r="I50">
        <v>-0.2611</v>
      </c>
      <c r="J50">
        <v>3</v>
      </c>
      <c r="K50">
        <v>1</v>
      </c>
      <c r="L50">
        <v>0</v>
      </c>
      <c r="M50">
        <v>1</v>
      </c>
      <c r="N50" t="s">
        <v>73</v>
      </c>
    </row>
    <row r="51" spans="1:14" x14ac:dyDescent="0.3">
      <c r="A51" t="s">
        <v>62</v>
      </c>
      <c r="B51">
        <v>4028</v>
      </c>
      <c r="C51">
        <v>-4.9691999999999998</v>
      </c>
      <c r="D51">
        <v>3.09E-2</v>
      </c>
      <c r="E51">
        <v>0.81710000000000005</v>
      </c>
      <c r="F51">
        <v>0.75860000000000005</v>
      </c>
      <c r="G51">
        <v>1.0696000000000001</v>
      </c>
      <c r="H51">
        <v>0.92700000000000005</v>
      </c>
      <c r="I51">
        <v>5.28E-2</v>
      </c>
      <c r="J51">
        <v>14</v>
      </c>
      <c r="K51">
        <v>1</v>
      </c>
      <c r="L51">
        <v>0</v>
      </c>
      <c r="M51">
        <v>1</v>
      </c>
      <c r="N51" t="s">
        <v>72</v>
      </c>
    </row>
    <row r="52" spans="1:14" x14ac:dyDescent="0.3">
      <c r="A52" t="s">
        <v>63</v>
      </c>
      <c r="B52">
        <v>5566</v>
      </c>
      <c r="C52">
        <v>-9.4512999999999998</v>
      </c>
      <c r="D52">
        <v>-1.7899999999999999E-2</v>
      </c>
      <c r="E52">
        <v>0.7722</v>
      </c>
      <c r="F52">
        <v>0.65959999999999996</v>
      </c>
      <c r="G52">
        <v>0.77739999999999998</v>
      </c>
      <c r="H52">
        <v>0.46429999999999999</v>
      </c>
      <c r="I52">
        <v>-0.14680000000000001</v>
      </c>
      <c r="J52">
        <v>11</v>
      </c>
      <c r="K52">
        <v>0</v>
      </c>
      <c r="L52">
        <v>1</v>
      </c>
      <c r="M52">
        <v>1</v>
      </c>
      <c r="N52" t="s">
        <v>72</v>
      </c>
    </row>
    <row r="53" spans="1:14" x14ac:dyDescent="0.3">
      <c r="A53" t="s">
        <v>64</v>
      </c>
      <c r="B53">
        <v>13909</v>
      </c>
      <c r="C53">
        <v>-1.4261999999999999</v>
      </c>
      <c r="D53">
        <v>6.4199999999999993E-2</v>
      </c>
      <c r="E53">
        <v>0.68899999999999995</v>
      </c>
      <c r="F53">
        <v>0.59160000000000001</v>
      </c>
      <c r="G53">
        <v>0.94569999999999999</v>
      </c>
      <c r="H53">
        <v>0.312</v>
      </c>
      <c r="I53">
        <v>-3.2099999999999997E-2</v>
      </c>
      <c r="J53">
        <v>74</v>
      </c>
      <c r="K53">
        <v>0</v>
      </c>
      <c r="L53">
        <v>0</v>
      </c>
      <c r="M53">
        <v>1</v>
      </c>
      <c r="N53" t="s">
        <v>72</v>
      </c>
    </row>
    <row r="54" spans="1:14" x14ac:dyDescent="0.3">
      <c r="A54" t="s">
        <v>65</v>
      </c>
      <c r="B54">
        <v>3981</v>
      </c>
      <c r="C54">
        <v>-3.6023000000000001</v>
      </c>
      <c r="D54">
        <v>3.3300000000000003E-2</v>
      </c>
      <c r="E54">
        <v>0.71440000000000003</v>
      </c>
      <c r="F54">
        <v>0.52610000000000001</v>
      </c>
      <c r="G54">
        <v>0.81599999999999995</v>
      </c>
      <c r="H54">
        <v>0.6391</v>
      </c>
      <c r="I54">
        <v>-9.6799999999999997E-2</v>
      </c>
      <c r="J54">
        <v>32</v>
      </c>
      <c r="K54">
        <v>0</v>
      </c>
      <c r="L54">
        <v>0</v>
      </c>
      <c r="M54">
        <v>1</v>
      </c>
      <c r="N54" t="s">
        <v>72</v>
      </c>
    </row>
    <row r="55" spans="1:14" x14ac:dyDescent="0.3">
      <c r="A55" t="s">
        <v>66</v>
      </c>
      <c r="B55">
        <v>4999</v>
      </c>
      <c r="C55">
        <v>1.6759999999999999</v>
      </c>
      <c r="D55">
        <v>5.6500000000000002E-2</v>
      </c>
      <c r="E55">
        <v>0.99939999999999996</v>
      </c>
      <c r="F55">
        <v>0.71120000000000005</v>
      </c>
      <c r="G55">
        <v>1.1861999999999999</v>
      </c>
      <c r="H55">
        <v>0.71879999999999999</v>
      </c>
      <c r="I55">
        <v>0.13239999999999999</v>
      </c>
      <c r="J55">
        <v>2</v>
      </c>
      <c r="K55">
        <v>1</v>
      </c>
      <c r="L55">
        <v>1</v>
      </c>
      <c r="M55">
        <v>1</v>
      </c>
      <c r="N55" t="s">
        <v>73</v>
      </c>
    </row>
    <row r="56" spans="1:14" x14ac:dyDescent="0.3">
      <c r="A56" t="s">
        <v>67</v>
      </c>
      <c r="B56">
        <v>2859</v>
      </c>
      <c r="C56">
        <v>-3.5788000000000002</v>
      </c>
      <c r="D56">
        <v>3.4099999999999998E-2</v>
      </c>
      <c r="E56">
        <v>0.63900000000000001</v>
      </c>
      <c r="F56">
        <v>0.57420000000000004</v>
      </c>
      <c r="G56">
        <v>1.3541000000000001</v>
      </c>
      <c r="H56">
        <v>1.2727999999999999</v>
      </c>
      <c r="I56">
        <v>0.20330000000000001</v>
      </c>
      <c r="J56">
        <v>24</v>
      </c>
      <c r="K56">
        <v>0</v>
      </c>
      <c r="L56">
        <v>0</v>
      </c>
      <c r="M56">
        <v>1</v>
      </c>
      <c r="N56" t="s">
        <v>73</v>
      </c>
    </row>
    <row r="57" spans="1:14" x14ac:dyDescent="0.3">
      <c r="A57" t="s">
        <v>68</v>
      </c>
      <c r="B57">
        <v>28145</v>
      </c>
      <c r="C57">
        <v>0.52690000000000003</v>
      </c>
      <c r="D57">
        <v>8.5599999999999996E-2</v>
      </c>
      <c r="E57">
        <v>0.90490000000000004</v>
      </c>
      <c r="F57">
        <v>0.86180000000000001</v>
      </c>
      <c r="G57">
        <v>0.74199999999999999</v>
      </c>
      <c r="H57">
        <v>0.44569999999999999</v>
      </c>
      <c r="I57">
        <v>-0.2223</v>
      </c>
      <c r="J57">
        <v>8</v>
      </c>
      <c r="K57">
        <v>1</v>
      </c>
      <c r="L57">
        <v>1</v>
      </c>
      <c r="M57">
        <v>1</v>
      </c>
      <c r="N57" t="s">
        <v>73</v>
      </c>
    </row>
    <row r="58" spans="1:14" x14ac:dyDescent="0.3">
      <c r="A58" t="s">
        <v>69</v>
      </c>
      <c r="B58">
        <v>3601</v>
      </c>
      <c r="C58">
        <v>-30.779</v>
      </c>
      <c r="D58">
        <v>-0.32829999999999998</v>
      </c>
      <c r="E58">
        <v>0.74439999999999995</v>
      </c>
      <c r="F58">
        <v>0.74439999999999995</v>
      </c>
      <c r="G58">
        <v>1.1202000000000001</v>
      </c>
      <c r="H58">
        <v>0.37569999999999998</v>
      </c>
      <c r="I58">
        <v>8.9499999999999996E-2</v>
      </c>
      <c r="J58">
        <v>5</v>
      </c>
      <c r="K58">
        <v>1</v>
      </c>
      <c r="L58">
        <v>1</v>
      </c>
      <c r="M58">
        <v>1</v>
      </c>
      <c r="N58" t="s">
        <v>73</v>
      </c>
    </row>
    <row r="59" spans="1:14" x14ac:dyDescent="0.3">
      <c r="A59" t="s">
        <v>70</v>
      </c>
      <c r="B59">
        <v>8393</v>
      </c>
      <c r="C59">
        <v>-5.4901999999999997</v>
      </c>
      <c r="D59">
        <v>6.1899999999999997E-2</v>
      </c>
      <c r="E59">
        <v>0.83069999999999999</v>
      </c>
      <c r="F59">
        <v>0.73199999999999998</v>
      </c>
      <c r="G59">
        <v>0.91820000000000002</v>
      </c>
      <c r="H59">
        <v>0.80269999999999997</v>
      </c>
      <c r="I59">
        <v>-5.9900000000000002E-2</v>
      </c>
      <c r="J59">
        <v>14</v>
      </c>
      <c r="K59">
        <v>0</v>
      </c>
      <c r="L59">
        <v>0</v>
      </c>
      <c r="M59">
        <v>1</v>
      </c>
      <c r="N59" t="s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W35"/>
  <sheetViews>
    <sheetView workbookViewId="0">
      <pane xSplit="1" ySplit="1" topLeftCell="D8" activePane="bottomRight" state="frozen"/>
      <selection activeCell="E28" sqref="E28"/>
      <selection pane="topRight" activeCell="E28" sqref="E28"/>
      <selection pane="bottomLeft" activeCell="E28" sqref="E28"/>
      <selection pane="bottomRight" activeCell="O8" sqref="O8:W8"/>
    </sheetView>
  </sheetViews>
  <sheetFormatPr defaultRowHeight="14.4" x14ac:dyDescent="0.3"/>
  <cols>
    <col min="11" max="11" width="9" customWidth="1"/>
    <col min="15" max="15" width="12" bestFit="1" customWidth="1"/>
    <col min="16" max="16" width="12.6640625" bestFit="1" customWidth="1"/>
    <col min="17" max="17" width="9" bestFit="1" customWidth="1"/>
    <col min="18" max="18" width="12.6640625" bestFit="1" customWidth="1"/>
    <col min="19" max="19" width="9" bestFit="1" customWidth="1"/>
    <col min="20" max="20" width="12" bestFit="1" customWidth="1"/>
    <col min="21" max="21" width="12.6640625" bestFit="1" customWidth="1"/>
    <col min="22" max="22" width="9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71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 spans="1:23" x14ac:dyDescent="0.3">
      <c r="A2" t="s">
        <v>13</v>
      </c>
      <c r="B2">
        <v>6762</v>
      </c>
      <c r="C2">
        <v>7.5364000000000004</v>
      </c>
      <c r="D2">
        <v>0.1545</v>
      </c>
      <c r="E2">
        <v>0.62329999999999997</v>
      </c>
      <c r="F2">
        <v>0.62329999999999997</v>
      </c>
      <c r="G2">
        <v>1.5488999999999999</v>
      </c>
      <c r="H2">
        <v>0.73560000000000003</v>
      </c>
      <c r="I2">
        <v>0.3422</v>
      </c>
      <c r="J2">
        <v>74</v>
      </c>
      <c r="K2">
        <v>0</v>
      </c>
      <c r="L2">
        <v>0</v>
      </c>
      <c r="M2">
        <v>0</v>
      </c>
      <c r="N2" t="s">
        <v>72</v>
      </c>
      <c r="O2">
        <f>STANDARDIZE(Table14[[#This Row],[SALES]],AVERAGE(Table14[SALES]),STDEV(Table14[SALES]))</f>
        <v>-0.45001581825408737</v>
      </c>
      <c r="P2">
        <f>STANDARDIZE(Table14[[#This Row],[ROCE]],AVERAGE(Table14[ROCE]),STDEV(Table14[ROCE]))</f>
        <v>0.3285283065840624</v>
      </c>
      <c r="Q2">
        <f>STANDARDIZE(Table14[[#This Row],[FFTL]],AVERAGE(Table14[FFTL]),STDEV(Table14[FFTL]))</f>
        <v>-9.3183560409714664E-2</v>
      </c>
      <c r="R2">
        <f>STANDARDIZE(Table14[[#This Row],[GEAR]],AVERAGE(Table14[GEAR]),STDEV(Table14[GEAR]))</f>
        <v>-0.38402471366624841</v>
      </c>
      <c r="S2">
        <f>STANDARDIZE(Table14[[#This Row],[CLTA]],AVERAGE(Table14[CLTA]),STDEV(Table14[CLTA]))</f>
        <v>0.11360826818541453</v>
      </c>
      <c r="T2">
        <f>STANDARDIZE(Table14[[#This Row],[CACL]],AVERAGE(Table14[CACL]),STDEV(Table14[CACL]))</f>
        <v>0.64347186438674853</v>
      </c>
      <c r="U2">
        <f>STANDARDIZE(Table14[[#This Row],[QACL]],AVERAGE(Table14[QACL]),STDEV(Table14[QACL]))</f>
        <v>-0.33049246352528439</v>
      </c>
      <c r="V2">
        <f>STANDARDIZE(Table14[[#This Row],[WCTA]],AVERAGE(Table14[WCTA]),STDEV(Table14[WCTA]))</f>
        <v>1.1209610664427396</v>
      </c>
      <c r="W2">
        <f>STANDARDIZE(Table14[[#This Row],[AGE]],AVERAGE(Table14[AGE]),STDEV(Table14[AGE]))</f>
        <v>2.4295791002815874</v>
      </c>
    </row>
    <row r="3" spans="1:23" x14ac:dyDescent="0.3">
      <c r="A3" t="s">
        <v>14</v>
      </c>
      <c r="B3">
        <v>16149</v>
      </c>
      <c r="C3">
        <v>-1.0711999999999999</v>
      </c>
      <c r="D3">
        <v>2.7099999999999999E-2</v>
      </c>
      <c r="E3">
        <v>1.2218</v>
      </c>
      <c r="F3">
        <v>1.2218</v>
      </c>
      <c r="G3">
        <v>0.62360000000000004</v>
      </c>
      <c r="H3">
        <v>0.31530000000000002</v>
      </c>
      <c r="I3">
        <v>-0.45989999999999998</v>
      </c>
      <c r="J3">
        <v>29</v>
      </c>
      <c r="K3">
        <v>0</v>
      </c>
      <c r="L3">
        <v>1</v>
      </c>
      <c r="M3">
        <v>0</v>
      </c>
      <c r="N3" t="s">
        <v>72</v>
      </c>
      <c r="O3">
        <f>STANDARDIZE(Table14[[#This Row],[SALES]],AVERAGE(Table14[SALES]),STDEV(Table14[SALES]))</f>
        <v>-6.7380085830978848E-2</v>
      </c>
      <c r="P3">
        <f>STANDARDIZE(Table14[[#This Row],[ROCE]],AVERAGE(Table14[ROCE]),STDEV(Table14[ROCE]))</f>
        <v>-0.44394734779085437</v>
      </c>
      <c r="Q3">
        <f>STANDARDIZE(Table14[[#This Row],[FFTL]],AVERAGE(Table14[FFTL]),STDEV(Table14[FFTL]))</f>
        <v>-0.76883456521507132</v>
      </c>
      <c r="R3">
        <f>STANDARDIZE(Table14[[#This Row],[GEAR]],AVERAGE(Table14[GEAR]),STDEV(Table14[GEAR]))</f>
        <v>2.0733711663320165</v>
      </c>
      <c r="S3">
        <f>STANDARDIZE(Table14[[#This Row],[CLTA]],AVERAGE(Table14[CLTA]),STDEV(Table14[CLTA]))</f>
        <v>2.4098087541856148</v>
      </c>
      <c r="T3">
        <f>STANDARDIZE(Table14[[#This Row],[CACL]],AVERAGE(Table14[CACL]),STDEV(Table14[CACL]))</f>
        <v>-1.435091640996593</v>
      </c>
      <c r="U3">
        <f>STANDARDIZE(Table14[[#This Row],[QACL]],AVERAGE(Table14[QACL]),STDEV(Table14[QACL]))</f>
        <v>-1.4766370546695371</v>
      </c>
      <c r="V3">
        <f>STANDARDIZE(Table14[[#This Row],[WCTA]],AVERAGE(Table14[WCTA]),STDEV(Table14[WCTA]))</f>
        <v>-2.209232472277102</v>
      </c>
      <c r="W3">
        <f>STANDARDIZE(Table14[[#This Row],[AGE]],AVERAGE(Table14[AGE]),STDEV(Table14[AGE]))</f>
        <v>4.3663809247679389E-2</v>
      </c>
    </row>
    <row r="4" spans="1:23" x14ac:dyDescent="0.3">
      <c r="A4" t="s">
        <v>15</v>
      </c>
      <c r="B4">
        <v>8086</v>
      </c>
      <c r="C4">
        <v>15.202400000000001</v>
      </c>
      <c r="D4">
        <v>0.61629999999999996</v>
      </c>
      <c r="E4">
        <v>0.33069999999999999</v>
      </c>
      <c r="F4">
        <v>0.33069999999999999</v>
      </c>
      <c r="G4">
        <v>2.3553000000000002</v>
      </c>
      <c r="H4">
        <v>1.7513000000000001</v>
      </c>
      <c r="I4">
        <v>0.44819999999999999</v>
      </c>
      <c r="J4">
        <v>51</v>
      </c>
      <c r="K4">
        <v>0</v>
      </c>
      <c r="L4">
        <v>1</v>
      </c>
      <c r="M4">
        <v>0</v>
      </c>
      <c r="N4" t="s">
        <v>72</v>
      </c>
      <c r="O4">
        <f>STANDARDIZE(Table14[[#This Row],[SALES]],AVERAGE(Table14[SALES]),STDEV(Table14[SALES]))</f>
        <v>-0.39604652990549932</v>
      </c>
      <c r="P4">
        <f>STANDARDIZE(Table14[[#This Row],[ROCE]],AVERAGE(Table14[ROCE]),STDEV(Table14[ROCE]))</f>
        <v>1.0165015356418847</v>
      </c>
      <c r="Q4">
        <f>STANDARDIZE(Table14[[#This Row],[FFTL]],AVERAGE(Table14[FFTL]),STDEV(Table14[FFTL]))</f>
        <v>2.355918747432622</v>
      </c>
      <c r="R4">
        <f>STANDARDIZE(Table14[[#This Row],[GEAR]],AVERAGE(Table14[GEAR]),STDEV(Table14[GEAR]))</f>
        <v>-1.5854182549987332</v>
      </c>
      <c r="S4">
        <f>STANDARDIZE(Table14[[#This Row],[CLTA]],AVERAGE(Table14[CLTA]),STDEV(Table14[CLTA]))</f>
        <v>-1.00897863608135</v>
      </c>
      <c r="T4">
        <f>STANDARDIZE(Table14[[#This Row],[CACL]],AVERAGE(Table14[CACL]),STDEV(Table14[CACL]))</f>
        <v>2.4549423180138179</v>
      </c>
      <c r="U4">
        <f>STANDARDIZE(Table14[[#This Row],[QACL]],AVERAGE(Table14[QACL]),STDEV(Table14[QACL]))</f>
        <v>2.439288790876851</v>
      </c>
      <c r="V4">
        <f>STANDARDIZE(Table14[[#This Row],[WCTA]],AVERAGE(Table14[WCTA]),STDEV(Table14[WCTA]))</f>
        <v>1.5610564599152532</v>
      </c>
      <c r="W4">
        <f>STANDARDIZE(Table14[[#This Row],[AGE]],AVERAGE(Table14[AGE]),STDEV(Table14[AGE]))</f>
        <v>1.2101112848642566</v>
      </c>
    </row>
    <row r="5" spans="1:23" x14ac:dyDescent="0.3">
      <c r="A5" t="s">
        <v>16</v>
      </c>
      <c r="B5">
        <v>7646</v>
      </c>
      <c r="C5">
        <v>31.2239</v>
      </c>
      <c r="D5">
        <v>0.63119999999999998</v>
      </c>
      <c r="E5">
        <v>0.52049999999999996</v>
      </c>
      <c r="F5">
        <v>0.4829</v>
      </c>
      <c r="G5">
        <v>1.6396999999999999</v>
      </c>
      <c r="H5">
        <v>1.4935</v>
      </c>
      <c r="I5">
        <v>0.30890000000000001</v>
      </c>
      <c r="J5">
        <v>25</v>
      </c>
      <c r="K5">
        <v>0</v>
      </c>
      <c r="L5">
        <v>0</v>
      </c>
      <c r="M5">
        <v>0</v>
      </c>
      <c r="N5" t="s">
        <v>72</v>
      </c>
      <c r="O5">
        <f>STANDARDIZE(Table14[[#This Row],[SALES]],AVERAGE(Table14[SALES]),STDEV(Table14[SALES]))</f>
        <v>-0.41398194295185792</v>
      </c>
      <c r="P5">
        <f>STANDARDIZE(Table14[[#This Row],[ROCE]],AVERAGE(Table14[ROCE]),STDEV(Table14[ROCE]))</f>
        <v>2.4543260972580994</v>
      </c>
      <c r="Q5">
        <f>STANDARDIZE(Table14[[#This Row],[FFTL]],AVERAGE(Table14[FFTL]),STDEV(Table14[FFTL]))</f>
        <v>2.434939155372966</v>
      </c>
      <c r="R5">
        <f>STANDARDIZE(Table14[[#This Row],[GEAR]],AVERAGE(Table14[GEAR]),STDEV(Table14[GEAR]))</f>
        <v>-0.80611376373111321</v>
      </c>
      <c r="S5">
        <f>STANDARDIZE(Table14[[#This Row],[CLTA]],AVERAGE(Table14[CLTA]),STDEV(Table14[CLTA]))</f>
        <v>-0.42504928943267739</v>
      </c>
      <c r="T5">
        <f>STANDARDIZE(Table14[[#This Row],[CACL]],AVERAGE(Table14[CACL]),STDEV(Table14[CACL]))</f>
        <v>0.8474419997901933</v>
      </c>
      <c r="U5">
        <f>STANDARDIZE(Table14[[#This Row],[QACL]],AVERAGE(Table14[QACL]),STDEV(Table14[QACL]))</f>
        <v>1.7362764768226318</v>
      </c>
      <c r="V5">
        <f>STANDARDIZE(Table14[[#This Row],[WCTA]],AVERAGE(Table14[WCTA]),STDEV(Table14[WCTA]))</f>
        <v>0.98270468339901595</v>
      </c>
      <c r="W5">
        <f>STANDARDIZE(Table14[[#This Row],[AGE]],AVERAGE(Table14[AGE]),STDEV(Table14[AGE]))</f>
        <v>-0.16841754995533462</v>
      </c>
    </row>
    <row r="6" spans="1:23" x14ac:dyDescent="0.3">
      <c r="A6" t="s">
        <v>17</v>
      </c>
      <c r="B6">
        <v>36067</v>
      </c>
      <c r="C6">
        <v>10.9613</v>
      </c>
      <c r="D6">
        <v>0.35399999999999998</v>
      </c>
      <c r="E6">
        <v>0.37859999999999999</v>
      </c>
      <c r="F6">
        <v>0.37859999999999999</v>
      </c>
      <c r="G6">
        <v>1.5851999999999999</v>
      </c>
      <c r="H6">
        <v>1.1626000000000001</v>
      </c>
      <c r="I6">
        <v>0.22159999999999999</v>
      </c>
      <c r="J6">
        <v>33</v>
      </c>
      <c r="K6">
        <v>0</v>
      </c>
      <c r="L6">
        <v>1</v>
      </c>
      <c r="M6">
        <v>0</v>
      </c>
      <c r="N6" t="s">
        <v>72</v>
      </c>
      <c r="O6">
        <f>STANDARDIZE(Table14[[#This Row],[SALES]],AVERAGE(Table14[SALES]),STDEV(Table14[SALES]))</f>
        <v>0.74452345293577038</v>
      </c>
      <c r="P6">
        <f>STANDARDIZE(Table14[[#This Row],[ROCE]],AVERAGE(Table14[ROCE]),STDEV(Table14[ROCE]))</f>
        <v>0.63589062228979354</v>
      </c>
      <c r="Q6">
        <f>STANDARDIZE(Table14[[#This Row],[FFTL]],AVERAGE(Table14[FFTL]),STDEV(Table14[FFTL]))</f>
        <v>0.96484136469757453</v>
      </c>
      <c r="R6">
        <f>STANDARDIZE(Table14[[#This Row],[GEAR]],AVERAGE(Table14[GEAR]),STDEV(Table14[GEAR]))</f>
        <v>-1.3887444661066415</v>
      </c>
      <c r="S6">
        <f>STANDARDIZE(Table14[[#This Row],[CLTA]],AVERAGE(Table14[CLTA]),STDEV(Table14[CLTA]))</f>
        <v>-0.82520586535551932</v>
      </c>
      <c r="T6">
        <f>STANDARDIZE(Table14[[#This Row],[CACL]],AVERAGE(Table14[CACL]),STDEV(Table14[CACL]))</f>
        <v>0.72501499120552659</v>
      </c>
      <c r="U6">
        <f>STANDARDIZE(Table14[[#This Row],[QACL]],AVERAGE(Table14[QACL]),STDEV(Table14[QACL]))</f>
        <v>0.83392281227437293</v>
      </c>
      <c r="V6">
        <f>STANDARDIZE(Table14[[#This Row],[WCTA]],AVERAGE(Table14[WCTA]),STDEV(Table14[WCTA]))</f>
        <v>0.62024876028438913</v>
      </c>
      <c r="W6">
        <f>STANDARDIZE(Table14[[#This Row],[AGE]],AVERAGE(Table14[AGE]),STDEV(Table14[AGE]))</f>
        <v>0.25574516845069339</v>
      </c>
    </row>
    <row r="7" spans="1:23" x14ac:dyDescent="0.3">
      <c r="A7" t="s">
        <v>18</v>
      </c>
      <c r="B7">
        <v>3205</v>
      </c>
      <c r="C7">
        <v>-1.9790000000000001</v>
      </c>
      <c r="D7">
        <v>-1.03E-2</v>
      </c>
      <c r="E7">
        <v>0.3548</v>
      </c>
      <c r="F7">
        <v>0.3548</v>
      </c>
      <c r="G7">
        <v>1.8835</v>
      </c>
      <c r="H7">
        <v>1.2034</v>
      </c>
      <c r="I7">
        <v>0.31340000000000001</v>
      </c>
      <c r="J7">
        <v>19</v>
      </c>
      <c r="K7">
        <v>0</v>
      </c>
      <c r="L7">
        <v>1</v>
      </c>
      <c r="M7">
        <v>0</v>
      </c>
      <c r="N7" t="s">
        <v>72</v>
      </c>
      <c r="O7">
        <f>STANDARDIZE(Table14[[#This Row],[SALES]],AVERAGE(Table14[SALES]),STDEV(Table14[SALES]))</f>
        <v>-0.59500732781294507</v>
      </c>
      <c r="P7">
        <f>STANDARDIZE(Table14[[#This Row],[ROCE]],AVERAGE(Table14[ROCE]),STDEV(Table14[ROCE]))</f>
        <v>-0.52541644475650673</v>
      </c>
      <c r="Q7">
        <f>STANDARDIZE(Table14[[#This Row],[FFTL]],AVERAGE(Table14[FFTL]),STDEV(Table14[FFTL]))</f>
        <v>-0.96718109252841777</v>
      </c>
      <c r="R7">
        <f>STANDARDIZE(Table14[[#This Row],[GEAR]],AVERAGE(Table14[GEAR]),STDEV(Table14[GEAR]))</f>
        <v>-1.4864654718609585</v>
      </c>
      <c r="S7">
        <f>STANDARDIZE(Table14[[#This Row],[CLTA]],AVERAGE(Table14[CLTA]),STDEV(Table14[CLTA]))</f>
        <v>-0.91651676187482545</v>
      </c>
      <c r="T7">
        <f>STANDARDIZE(Table14[[#This Row],[CACL]],AVERAGE(Table14[CACL]),STDEV(Table14[CACL]))</f>
        <v>1.3951063060827025</v>
      </c>
      <c r="U7">
        <f>STANDARDIZE(Table14[[#This Row],[QACL]],AVERAGE(Table14[QACL]),STDEV(Table14[QACL]))</f>
        <v>0.94518310092220881</v>
      </c>
      <c r="V7">
        <f>STANDARDIZE(Table14[[#This Row],[WCTA]],AVERAGE(Table14[WCTA]),STDEV(Table14[WCTA]))</f>
        <v>1.0013879784049247</v>
      </c>
      <c r="W7">
        <f>STANDARDIZE(Table14[[#This Row],[AGE]],AVERAGE(Table14[AGE]),STDEV(Table14[AGE]))</f>
        <v>-0.48653958875985565</v>
      </c>
    </row>
    <row r="8" spans="1:23" x14ac:dyDescent="0.3">
      <c r="A8" t="s">
        <v>19</v>
      </c>
      <c r="B8">
        <v>9819</v>
      </c>
      <c r="C8">
        <v>33.845100000000002</v>
      </c>
      <c r="D8">
        <v>0.53259999999999996</v>
      </c>
      <c r="E8">
        <v>0.70179999999999998</v>
      </c>
      <c r="F8">
        <v>0.70179999999999998</v>
      </c>
      <c r="G8">
        <v>1.1863999999999999</v>
      </c>
      <c r="H8">
        <v>1.1761999999999999</v>
      </c>
      <c r="I8">
        <v>0.1308</v>
      </c>
      <c r="J8">
        <v>10</v>
      </c>
      <c r="K8">
        <v>0</v>
      </c>
      <c r="L8">
        <v>1</v>
      </c>
      <c r="M8">
        <v>0</v>
      </c>
      <c r="N8" t="s">
        <v>72</v>
      </c>
      <c r="O8">
        <f>STANDARDIZE(Table14[[#This Row],[SALES]],AVERAGE(Table14[SALES]),STDEV(Table14[SALES]))</f>
        <v>-0.3254054598842735</v>
      </c>
      <c r="P8">
        <f>STANDARDIZE(Table14[[#This Row],[ROCE]],AVERAGE(Table14[ROCE]),STDEV(Table14[ROCE]))</f>
        <v>2.6895616083468505</v>
      </c>
      <c r="Q8">
        <f>STANDARDIZE(Table14[[#This Row],[FFTL]],AVERAGE(Table14[FFTL]),STDEV(Table14[FFTL]))</f>
        <v>1.9120255833650526</v>
      </c>
      <c r="R8">
        <f>STANDARDIZE(Table14[[#This Row],[GEAR]],AVERAGE(Table14[GEAR]),STDEV(Table14[GEAR]))</f>
        <v>-6.1709631661463434E-2</v>
      </c>
      <c r="S8">
        <f>STANDARDIZE(Table14[[#This Row],[CLTA]],AVERAGE(Table14[CLTA]),STDEV(Table14[CLTA]))</f>
        <v>0.41478076300749595</v>
      </c>
      <c r="T8">
        <f>STANDARDIZE(Table14[[#This Row],[CACL]],AVERAGE(Table14[CACL]),STDEV(Table14[CACL]))</f>
        <v>-0.17083622023603484</v>
      </c>
      <c r="U8">
        <f>STANDARDIZE(Table14[[#This Row],[QACL]],AVERAGE(Table14[QACL]),STDEV(Table14[QACL]))</f>
        <v>0.87100957515698452</v>
      </c>
      <c r="V8">
        <f>STANDARDIZE(Table14[[#This Row],[WCTA]],AVERAGE(Table14[WCTA]),STDEV(Table14[WCTA]))</f>
        <v>0.2432613854985001</v>
      </c>
      <c r="W8">
        <f>STANDARDIZE(Table14[[#This Row],[AGE]],AVERAGE(Table14[AGE]),STDEV(Table14[AGE]))</f>
        <v>-0.96372264696663723</v>
      </c>
    </row>
    <row r="9" spans="1:23" x14ac:dyDescent="0.3">
      <c r="A9" t="s">
        <v>23</v>
      </c>
      <c r="B9">
        <v>3813</v>
      </c>
      <c r="C9">
        <v>4.4080000000000004</v>
      </c>
      <c r="D9">
        <v>0.217</v>
      </c>
      <c r="E9">
        <v>0.53979999999999995</v>
      </c>
      <c r="F9">
        <v>0.45329999999999998</v>
      </c>
      <c r="G9">
        <v>1.1907000000000001</v>
      </c>
      <c r="H9">
        <v>0.88939999999999997</v>
      </c>
      <c r="I9">
        <v>8.6400000000000005E-2</v>
      </c>
      <c r="J9">
        <v>27</v>
      </c>
      <c r="K9">
        <v>0</v>
      </c>
      <c r="L9">
        <v>1</v>
      </c>
      <c r="M9">
        <v>0</v>
      </c>
      <c r="N9" t="s">
        <v>72</v>
      </c>
      <c r="O9">
        <f>STANDARDIZE(Table14[[#This Row],[SALES]],AVERAGE(Table14[SALES]),STDEV(Table14[SALES]))</f>
        <v>-0.57022384796706771</v>
      </c>
      <c r="P9">
        <f>STANDARDIZE(Table14[[#This Row],[ROCE]],AVERAGE(Table14[ROCE]),STDEV(Table14[ROCE]))</f>
        <v>4.7774921535211443E-2</v>
      </c>
      <c r="Q9">
        <f>STANDARDIZE(Table14[[#This Row],[FFTL]],AVERAGE(Table14[FFTL]),STDEV(Table14[FFTL]))</f>
        <v>0.2382778822930702</v>
      </c>
      <c r="R9">
        <f>STANDARDIZE(Table14[[#This Row],[GEAR]],AVERAGE(Table14[GEAR]),STDEV(Table14[GEAR]))</f>
        <v>-0.72686941872866295</v>
      </c>
      <c r="S9">
        <f>STANDARDIZE(Table14[[#This Row],[CLTA]],AVERAGE(Table14[CLTA]),STDEV(Table14[CLTA]))</f>
        <v>-0.53861242123820119</v>
      </c>
      <c r="T9">
        <f>STANDARDIZE(Table14[[#This Row],[CACL]],AVERAGE(Table14[CACL]),STDEV(Table14[CACL]))</f>
        <v>-0.16117684157706069</v>
      </c>
      <c r="U9">
        <f>STANDARDIZE(Table14[[#This Row],[QACL]],AVERAGE(Table14[QACL]),STDEV(Table14[QACL]))</f>
        <v>8.8915193191313247E-2</v>
      </c>
      <c r="V9">
        <f>STANDARDIZE(Table14[[#This Row],[WCTA]],AVERAGE(Table14[WCTA]),STDEV(Table14[WCTA]))</f>
        <v>5.891954144020195E-2</v>
      </c>
      <c r="W9">
        <f>STANDARDIZE(Table14[[#This Row],[AGE]],AVERAGE(Table14[AGE]),STDEV(Table14[AGE]))</f>
        <v>-6.2376870353827621E-2</v>
      </c>
    </row>
    <row r="10" spans="1:23" x14ac:dyDescent="0.3">
      <c r="A10" t="s">
        <v>24</v>
      </c>
      <c r="B10">
        <v>4049</v>
      </c>
      <c r="C10">
        <v>9.4606999999999992</v>
      </c>
      <c r="D10">
        <v>0.29220000000000002</v>
      </c>
      <c r="E10">
        <v>0.63160000000000005</v>
      </c>
      <c r="F10">
        <v>0.52969999999999995</v>
      </c>
      <c r="G10">
        <v>1.3874</v>
      </c>
      <c r="H10">
        <v>0.88090000000000002</v>
      </c>
      <c r="I10">
        <v>0.20519999999999999</v>
      </c>
      <c r="J10">
        <v>18</v>
      </c>
      <c r="K10">
        <v>0</v>
      </c>
      <c r="L10">
        <v>0</v>
      </c>
      <c r="M10">
        <v>0</v>
      </c>
      <c r="N10" t="s">
        <v>72</v>
      </c>
      <c r="O10">
        <f>STANDARDIZE(Table14[[#This Row],[SALES]],AVERAGE(Table14[SALES]),STDEV(Table14[SALES]))</f>
        <v>-0.56060394460583907</v>
      </c>
      <c r="P10">
        <f>STANDARDIZE(Table14[[#This Row],[ROCE]],AVERAGE(Table14[ROCE]),STDEV(Table14[ROCE]))</f>
        <v>0.50122161269885057</v>
      </c>
      <c r="Q10">
        <f>STANDARDIZE(Table14[[#This Row],[FFTL]],AVERAGE(Table14[FFTL]),STDEV(Table14[FFTL]))</f>
        <v>0.63709229015306101</v>
      </c>
      <c r="R10">
        <f>STANDARDIZE(Table14[[#This Row],[GEAR]],AVERAGE(Table14[GEAR]),STDEV(Table14[GEAR]))</f>
        <v>-0.34994553939058287</v>
      </c>
      <c r="S10">
        <f>STANDARDIZE(Table14[[#This Row],[CLTA]],AVERAGE(Table14[CLTA]),STDEV(Table14[CLTA]))</f>
        <v>-0.2454967702266469</v>
      </c>
      <c r="T10">
        <f>STANDARDIZE(Table14[[#This Row],[CACL]],AVERAGE(Table14[CACL]),STDEV(Table14[CACL]))</f>
        <v>0.28068357289273616</v>
      </c>
      <c r="U10">
        <f>STANDARDIZE(Table14[[#This Row],[QACL]],AVERAGE(Table14[QACL]),STDEV(Table14[QACL]))</f>
        <v>6.5735966389680864E-2</v>
      </c>
      <c r="V10">
        <f>STANDARDIZE(Table14[[#This Row],[WCTA]],AVERAGE(Table14[WCTA]),STDEV(Table14[WCTA]))</f>
        <v>0.55215852959618894</v>
      </c>
      <c r="W10">
        <f>STANDARDIZE(Table14[[#This Row],[AGE]],AVERAGE(Table14[AGE]),STDEV(Table14[AGE]))</f>
        <v>-0.53955992856060919</v>
      </c>
    </row>
    <row r="11" spans="1:23" x14ac:dyDescent="0.3">
      <c r="A11" t="s">
        <v>25</v>
      </c>
      <c r="B11">
        <v>6912</v>
      </c>
      <c r="C11">
        <v>24.532499999999999</v>
      </c>
      <c r="D11">
        <v>0.3483</v>
      </c>
      <c r="E11">
        <v>0.78659999999999997</v>
      </c>
      <c r="F11">
        <v>0.78659999999999997</v>
      </c>
      <c r="G11">
        <v>0.94199999999999995</v>
      </c>
      <c r="H11">
        <v>0.70630000000000004</v>
      </c>
      <c r="I11">
        <v>-4.5699999999999998E-2</v>
      </c>
      <c r="J11">
        <v>39</v>
      </c>
      <c r="K11">
        <v>0</v>
      </c>
      <c r="L11">
        <v>1</v>
      </c>
      <c r="M11">
        <v>0</v>
      </c>
      <c r="N11" t="s">
        <v>72</v>
      </c>
      <c r="O11">
        <f>STANDARDIZE(Table14[[#This Row],[SALES]],AVERAGE(Table14[SALES]),STDEV(Table14[SALES]))</f>
        <v>-0.44390147289737419</v>
      </c>
      <c r="P11">
        <f>STANDARDIZE(Table14[[#This Row],[ROCE]],AVERAGE(Table14[ROCE]),STDEV(Table14[ROCE]))</f>
        <v>1.8538168271149331</v>
      </c>
      <c r="Q11">
        <f>STANDARDIZE(Table14[[#This Row],[FFTL]],AVERAGE(Table14[FFTL]),STDEV(Table14[FFTL]))</f>
        <v>0.93461208112308058</v>
      </c>
      <c r="R11">
        <f>STANDARDIZE(Table14[[#This Row],[GEAR]],AVERAGE(Table14[GEAR]),STDEV(Table14[GEAR]))</f>
        <v>0.28647277539593474</v>
      </c>
      <c r="S11">
        <f>STANDARDIZE(Table14[[#This Row],[CLTA]],AVERAGE(Table14[CLTA]),STDEV(Table14[CLTA]))</f>
        <v>0.7401237892611584</v>
      </c>
      <c r="T11">
        <f>STANDARDIZE(Table14[[#This Row],[CACL]],AVERAGE(Table14[CACL]),STDEV(Table14[CACL]))</f>
        <v>-0.7198483468065402</v>
      </c>
      <c r="U11">
        <f>STANDARDIZE(Table14[[#This Row],[QACL]],AVERAGE(Table14[QACL]),STDEV(Table14[QACL]))</f>
        <v>-0.41039262179444119</v>
      </c>
      <c r="V11">
        <f>STANDARDIZE(Table14[[#This Row],[WCTA]],AVERAGE(Table14[WCTA]),STDEV(Table14[WCTA]))</f>
        <v>-0.48953896306658157</v>
      </c>
      <c r="W11">
        <f>STANDARDIZE(Table14[[#This Row],[AGE]],AVERAGE(Table14[AGE]),STDEV(Table14[AGE]))</f>
        <v>0.57386720725521445</v>
      </c>
    </row>
    <row r="12" spans="1:23" x14ac:dyDescent="0.3">
      <c r="A12" t="s">
        <v>27</v>
      </c>
      <c r="B12">
        <v>24261</v>
      </c>
      <c r="C12">
        <v>9.0815000000000001</v>
      </c>
      <c r="D12">
        <v>0.26429999999999998</v>
      </c>
      <c r="E12">
        <v>0.5736</v>
      </c>
      <c r="F12">
        <v>0.50719999999999998</v>
      </c>
      <c r="G12">
        <v>1.3533999999999999</v>
      </c>
      <c r="H12">
        <v>0.44400000000000001</v>
      </c>
      <c r="I12">
        <v>0.1792</v>
      </c>
      <c r="J12">
        <v>25</v>
      </c>
      <c r="K12">
        <v>0</v>
      </c>
      <c r="L12">
        <v>0</v>
      </c>
      <c r="M12">
        <v>0</v>
      </c>
      <c r="N12" t="s">
        <v>72</v>
      </c>
      <c r="O12">
        <f>STANDARDIZE(Table14[[#This Row],[SALES]],AVERAGE(Table14[SALES]),STDEV(Table14[SALES]))</f>
        <v>0.26328371106006798</v>
      </c>
      <c r="P12">
        <f>STANDARDIZE(Table14[[#This Row],[ROCE]],AVERAGE(Table14[ROCE]),STDEV(Table14[ROCE]))</f>
        <v>0.46719089935959607</v>
      </c>
      <c r="Q12">
        <f>STANDARDIZE(Table14[[#This Row],[FFTL]],AVERAGE(Table14[FFTL]),STDEV(Table14[FFTL]))</f>
        <v>0.4891279021305377</v>
      </c>
      <c r="R12">
        <f>STANDARDIZE(Table14[[#This Row],[GEAR]],AVERAGE(Table14[GEAR]),STDEV(Table14[GEAR]))</f>
        <v>-0.58808916685908663</v>
      </c>
      <c r="S12">
        <f>STANDARDIZE(Table14[[#This Row],[CLTA]],AVERAGE(Table14[CLTA]),STDEV(Table14[CLTA]))</f>
        <v>-0.33182009676800767</v>
      </c>
      <c r="T12">
        <f>STANDARDIZE(Table14[[#This Row],[CACL]],AVERAGE(Table14[CACL]),STDEV(Table14[CACL]))</f>
        <v>0.20430709047294401</v>
      </c>
      <c r="U12">
        <f>STANDARDIZE(Table14[[#This Row],[QACL]],AVERAGE(Table14[QACL]),STDEV(Table14[QACL]))</f>
        <v>-1.1256762912142306</v>
      </c>
      <c r="V12">
        <f>STANDARDIZE(Table14[[#This Row],[WCTA]],AVERAGE(Table14[WCTA]),STDEV(Table14[WCTA]))</f>
        <v>0.44421060289538367</v>
      </c>
      <c r="W12">
        <f>STANDARDIZE(Table14[[#This Row],[AGE]],AVERAGE(Table14[AGE]),STDEV(Table14[AGE]))</f>
        <v>-0.16841754995533462</v>
      </c>
    </row>
    <row r="13" spans="1:23" x14ac:dyDescent="0.3">
      <c r="A13" t="s">
        <v>30</v>
      </c>
      <c r="B13">
        <v>24001</v>
      </c>
      <c r="C13">
        <v>-9.2211999999999996</v>
      </c>
      <c r="D13">
        <v>5.1000000000000004E-3</v>
      </c>
      <c r="E13">
        <v>0.876</v>
      </c>
      <c r="F13">
        <v>0.27610000000000001</v>
      </c>
      <c r="G13">
        <v>2.1924999999999999</v>
      </c>
      <c r="H13">
        <v>1.0912999999999999</v>
      </c>
      <c r="I13">
        <v>0.32929999999999998</v>
      </c>
      <c r="J13">
        <v>25</v>
      </c>
      <c r="K13">
        <v>0</v>
      </c>
      <c r="L13">
        <v>1</v>
      </c>
      <c r="M13">
        <v>0</v>
      </c>
      <c r="N13" t="s">
        <v>72</v>
      </c>
      <c r="O13">
        <f>STANDARDIZE(Table14[[#This Row],[SALES]],AVERAGE(Table14[SALES]),STDEV(Table14[SALES]))</f>
        <v>0.25268551244176518</v>
      </c>
      <c r="P13">
        <f>STANDARDIZE(Table14[[#This Row],[ROCE]],AVERAGE(Table14[ROCE]),STDEV(Table14[ROCE]))</f>
        <v>-1.1753564029462487</v>
      </c>
      <c r="Q13">
        <f>STANDARDIZE(Table14[[#This Row],[FFTL]],AVERAGE(Table14[FFTL]),STDEV(Table14[FFTL]))</f>
        <v>-0.88550899304645159</v>
      </c>
      <c r="R13">
        <f>STANDARDIZE(Table14[[#This Row],[GEAR]],AVERAGE(Table14[GEAR]),STDEV(Table14[GEAR]))</f>
        <v>0.65354243566635228</v>
      </c>
      <c r="S13">
        <f>STANDARDIZE(Table14[[#This Row],[CLTA]],AVERAGE(Table14[CLTA]),STDEV(Table14[CLTA]))</f>
        <v>-1.2184565751550522</v>
      </c>
      <c r="T13">
        <f>STANDARDIZE(Table14[[#This Row],[CACL]],AVERAGE(Table14[CACL]),STDEV(Table14[CACL]))</f>
        <v>2.0892337492508126</v>
      </c>
      <c r="U13">
        <f>STANDARDIZE(Table14[[#This Row],[QACL]],AVERAGE(Table14[QACL]),STDEV(Table14[QACL]))</f>
        <v>0.63949000392656086</v>
      </c>
      <c r="V13">
        <f>STANDARDIZE(Table14[[#This Row],[WCTA]],AVERAGE(Table14[WCTA]),STDEV(Table14[WCTA]))</f>
        <v>1.0674022874258016</v>
      </c>
      <c r="W13">
        <f>STANDARDIZE(Table14[[#This Row],[AGE]],AVERAGE(Table14[AGE]),STDEV(Table14[AGE]))</f>
        <v>-0.16841754995533462</v>
      </c>
    </row>
    <row r="14" spans="1:23" x14ac:dyDescent="0.3">
      <c r="A14" t="s">
        <v>31</v>
      </c>
      <c r="B14">
        <v>4818</v>
      </c>
      <c r="C14">
        <v>-8.8514999999999997</v>
      </c>
      <c r="D14">
        <v>-9.5500000000000002E-2</v>
      </c>
      <c r="E14">
        <v>0.5081</v>
      </c>
      <c r="F14">
        <v>0.50139999999999996</v>
      </c>
      <c r="G14">
        <v>1.6033999999999999</v>
      </c>
      <c r="H14">
        <v>1.3363</v>
      </c>
      <c r="I14">
        <v>0.30249999999999999</v>
      </c>
      <c r="J14">
        <v>28</v>
      </c>
      <c r="K14">
        <v>0</v>
      </c>
      <c r="L14">
        <v>1</v>
      </c>
      <c r="M14">
        <v>0</v>
      </c>
      <c r="N14" t="s">
        <v>72</v>
      </c>
      <c r="O14">
        <f>STANDARDIZE(Table14[[#This Row],[SALES]],AVERAGE(Table14[SALES]),STDEV(Table14[SALES]))</f>
        <v>-0.52925773407708965</v>
      </c>
      <c r="P14">
        <f>STANDARDIZE(Table14[[#This Row],[ROCE]],AVERAGE(Table14[ROCE]),STDEV(Table14[ROCE]))</f>
        <v>-1.1421782523093225</v>
      </c>
      <c r="Q14">
        <f>STANDARDIZE(Table14[[#This Row],[FFTL]],AVERAGE(Table14[FFTL]),STDEV(Table14[FFTL]))</f>
        <v>-1.4190293312208542</v>
      </c>
      <c r="R14">
        <f>STANDARDIZE(Table14[[#This Row],[GEAR]],AVERAGE(Table14[GEAR]),STDEV(Table14[GEAR]))</f>
        <v>-0.85702722891403449</v>
      </c>
      <c r="S14">
        <f>STANDARDIZE(Table14[[#This Row],[CLTA]],AVERAGE(Table14[CLTA]),STDEV(Table14[CLTA]))</f>
        <v>-0.35407233205422528</v>
      </c>
      <c r="T14">
        <f>STANDARDIZE(Table14[[#This Row],[CACL]],AVERAGE(Table14[CACL]),STDEV(Table14[CACL]))</f>
        <v>0.76589887297141523</v>
      </c>
      <c r="U14">
        <f>STANDARDIZE(Table14[[#This Row],[QACL]],AVERAGE(Table14[QACL]),STDEV(Table14[QACL]))</f>
        <v>1.307597129385381</v>
      </c>
      <c r="V14">
        <f>STANDARDIZE(Table14[[#This Row],[WCTA]],AVERAGE(Table14[WCTA]),STDEV(Table14[WCTA]))</f>
        <v>0.9561328860572792</v>
      </c>
      <c r="W14">
        <f>STANDARDIZE(Table14[[#This Row],[AGE]],AVERAGE(Table14[AGE]),STDEV(Table14[AGE]))</f>
        <v>-9.3565305530741143E-3</v>
      </c>
    </row>
    <row r="15" spans="1:23" x14ac:dyDescent="0.3">
      <c r="A15" t="s">
        <v>33</v>
      </c>
      <c r="B15">
        <v>2857</v>
      </c>
      <c r="C15">
        <v>4.4519000000000002</v>
      </c>
      <c r="D15">
        <v>0.14369999999999999</v>
      </c>
      <c r="E15">
        <v>0.7228</v>
      </c>
      <c r="F15">
        <v>0.54579999999999995</v>
      </c>
      <c r="G15">
        <v>0.92249999999999999</v>
      </c>
      <c r="H15">
        <v>0.69289999999999996</v>
      </c>
      <c r="I15">
        <v>-4.2299999999999997E-2</v>
      </c>
      <c r="J15">
        <v>9</v>
      </c>
      <c r="K15">
        <v>0</v>
      </c>
      <c r="L15">
        <v>0</v>
      </c>
      <c r="M15">
        <v>0</v>
      </c>
      <c r="N15" t="s">
        <v>72</v>
      </c>
      <c r="O15">
        <f>STANDARDIZE(Table14[[#This Row],[SALES]],AVERAGE(Table14[SALES]),STDEV(Table14[SALES]))</f>
        <v>-0.60919260904051953</v>
      </c>
      <c r="P15">
        <f>STANDARDIZE(Table14[[#This Row],[ROCE]],AVERAGE(Table14[ROCE]),STDEV(Table14[ROCE]))</f>
        <v>5.1714658654392016E-2</v>
      </c>
      <c r="Q15">
        <f>STANDARDIZE(Table14[[#This Row],[FFTL]],AVERAGE(Table14[FFTL]),STDEV(Table14[FFTL]))</f>
        <v>-0.1504600977087559</v>
      </c>
      <c r="R15">
        <f>STANDARDIZE(Table14[[#This Row],[GEAR]],AVERAGE(Table14[GEAR]),STDEV(Table14[GEAR]))</f>
        <v>2.4514785180581009E-2</v>
      </c>
      <c r="S15">
        <f>STANDARDIZE(Table14[[#This Row],[CLTA]],AVERAGE(Table14[CLTA]),STDEV(Table14[CLTA]))</f>
        <v>-0.18372763434593975</v>
      </c>
      <c r="T15">
        <f>STANDARDIZE(Table14[[#This Row],[CACL]],AVERAGE(Table14[CACL]),STDEV(Table14[CACL]))</f>
        <v>-0.76365250584142086</v>
      </c>
      <c r="U15">
        <f>STANDARDIZE(Table14[[#This Row],[QACL]],AVERAGE(Table14[QACL]),STDEV(Table14[QACL]))</f>
        <v>-0.44693399110525034</v>
      </c>
      <c r="V15">
        <f>STANDARDIZE(Table14[[#This Row],[WCTA]],AVERAGE(Table14[WCTA]),STDEV(Table14[WCTA]))</f>
        <v>-0.47542269572878398</v>
      </c>
      <c r="W15">
        <f>STANDARDIZE(Table14[[#This Row],[AGE]],AVERAGE(Table14[AGE]),STDEV(Table14[AGE]))</f>
        <v>-1.0167429867673907</v>
      </c>
    </row>
    <row r="16" spans="1:23" x14ac:dyDescent="0.3">
      <c r="A16" t="s">
        <v>34</v>
      </c>
      <c r="B16">
        <v>9433</v>
      </c>
      <c r="C16">
        <v>6.3358999999999996</v>
      </c>
      <c r="D16">
        <v>0.26669999999999999</v>
      </c>
      <c r="E16">
        <v>0.45490000000000003</v>
      </c>
      <c r="F16">
        <v>0.39829999999999999</v>
      </c>
      <c r="G16">
        <v>1.5444</v>
      </c>
      <c r="H16">
        <v>1.2766</v>
      </c>
      <c r="I16">
        <v>0.21690000000000001</v>
      </c>
      <c r="J16">
        <v>81</v>
      </c>
      <c r="K16">
        <v>0</v>
      </c>
      <c r="L16">
        <v>0</v>
      </c>
      <c r="M16">
        <v>0</v>
      </c>
      <c r="N16" t="s">
        <v>72</v>
      </c>
      <c r="O16">
        <f>STANDARDIZE(Table14[[#This Row],[SALES]],AVERAGE(Table14[SALES]),STDEV(Table14[SALES]))</f>
        <v>-0.34113970860221532</v>
      </c>
      <c r="P16">
        <f>STANDARDIZE(Table14[[#This Row],[ROCE]],AVERAGE(Table14[ROCE]),STDEV(Table14[ROCE]))</f>
        <v>0.22079130404246103</v>
      </c>
      <c r="Q16">
        <f>STANDARDIZE(Table14[[#This Row],[FFTL]],AVERAGE(Table14[FFTL]),STDEV(Table14[FFTL]))</f>
        <v>0.50185602153032471</v>
      </c>
      <c r="R16">
        <f>STANDARDIZE(Table14[[#This Row],[GEAR]],AVERAGE(Table14[GEAR]),STDEV(Table14[GEAR]))</f>
        <v>-1.0754624182472134</v>
      </c>
      <c r="S16">
        <f>STANDARDIZE(Table14[[#This Row],[CLTA]],AVERAGE(Table14[CLTA]),STDEV(Table14[CLTA]))</f>
        <v>-0.74962499722819442</v>
      </c>
      <c r="T16">
        <f>STANDARDIZE(Table14[[#This Row],[CACL]],AVERAGE(Table14[CACL]),STDEV(Table14[CACL]))</f>
        <v>0.63336321230177617</v>
      </c>
      <c r="U16">
        <f>STANDARDIZE(Table14[[#This Row],[QACL]],AVERAGE(Table14[QACL]),STDEV(Table14[QACL]))</f>
        <v>1.14479714820215</v>
      </c>
      <c r="V16">
        <f>STANDARDIZE(Table14[[#This Row],[WCTA]],AVERAGE(Table14[WCTA]),STDEV(Table14[WCTA]))</f>
        <v>0.60073509661155133</v>
      </c>
      <c r="W16">
        <f>STANDARDIZE(Table14[[#This Row],[AGE]],AVERAGE(Table14[AGE]),STDEV(Table14[AGE]))</f>
        <v>2.800721478886862</v>
      </c>
    </row>
    <row r="17" spans="1:23" x14ac:dyDescent="0.3">
      <c r="A17" t="s">
        <v>35</v>
      </c>
      <c r="B17">
        <v>103541</v>
      </c>
      <c r="C17">
        <v>14.2607</v>
      </c>
      <c r="D17">
        <v>0.21529999999999999</v>
      </c>
      <c r="E17">
        <v>0.74119999999999997</v>
      </c>
      <c r="F17">
        <v>0.74119999999999997</v>
      </c>
      <c r="G17">
        <v>1.1223000000000001</v>
      </c>
      <c r="H17">
        <v>0.79210000000000003</v>
      </c>
      <c r="I17">
        <v>9.06E-2</v>
      </c>
      <c r="J17">
        <v>28</v>
      </c>
      <c r="K17">
        <v>1</v>
      </c>
      <c r="L17">
        <v>1</v>
      </c>
      <c r="M17">
        <v>0</v>
      </c>
      <c r="N17" t="s">
        <v>72</v>
      </c>
      <c r="O17">
        <f>STANDARDIZE(Table14[[#This Row],[SALES]],AVERAGE(Table14[SALES]),STDEV(Table14[SALES]))</f>
        <v>3.4949190435948547</v>
      </c>
      <c r="P17">
        <f>STANDARDIZE(Table14[[#This Row],[ROCE]],AVERAGE(Table14[ROCE]),STDEV(Table14[ROCE]))</f>
        <v>0.93199013598055525</v>
      </c>
      <c r="Q17">
        <f>STANDARDIZE(Table14[[#This Row],[FFTL]],AVERAGE(Table14[FFTL]),STDEV(Table14[FFTL]))</f>
        <v>0.22926213105155441</v>
      </c>
      <c r="R17">
        <f>STANDARDIZE(Table14[[#This Row],[GEAR]],AVERAGE(Table14[GEAR]),STDEV(Table14[GEAR]))</f>
        <v>0.10006379803265787</v>
      </c>
      <c r="S17">
        <f>STANDARDIZE(Table14[[#This Row],[CLTA]],AVERAGE(Table14[CLTA]),STDEV(Table14[CLTA]))</f>
        <v>0.56594249926214568</v>
      </c>
      <c r="T17">
        <f>STANDARDIZE(Table14[[#This Row],[CACL]],AVERAGE(Table14[CACL]),STDEV(Table14[CACL]))</f>
        <v>-0.31482835326864245</v>
      </c>
      <c r="U17">
        <f>STANDARDIZE(Table14[[#This Row],[QACL]],AVERAGE(Table14[QACL]),STDEV(Table14[QACL]))</f>
        <v>-0.17641877949090357</v>
      </c>
      <c r="V17">
        <f>STANDARDIZE(Table14[[#This Row],[WCTA]],AVERAGE(Table14[WCTA]),STDEV(Table14[WCTA]))</f>
        <v>7.6357283445716628E-2</v>
      </c>
      <c r="W17">
        <f>STANDARDIZE(Table14[[#This Row],[AGE]],AVERAGE(Table14[AGE]),STDEV(Table14[AGE]))</f>
        <v>-9.3565305530741143E-3</v>
      </c>
    </row>
    <row r="18" spans="1:23" x14ac:dyDescent="0.3">
      <c r="A18" t="s">
        <v>36</v>
      </c>
      <c r="B18">
        <v>3310</v>
      </c>
      <c r="C18">
        <v>6.7887000000000004</v>
      </c>
      <c r="D18">
        <v>0.47960000000000003</v>
      </c>
      <c r="E18">
        <v>0.50739999999999996</v>
      </c>
      <c r="F18">
        <v>0.34260000000000002</v>
      </c>
      <c r="G18">
        <v>1.4407000000000001</v>
      </c>
      <c r="H18">
        <v>1.3364</v>
      </c>
      <c r="I18">
        <v>0.151</v>
      </c>
      <c r="J18">
        <v>51</v>
      </c>
      <c r="K18">
        <v>0</v>
      </c>
      <c r="L18">
        <v>0</v>
      </c>
      <c r="M18">
        <v>0</v>
      </c>
      <c r="N18" t="s">
        <v>72</v>
      </c>
      <c r="O18">
        <f>STANDARDIZE(Table14[[#This Row],[SALES]],AVERAGE(Table14[SALES]),STDEV(Table14[SALES]))</f>
        <v>-0.59072728606324587</v>
      </c>
      <c r="P18">
        <f>STANDARDIZE(Table14[[#This Row],[ROCE]],AVERAGE(Table14[ROCE]),STDEV(Table14[ROCE]))</f>
        <v>0.26142713473870188</v>
      </c>
      <c r="Q18">
        <f>STANDARDIZE(Table14[[#This Row],[FFTL]],AVERAGE(Table14[FFTL]),STDEV(Table14[FFTL]))</f>
        <v>1.6309462799530914</v>
      </c>
      <c r="R18">
        <f>STANDARDIZE(Table14[[#This Row],[GEAR]],AVERAGE(Table14[GEAR]),STDEV(Table14[GEAR]))</f>
        <v>-0.85990137614210282</v>
      </c>
      <c r="S18">
        <f>STANDARDIZE(Table14[[#This Row],[CLTA]],AVERAGE(Table14[CLTA]),STDEV(Table14[CLTA]))</f>
        <v>-0.96332318782169668</v>
      </c>
      <c r="T18">
        <f>STANDARDIZE(Table14[[#This Row],[CACL]],AVERAGE(Table14[CACL]),STDEV(Table14[CACL]))</f>
        <v>0.4004149409214105</v>
      </c>
      <c r="U18">
        <f>STANDARDIZE(Table14[[#This Row],[QACL]],AVERAGE(Table14[QACL]),STDEV(Table14[QACL]))</f>
        <v>1.3078698261712824</v>
      </c>
      <c r="V18">
        <f>STANDARDIZE(Table14[[#This Row],[WCTA]],AVERAGE(Table14[WCTA]),STDEV(Table14[WCTA]))</f>
        <v>0.32712862085835642</v>
      </c>
      <c r="W18">
        <f>STANDARDIZE(Table14[[#This Row],[AGE]],AVERAGE(Table14[AGE]),STDEV(Table14[AGE]))</f>
        <v>1.2101112848642566</v>
      </c>
    </row>
    <row r="19" spans="1:23" x14ac:dyDescent="0.3">
      <c r="A19" t="s">
        <v>37</v>
      </c>
      <c r="B19">
        <v>99520</v>
      </c>
      <c r="C19">
        <v>-7.1056999999999997</v>
      </c>
      <c r="D19">
        <v>-1.01E-2</v>
      </c>
      <c r="E19">
        <v>0.64949999999999997</v>
      </c>
      <c r="F19">
        <v>0.15379999999999999</v>
      </c>
      <c r="G19">
        <v>1.5267999999999999</v>
      </c>
      <c r="H19">
        <v>1.2591000000000001</v>
      </c>
      <c r="I19">
        <v>8.1000000000000003E-2</v>
      </c>
      <c r="J19">
        <v>13</v>
      </c>
      <c r="K19">
        <v>1</v>
      </c>
      <c r="L19">
        <v>1</v>
      </c>
      <c r="M19">
        <v>0</v>
      </c>
      <c r="N19" t="s">
        <v>72</v>
      </c>
      <c r="O19">
        <f>STANDARDIZE(Table14[[#This Row],[SALES]],AVERAGE(Table14[SALES]),STDEV(Table14[SALES]))</f>
        <v>3.3310138257325645</v>
      </c>
      <c r="P19">
        <f>STANDARDIZE(Table14[[#This Row],[ROCE]],AVERAGE(Table14[ROCE]),STDEV(Table14[ROCE]))</f>
        <v>-0.98550415065407226</v>
      </c>
      <c r="Q19">
        <f>STANDARDIZE(Table14[[#This Row],[FFTL]],AVERAGE(Table14[FFTL]),STDEV(Table14[FFTL]))</f>
        <v>-0.96612041591176878</v>
      </c>
      <c r="R19">
        <f>STANDARDIZE(Table14[[#This Row],[GEAR]],AVERAGE(Table14[GEAR]),STDEV(Table14[GEAR]))</f>
        <v>-0.27644948884426923</v>
      </c>
      <c r="S19">
        <f>STANDARDIZE(Table14[[#This Row],[CLTA]],AVERAGE(Table14[CLTA]),STDEV(Table14[CLTA]))</f>
        <v>-1.6876718123109831</v>
      </c>
      <c r="T19">
        <f>STANDARDIZE(Table14[[#This Row],[CACL]],AVERAGE(Table14[CACL]),STDEV(Table14[CACL]))</f>
        <v>0.59382715081388371</v>
      </c>
      <c r="U19">
        <f>STANDARDIZE(Table14[[#This Row],[QACL]],AVERAGE(Table14[QACL]),STDEV(Table14[QACL]))</f>
        <v>1.0970752106693775</v>
      </c>
      <c r="V19">
        <f>STANDARDIZE(Table14[[#This Row],[WCTA]],AVERAGE(Table14[WCTA]),STDEV(Table14[WCTA]))</f>
        <v>3.6499587433111623E-2</v>
      </c>
      <c r="W19">
        <f>STANDARDIZE(Table14[[#This Row],[AGE]],AVERAGE(Table14[AGE]),STDEV(Table14[AGE]))</f>
        <v>-0.80466162756437665</v>
      </c>
    </row>
    <row r="20" spans="1:23" x14ac:dyDescent="0.3">
      <c r="A20" t="s">
        <v>39</v>
      </c>
      <c r="B20">
        <v>5814</v>
      </c>
      <c r="C20">
        <v>8.0061999999999998</v>
      </c>
      <c r="D20">
        <v>0.36109999999999998</v>
      </c>
      <c r="E20">
        <v>0.40339999999999998</v>
      </c>
      <c r="F20">
        <v>0.40339999999999998</v>
      </c>
      <c r="G20">
        <v>1.5610999999999999</v>
      </c>
      <c r="H20">
        <v>1.2662</v>
      </c>
      <c r="I20">
        <v>0.2263</v>
      </c>
      <c r="J20">
        <v>33</v>
      </c>
      <c r="K20">
        <v>0</v>
      </c>
      <c r="L20">
        <v>1</v>
      </c>
      <c r="M20">
        <v>0</v>
      </c>
      <c r="N20" t="s">
        <v>72</v>
      </c>
      <c r="O20">
        <f>STANDARDIZE(Table14[[#This Row],[SALES]],AVERAGE(Table14[SALES]),STDEV(Table14[SALES]))</f>
        <v>-0.48865848090851444</v>
      </c>
      <c r="P20">
        <f>STANDARDIZE(Table14[[#This Row],[ROCE]],AVERAGE(Table14[ROCE]),STDEV(Table14[ROCE]))</f>
        <v>0.37068977580025914</v>
      </c>
      <c r="Q20">
        <f>STANDARDIZE(Table14[[#This Row],[FFTL]],AVERAGE(Table14[FFTL]),STDEV(Table14[FFTL]))</f>
        <v>1.0024953845886109</v>
      </c>
      <c r="R20">
        <f>STANDARDIZE(Table14[[#This Row],[GEAR]],AVERAGE(Table14[GEAR]),STDEV(Table14[GEAR]))</f>
        <v>-1.2869175357407987</v>
      </c>
      <c r="S20">
        <f>STANDARDIZE(Table14[[#This Row],[CLTA]],AVERAGE(Table14[CLTA]),STDEV(Table14[CLTA]))</f>
        <v>-0.730058376545486</v>
      </c>
      <c r="T20">
        <f>STANDARDIZE(Table14[[#This Row],[CACL]],AVERAGE(Table14[CACL]),STDEV(Table14[CACL]))</f>
        <v>0.67087754337267391</v>
      </c>
      <c r="U20">
        <f>STANDARDIZE(Table14[[#This Row],[QACL]],AVERAGE(Table14[QACL]),STDEV(Table14[QACL]))</f>
        <v>1.1164366824683878</v>
      </c>
      <c r="V20">
        <f>STANDARDIZE(Table14[[#This Row],[WCTA]],AVERAGE(Table14[WCTA]),STDEV(Table14[WCTA]))</f>
        <v>0.63976242395722704</v>
      </c>
      <c r="W20">
        <f>STANDARDIZE(Table14[[#This Row],[AGE]],AVERAGE(Table14[AGE]),STDEV(Table14[AGE]))</f>
        <v>0.25574516845069339</v>
      </c>
    </row>
    <row r="21" spans="1:23" x14ac:dyDescent="0.3">
      <c r="A21" t="s">
        <v>43</v>
      </c>
      <c r="B21">
        <v>3691</v>
      </c>
      <c r="C21">
        <v>4.0960999999999999</v>
      </c>
      <c r="D21">
        <v>0.17810000000000001</v>
      </c>
      <c r="E21">
        <v>0.72860000000000003</v>
      </c>
      <c r="F21">
        <v>0.70340000000000003</v>
      </c>
      <c r="G21">
        <v>1.1660999999999999</v>
      </c>
      <c r="H21">
        <v>0.55979999999999996</v>
      </c>
      <c r="I21">
        <v>0.1169</v>
      </c>
      <c r="J21">
        <v>16</v>
      </c>
      <c r="K21">
        <v>1</v>
      </c>
      <c r="L21">
        <v>0</v>
      </c>
      <c r="M21">
        <v>1</v>
      </c>
      <c r="N21" t="s">
        <v>72</v>
      </c>
      <c r="O21">
        <f>STANDARDIZE(Table14[[#This Row],[SALES]],AVERAGE(Table14[SALES]),STDEV(Table14[SALES]))</f>
        <v>-0.57519684885719446</v>
      </c>
      <c r="P21">
        <f>STANDARDIZE(Table14[[#This Row],[ROCE]],AVERAGE(Table14[ROCE]),STDEV(Table14[ROCE]))</f>
        <v>1.9783941866135631E-2</v>
      </c>
      <c r="Q21">
        <f>STANDARDIZE(Table14[[#This Row],[FFTL]],AVERAGE(Table14[FFTL]),STDEV(Table14[FFTL]))</f>
        <v>3.1976280354856952E-2</v>
      </c>
      <c r="R21">
        <f>STANDARDIZE(Table14[[#This Row],[GEAR]],AVERAGE(Table14[GEAR]),STDEV(Table14[GEAR]))</f>
        <v>4.8329147927431468E-2</v>
      </c>
      <c r="S21">
        <f>STANDARDIZE(Table14[[#This Row],[CLTA]],AVERAGE(Table14[CLTA]),STDEV(Table14[CLTA]))</f>
        <v>0.42091931067265959</v>
      </c>
      <c r="T21">
        <f>STANDARDIZE(Table14[[#This Row],[CACL]],AVERAGE(Table14[CACL]),STDEV(Table14[CACL]))</f>
        <v>-0.21643747297491067</v>
      </c>
      <c r="U21">
        <f>STANDARDIZE(Table14[[#This Row],[QACL]],AVERAGE(Table14[QACL]),STDEV(Table14[QACL]))</f>
        <v>-0.80989341314022545</v>
      </c>
      <c r="V21">
        <f>STANDARDIZE(Table14[[#This Row],[WCTA]],AVERAGE(Table14[WCTA]),STDEV(Table14[WCTA]))</f>
        <v>0.18555076314691576</v>
      </c>
      <c r="W21">
        <f>STANDARDIZE(Table14[[#This Row],[AGE]],AVERAGE(Table14[AGE]),STDEV(Table14[AGE]))</f>
        <v>-0.64560060816211617</v>
      </c>
    </row>
    <row r="22" spans="1:23" x14ac:dyDescent="0.3">
      <c r="A22" t="s">
        <v>44</v>
      </c>
      <c r="B22">
        <v>6398</v>
      </c>
      <c r="C22">
        <v>-11.593</v>
      </c>
      <c r="D22">
        <v>-3.5900000000000001E-2</v>
      </c>
      <c r="E22">
        <v>0.86129999999999995</v>
      </c>
      <c r="F22">
        <v>0.70809999999999995</v>
      </c>
      <c r="G22">
        <v>1.0629999999999999</v>
      </c>
      <c r="H22">
        <v>0.55920000000000003</v>
      </c>
      <c r="I22">
        <v>4.4600000000000001E-2</v>
      </c>
      <c r="J22">
        <v>3</v>
      </c>
      <c r="K22">
        <v>0</v>
      </c>
      <c r="L22">
        <v>1</v>
      </c>
      <c r="M22">
        <v>1</v>
      </c>
      <c r="N22" t="s">
        <v>72</v>
      </c>
      <c r="O22">
        <f>STANDARDIZE(Table14[[#This Row],[SALES]],AVERAGE(Table14[SALES]),STDEV(Table14[SALES]))</f>
        <v>-0.46485329631971123</v>
      </c>
      <c r="P22">
        <f>STANDARDIZE(Table14[[#This Row],[ROCE]],AVERAGE(Table14[ROCE]),STDEV(Table14[ROCE]))</f>
        <v>-1.3882098995128209</v>
      </c>
      <c r="Q22">
        <f>STANDARDIZE(Table14[[#This Row],[FFTL]],AVERAGE(Table14[FFTL]),STDEV(Table14[FFTL]))</f>
        <v>-1.1029476994594785</v>
      </c>
      <c r="R22">
        <f>STANDARDIZE(Table14[[#This Row],[GEAR]],AVERAGE(Table14[GEAR]),STDEV(Table14[GEAR]))</f>
        <v>0.59318534387692112</v>
      </c>
      <c r="S22">
        <f>STANDARDIZE(Table14[[#This Row],[CLTA]],AVERAGE(Table14[CLTA]),STDEV(Table14[CLTA]))</f>
        <v>0.43895129443907693</v>
      </c>
      <c r="T22">
        <f>STANDARDIZE(Table14[[#This Row],[CACL]],AVERAGE(Table14[CACL]),STDEV(Table14[CACL]))</f>
        <v>-0.4480379240772801</v>
      </c>
      <c r="U22">
        <f>STANDARDIZE(Table14[[#This Row],[QACL]],AVERAGE(Table14[QACL]),STDEV(Table14[QACL]))</f>
        <v>-0.81152959385563461</v>
      </c>
      <c r="V22">
        <f>STANDARDIZE(Table14[[#This Row],[WCTA]],AVERAGE(Table14[WCTA]),STDEV(Table14[WCTA]))</f>
        <v>-0.11462750994801571</v>
      </c>
      <c r="W22">
        <f>STANDARDIZE(Table14[[#This Row],[AGE]],AVERAGE(Table14[AGE]),STDEV(Table14[AGE]))</f>
        <v>-1.3348650255719117</v>
      </c>
    </row>
    <row r="23" spans="1:23" x14ac:dyDescent="0.3">
      <c r="A23" t="s">
        <v>48</v>
      </c>
      <c r="B23">
        <v>5574</v>
      </c>
      <c r="C23">
        <v>-0.4819</v>
      </c>
      <c r="D23">
        <v>8.6599999999999996E-2</v>
      </c>
      <c r="E23">
        <v>0.80079999999999996</v>
      </c>
      <c r="F23">
        <v>0.7772</v>
      </c>
      <c r="G23">
        <v>0.71309999999999996</v>
      </c>
      <c r="H23">
        <v>0.56669999999999998</v>
      </c>
      <c r="I23">
        <v>-0.223</v>
      </c>
      <c r="J23">
        <v>32</v>
      </c>
      <c r="K23">
        <v>0</v>
      </c>
      <c r="L23">
        <v>0</v>
      </c>
      <c r="M23">
        <v>1</v>
      </c>
      <c r="N23" t="s">
        <v>72</v>
      </c>
      <c r="O23">
        <f>STANDARDIZE(Table14[[#This Row],[SALES]],AVERAGE(Table14[SALES]),STDEV(Table14[SALES]))</f>
        <v>-0.49844143347925546</v>
      </c>
      <c r="P23">
        <f>STANDARDIZE(Table14[[#This Row],[ROCE]],AVERAGE(Table14[ROCE]),STDEV(Table14[ROCE]))</f>
        <v>-0.39106153721379011</v>
      </c>
      <c r="Q23">
        <f>STANDARDIZE(Table14[[#This Row],[FFTL]],AVERAGE(Table14[FFTL]),STDEV(Table14[FFTL]))</f>
        <v>-0.45328327176202016</v>
      </c>
      <c r="R23">
        <f>STANDARDIZE(Table14[[#This Row],[GEAR]],AVERAGE(Table14[GEAR]),STDEV(Table14[GEAR]))</f>
        <v>0.34477690487960277</v>
      </c>
      <c r="S23">
        <f>STANDARDIZE(Table14[[#This Row],[CLTA]],AVERAGE(Table14[CLTA]),STDEV(Table14[CLTA]))</f>
        <v>0.70405982172832327</v>
      </c>
      <c r="T23">
        <f>STANDARDIZE(Table14[[#This Row],[CACL]],AVERAGE(Table14[CACL]),STDEV(Table14[CACL]))</f>
        <v>-1.2340417828621404</v>
      </c>
      <c r="U23">
        <f>STANDARDIZE(Table14[[#This Row],[QACL]],AVERAGE(Table14[QACL]),STDEV(Table14[QACL]))</f>
        <v>-0.79107733491301779</v>
      </c>
      <c r="V23">
        <f>STANDARDIZE(Table14[[#This Row],[WCTA]],AVERAGE(Table14[WCTA]),STDEV(Table14[WCTA]))</f>
        <v>-1.2256607862993805</v>
      </c>
      <c r="W23">
        <f>STANDARDIZE(Table14[[#This Row],[AGE]],AVERAGE(Table14[AGE]),STDEV(Table14[AGE]))</f>
        <v>0.2027248286499399</v>
      </c>
    </row>
    <row r="24" spans="1:23" x14ac:dyDescent="0.3">
      <c r="A24" t="s">
        <v>51</v>
      </c>
      <c r="B24">
        <v>29300</v>
      </c>
      <c r="C24">
        <v>7.4499999999999997E-2</v>
      </c>
      <c r="D24">
        <v>6.83E-2</v>
      </c>
      <c r="E24">
        <v>0.59770000000000001</v>
      </c>
      <c r="F24">
        <v>0.47670000000000001</v>
      </c>
      <c r="G24">
        <v>1.1994</v>
      </c>
      <c r="H24">
        <v>0.75129999999999997</v>
      </c>
      <c r="I24">
        <v>9.5100000000000004E-2</v>
      </c>
      <c r="J24">
        <v>25</v>
      </c>
      <c r="K24">
        <v>0</v>
      </c>
      <c r="L24">
        <v>0</v>
      </c>
      <c r="M24">
        <v>1</v>
      </c>
      <c r="N24" t="s">
        <v>72</v>
      </c>
      <c r="O24">
        <f>STANDARDIZE(Table14[[#This Row],[SALES]],AVERAGE(Table14[SALES]),STDEV(Table14[SALES]))</f>
        <v>0.4686849527432515</v>
      </c>
      <c r="P24">
        <f>STANDARDIZE(Table14[[#This Row],[ROCE]],AVERAGE(Table14[ROCE]),STDEV(Table14[ROCE]))</f>
        <v>-0.34112828589005251</v>
      </c>
      <c r="Q24">
        <f>STANDARDIZE(Table14[[#This Row],[FFTL]],AVERAGE(Table14[FFTL]),STDEV(Table14[FFTL]))</f>
        <v>-0.55033518218539557</v>
      </c>
      <c r="R24">
        <f>STANDARDIZE(Table14[[#This Row],[GEAR]],AVERAGE(Table14[GEAR]),STDEV(Table14[GEAR]))</f>
        <v>-0.48913638372131185</v>
      </c>
      <c r="S24">
        <f>STANDARDIZE(Table14[[#This Row],[CLTA]],AVERAGE(Table14[CLTA]),STDEV(Table14[CLTA]))</f>
        <v>-0.44883616163518569</v>
      </c>
      <c r="T24">
        <f>STANDARDIZE(Table14[[#This Row],[CACL]],AVERAGE(Table14[CACL]),STDEV(Table14[CACL]))</f>
        <v>-0.14163344754611407</v>
      </c>
      <c r="U24">
        <f>STANDARDIZE(Table14[[#This Row],[QACL]],AVERAGE(Table14[QACL]),STDEV(Table14[QACL]))</f>
        <v>-0.28767906813873978</v>
      </c>
      <c r="V24">
        <f>STANDARDIZE(Table14[[#This Row],[WCTA]],AVERAGE(Table14[WCTA]),STDEV(Table14[WCTA]))</f>
        <v>9.5040578451625238E-2</v>
      </c>
      <c r="W24">
        <f>STANDARDIZE(Table14[[#This Row],[AGE]],AVERAGE(Table14[AGE]),STDEV(Table14[AGE]))</f>
        <v>-0.16841754995533462</v>
      </c>
    </row>
    <row r="25" spans="1:23" x14ac:dyDescent="0.3">
      <c r="A25" t="s">
        <v>52</v>
      </c>
      <c r="B25">
        <v>2958</v>
      </c>
      <c r="C25">
        <v>-9.4013000000000009</v>
      </c>
      <c r="D25">
        <v>1.4500000000000001E-2</v>
      </c>
      <c r="E25">
        <v>1.4864999999999999</v>
      </c>
      <c r="F25">
        <v>1.4864999999999999</v>
      </c>
      <c r="G25">
        <v>0.49740000000000001</v>
      </c>
      <c r="H25">
        <v>0.28470000000000001</v>
      </c>
      <c r="I25">
        <v>-0.747</v>
      </c>
      <c r="J25">
        <v>11</v>
      </c>
      <c r="K25">
        <v>0</v>
      </c>
      <c r="L25">
        <v>0</v>
      </c>
      <c r="M25">
        <v>1</v>
      </c>
      <c r="N25" t="s">
        <v>72</v>
      </c>
      <c r="O25">
        <f>STANDARDIZE(Table14[[#This Row],[SALES]],AVERAGE(Table14[SALES]),STDEV(Table14[SALES]))</f>
        <v>-0.6050756165003327</v>
      </c>
      <c r="P25">
        <f>STANDARDIZE(Table14[[#This Row],[ROCE]],AVERAGE(Table14[ROCE]),STDEV(Table14[ROCE]))</f>
        <v>-1.1915191969135477</v>
      </c>
      <c r="Q25">
        <f>STANDARDIZE(Table14[[#This Row],[FFTL]],AVERAGE(Table14[FFTL]),STDEV(Table14[FFTL]))</f>
        <v>-0.83565719206395261</v>
      </c>
      <c r="R25">
        <f>STANDARDIZE(Table14[[#This Row],[GEAR]],AVERAGE(Table14[GEAR]),STDEV(Table14[GEAR]))</f>
        <v>3.1602094110029277</v>
      </c>
      <c r="S25">
        <f>STANDARDIZE(Table14[[#This Row],[CLTA]],AVERAGE(Table14[CLTA]),STDEV(Table14[CLTA]))</f>
        <v>3.4253547335410914</v>
      </c>
      <c r="T25">
        <f>STANDARDIZE(Table14[[#This Row],[CACL]],AVERAGE(Table14[CACL]),STDEV(Table14[CACL]))</f>
        <v>-1.718583172801821</v>
      </c>
      <c r="U25">
        <f>STANDARDIZE(Table14[[#This Row],[QACL]],AVERAGE(Table14[QACL]),STDEV(Table14[QACL]))</f>
        <v>-1.5600822711554141</v>
      </c>
      <c r="V25">
        <f>STANDARDIZE(Table14[[#This Row],[WCTA]],AVERAGE(Table14[WCTA]),STDEV(Table14[WCTA]))</f>
        <v>-3.40122669365407</v>
      </c>
      <c r="W25">
        <f>STANDARDIZE(Table14[[#This Row],[AGE]],AVERAGE(Table14[AGE]),STDEV(Table14[AGE]))</f>
        <v>-0.91070230716588363</v>
      </c>
    </row>
    <row r="26" spans="1:23" x14ac:dyDescent="0.3">
      <c r="A26" t="s">
        <v>54</v>
      </c>
      <c r="B26">
        <v>47237</v>
      </c>
      <c r="C26">
        <v>-2.5558999999999998</v>
      </c>
      <c r="D26">
        <v>7.3499999999999996E-2</v>
      </c>
      <c r="E26">
        <v>1.0072000000000001</v>
      </c>
      <c r="F26">
        <v>0.85160000000000002</v>
      </c>
      <c r="G26">
        <v>0.74370000000000003</v>
      </c>
      <c r="H26">
        <v>0.4385</v>
      </c>
      <c r="I26">
        <v>-0.21829999999999999</v>
      </c>
      <c r="J26">
        <v>8</v>
      </c>
      <c r="K26">
        <v>0</v>
      </c>
      <c r="L26">
        <v>1</v>
      </c>
      <c r="M26">
        <v>1</v>
      </c>
      <c r="N26" t="s">
        <v>72</v>
      </c>
      <c r="O26">
        <f>STANDARDIZE(Table14[[#This Row],[SALES]],AVERAGE(Table14[SALES]),STDEV(Table14[SALES]))</f>
        <v>1.1998383704990092</v>
      </c>
      <c r="P26">
        <f>STANDARDIZE(Table14[[#This Row],[ROCE]],AVERAGE(Table14[ROCE]),STDEV(Table14[ROCE]))</f>
        <v>-0.57718943664842659</v>
      </c>
      <c r="Q26">
        <f>STANDARDIZE(Table14[[#This Row],[FFTL]],AVERAGE(Table14[FFTL]),STDEV(Table14[FFTL]))</f>
        <v>-0.52275759015252388</v>
      </c>
      <c r="R26">
        <f>STANDARDIZE(Table14[[#This Row],[GEAR]],AVERAGE(Table14[GEAR]),STDEV(Table14[GEAR]))</f>
        <v>1.1922397446985538</v>
      </c>
      <c r="S26">
        <f>STANDARDIZE(Table14[[#This Row],[CLTA]],AVERAGE(Table14[CLTA]),STDEV(Table14[CLTA]))</f>
        <v>0.98950228815842345</v>
      </c>
      <c r="T26">
        <f>STANDARDIZE(Table14[[#This Row],[CACL]],AVERAGE(Table14[CACL]),STDEV(Table14[CACL]))</f>
        <v>-1.1653029486843274</v>
      </c>
      <c r="U26">
        <f>STANDARDIZE(Table14[[#This Row],[QACL]],AVERAGE(Table14[QACL]),STDEV(Table14[QACL]))</f>
        <v>-1.1406746144388165</v>
      </c>
      <c r="V26">
        <f>STANDARDIZE(Table14[[#This Row],[WCTA]],AVERAGE(Table14[WCTA]),STDEV(Table14[WCTA]))</f>
        <v>-1.2061471226265423</v>
      </c>
      <c r="W26">
        <f>STANDARDIZE(Table14[[#This Row],[AGE]],AVERAGE(Table14[AGE]),STDEV(Table14[AGE]))</f>
        <v>-1.0697633265681441</v>
      </c>
    </row>
    <row r="27" spans="1:23" x14ac:dyDescent="0.3">
      <c r="A27" t="s">
        <v>56</v>
      </c>
      <c r="B27">
        <v>10339</v>
      </c>
      <c r="C27">
        <v>4.4451999999999998</v>
      </c>
      <c r="D27">
        <v>0.1176</v>
      </c>
      <c r="E27">
        <v>0.74609999999999999</v>
      </c>
      <c r="F27">
        <v>0.65600000000000003</v>
      </c>
      <c r="G27">
        <v>1.1398999999999999</v>
      </c>
      <c r="H27">
        <v>0.62960000000000005</v>
      </c>
      <c r="I27">
        <v>9.1800000000000007E-2</v>
      </c>
      <c r="J27">
        <v>19</v>
      </c>
      <c r="K27">
        <v>0</v>
      </c>
      <c r="L27">
        <v>0</v>
      </c>
      <c r="M27">
        <v>1</v>
      </c>
      <c r="N27" t="s">
        <v>72</v>
      </c>
      <c r="O27">
        <f>STANDARDIZE(Table14[[#This Row],[SALES]],AVERAGE(Table14[SALES]),STDEV(Table14[SALES]))</f>
        <v>-0.30420906264766795</v>
      </c>
      <c r="P27">
        <f>STANDARDIZE(Table14[[#This Row],[ROCE]],AVERAGE(Table14[ROCE]),STDEV(Table14[ROCE]))</f>
        <v>5.1113377590644604E-2</v>
      </c>
      <c r="Q27">
        <f>STANDARDIZE(Table14[[#This Row],[FFTL]],AVERAGE(Table14[FFTL]),STDEV(Table14[FFTL]))</f>
        <v>-0.28887839618143885</v>
      </c>
      <c r="R27">
        <f>STANDARDIZE(Table14[[#This Row],[GEAR]],AVERAGE(Table14[GEAR]),STDEV(Table14[GEAR]))</f>
        <v>0.12018282862913494</v>
      </c>
      <c r="S27">
        <f>STANDARDIZE(Table14[[#This Row],[CLTA]],AVERAGE(Table14[CLTA]),STDEV(Table14[CLTA]))</f>
        <v>0.23906483609219262</v>
      </c>
      <c r="T27">
        <f>STANDARDIZE(Table14[[#This Row],[CACL]],AVERAGE(Table14[CACL]),STDEV(Table14[CACL]))</f>
        <v>-0.27529229178075043</v>
      </c>
      <c r="U27">
        <f>STANDARDIZE(Table14[[#This Row],[QACL]],AVERAGE(Table14[QACL]),STDEV(Table14[QACL]))</f>
        <v>-0.61955105658093701</v>
      </c>
      <c r="V27">
        <f>STANDARDIZE(Table14[[#This Row],[WCTA]],AVERAGE(Table14[WCTA]),STDEV(Table14[WCTA]))</f>
        <v>8.133949544729227E-2</v>
      </c>
      <c r="W27">
        <f>STANDARDIZE(Table14[[#This Row],[AGE]],AVERAGE(Table14[AGE]),STDEV(Table14[AGE]))</f>
        <v>-0.48653958875985565</v>
      </c>
    </row>
    <row r="28" spans="1:23" x14ac:dyDescent="0.3">
      <c r="A28" t="s">
        <v>57</v>
      </c>
      <c r="B28">
        <v>27599</v>
      </c>
      <c r="C28">
        <v>-5.9040999999999997</v>
      </c>
      <c r="D28">
        <v>5.1900000000000002E-2</v>
      </c>
      <c r="E28">
        <v>0.79769999999999996</v>
      </c>
      <c r="F28">
        <v>0.4824</v>
      </c>
      <c r="G28">
        <v>0.89590000000000003</v>
      </c>
      <c r="H28">
        <v>0.75139999999999996</v>
      </c>
      <c r="I28">
        <v>-5.0200000000000002E-2</v>
      </c>
      <c r="J28">
        <v>21</v>
      </c>
      <c r="K28">
        <v>0</v>
      </c>
      <c r="L28">
        <v>0</v>
      </c>
      <c r="M28">
        <v>1</v>
      </c>
      <c r="N28" t="s">
        <v>72</v>
      </c>
      <c r="O28">
        <f>STANDARDIZE(Table14[[#This Row],[SALES]],AVERAGE(Table14[SALES]),STDEV(Table14[SALES]))</f>
        <v>0.39934827639812442</v>
      </c>
      <c r="P28">
        <f>STANDARDIZE(Table14[[#This Row],[ROCE]],AVERAGE(Table14[ROCE]),STDEV(Table14[ROCE]))</f>
        <v>-0.87766843032588571</v>
      </c>
      <c r="Q28">
        <f>STANDARDIZE(Table14[[#This Row],[FFTL]],AVERAGE(Table14[FFTL]),STDEV(Table14[FFTL]))</f>
        <v>-0.63731066475060627</v>
      </c>
      <c r="R28">
        <f>STANDARDIZE(Table14[[#This Row],[GEAR]],AVERAGE(Table14[GEAR]),STDEV(Table14[GEAR]))</f>
        <v>0.33204853858387245</v>
      </c>
      <c r="S28">
        <f>STANDARDIZE(Table14[[#This Row],[CLTA]],AVERAGE(Table14[CLTA]),STDEV(Table14[CLTA]))</f>
        <v>-0.42696758557804099</v>
      </c>
      <c r="T28">
        <f>STANDARDIZE(Table14[[#This Row],[CACL]],AVERAGE(Table14[CACL]),STDEV(Table14[CACL]))</f>
        <v>-0.82340587149925815</v>
      </c>
      <c r="U28">
        <f>STANDARDIZE(Table14[[#This Row],[QACL]],AVERAGE(Table14[QACL]),STDEV(Table14[QACL]))</f>
        <v>-0.28740637135283825</v>
      </c>
      <c r="V28">
        <f>STANDARDIZE(Table14[[#This Row],[WCTA]],AVERAGE(Table14[WCTA]),STDEV(Table14[WCTA]))</f>
        <v>-0.50822225807249011</v>
      </c>
      <c r="W28">
        <f>STANDARDIZE(Table14[[#This Row],[AGE]],AVERAGE(Table14[AGE]),STDEV(Table14[AGE]))</f>
        <v>-0.38049890915834866</v>
      </c>
    </row>
    <row r="29" spans="1:23" x14ac:dyDescent="0.3">
      <c r="A29" t="s">
        <v>58</v>
      </c>
      <c r="B29">
        <v>8070</v>
      </c>
      <c r="C29">
        <v>13.9864</v>
      </c>
      <c r="D29">
        <v>0.2122</v>
      </c>
      <c r="E29">
        <v>0.99690000000000001</v>
      </c>
      <c r="F29">
        <v>0.29859999999999998</v>
      </c>
      <c r="G29">
        <v>2.0674000000000001</v>
      </c>
      <c r="H29">
        <v>0.72829999999999995</v>
      </c>
      <c r="I29">
        <v>0.31879999999999997</v>
      </c>
      <c r="J29">
        <v>26</v>
      </c>
      <c r="K29">
        <v>1</v>
      </c>
      <c r="L29">
        <v>1</v>
      </c>
      <c r="M29">
        <v>1</v>
      </c>
      <c r="N29" t="s">
        <v>72</v>
      </c>
      <c r="O29">
        <f>STANDARDIZE(Table14[[#This Row],[SALES]],AVERAGE(Table14[SALES]),STDEV(Table14[SALES]))</f>
        <v>-0.39669872674354872</v>
      </c>
      <c r="P29">
        <f>STANDARDIZE(Table14[[#This Row],[ROCE]],AVERAGE(Table14[ROCE]),STDEV(Table14[ROCE]))</f>
        <v>0.90737350974385289</v>
      </c>
      <c r="Q29">
        <f>STANDARDIZE(Table14[[#This Row],[FFTL]],AVERAGE(Table14[FFTL]),STDEV(Table14[FFTL]))</f>
        <v>0.21282164349349633</v>
      </c>
      <c r="R29">
        <f>STANDARDIZE(Table14[[#This Row],[GEAR]],AVERAGE(Table14[GEAR]),STDEV(Table14[GEAR]))</f>
        <v>1.1499487211998363</v>
      </c>
      <c r="S29">
        <f>STANDARDIZE(Table14[[#This Row],[CLTA]],AVERAGE(Table14[CLTA]),STDEV(Table14[CLTA]))</f>
        <v>-1.1321332486136915</v>
      </c>
      <c r="T29">
        <f>STANDARDIZE(Table14[[#This Row],[CACL]],AVERAGE(Table14[CACL]),STDEV(Table14[CACL]))</f>
        <v>1.8082132212885782</v>
      </c>
      <c r="U29">
        <f>STANDARDIZE(Table14[[#This Row],[QACL]],AVERAGE(Table14[QACL]),STDEV(Table14[QACL]))</f>
        <v>-0.35039932889609843</v>
      </c>
      <c r="V29">
        <f>STANDARDIZE(Table14[[#This Row],[WCTA]],AVERAGE(Table14[WCTA]),STDEV(Table14[WCTA]))</f>
        <v>1.0238079324120148</v>
      </c>
      <c r="W29">
        <f>STANDARDIZE(Table14[[#This Row],[AGE]],AVERAGE(Table14[AGE]),STDEV(Table14[AGE]))</f>
        <v>-0.11539721015458113</v>
      </c>
    </row>
    <row r="30" spans="1:23" x14ac:dyDescent="0.3">
      <c r="A30" t="s">
        <v>59</v>
      </c>
      <c r="B30">
        <v>48162</v>
      </c>
      <c r="C30">
        <v>6.1787000000000001</v>
      </c>
      <c r="D30">
        <v>0.1181</v>
      </c>
      <c r="E30">
        <v>0.99960000000000004</v>
      </c>
      <c r="F30">
        <v>0.74370000000000003</v>
      </c>
      <c r="G30">
        <v>1.3007</v>
      </c>
      <c r="H30">
        <v>0.90700000000000003</v>
      </c>
      <c r="I30">
        <v>0.22359999999999999</v>
      </c>
      <c r="J30">
        <v>34</v>
      </c>
      <c r="K30">
        <v>0</v>
      </c>
      <c r="L30">
        <v>0</v>
      </c>
      <c r="M30">
        <v>1</v>
      </c>
      <c r="N30" t="s">
        <v>72</v>
      </c>
      <c r="O30">
        <f>STANDARDIZE(Table14[[#This Row],[SALES]],AVERAGE(Table14[SALES]),STDEV(Table14[SALES]))</f>
        <v>1.2375435001987403</v>
      </c>
      <c r="P30">
        <f>STANDARDIZE(Table14[[#This Row],[ROCE]],AVERAGE(Table14[ROCE]),STDEV(Table14[ROCE]))</f>
        <v>0.20668363490498523</v>
      </c>
      <c r="Q30">
        <f>STANDARDIZE(Table14[[#This Row],[FFTL]],AVERAGE(Table14[FFTL]),STDEV(Table14[FFTL]))</f>
        <v>-0.28622670463981659</v>
      </c>
      <c r="R30">
        <f>STANDARDIZE(Table14[[#This Row],[GEAR]],AVERAGE(Table14[GEAR]),STDEV(Table14[GEAR]))</f>
        <v>1.1610347176509566</v>
      </c>
      <c r="S30">
        <f>STANDARDIZE(Table14[[#This Row],[CLTA]],AVERAGE(Table14[CLTA]),STDEV(Table14[CLTA]))</f>
        <v>0.57553397998896383</v>
      </c>
      <c r="T30">
        <f>STANDARDIZE(Table14[[#This Row],[CACL]],AVERAGE(Table14[CACL]),STDEV(Table14[CACL]))</f>
        <v>8.5923542722266363E-2</v>
      </c>
      <c r="U30">
        <f>STANDARDIZE(Table14[[#This Row],[QACL]],AVERAGE(Table14[QACL]),STDEV(Table14[QACL]))</f>
        <v>0.13690982750998781</v>
      </c>
      <c r="V30">
        <f>STANDARDIZE(Table14[[#This Row],[WCTA]],AVERAGE(Table14[WCTA]),STDEV(Table14[WCTA]))</f>
        <v>0.62855244695368184</v>
      </c>
      <c r="W30">
        <f>STANDARDIZE(Table14[[#This Row],[AGE]],AVERAGE(Table14[AGE]),STDEV(Table14[AGE]))</f>
        <v>0.30876550825144689</v>
      </c>
    </row>
    <row r="31" spans="1:23" x14ac:dyDescent="0.3">
      <c r="A31" t="s">
        <v>62</v>
      </c>
      <c r="B31">
        <v>4028</v>
      </c>
      <c r="C31">
        <v>-4.9691999999999998</v>
      </c>
      <c r="D31">
        <v>3.09E-2</v>
      </c>
      <c r="E31">
        <v>0.81710000000000005</v>
      </c>
      <c r="F31">
        <v>0.75860000000000005</v>
      </c>
      <c r="G31">
        <v>1.0696000000000001</v>
      </c>
      <c r="H31">
        <v>0.92700000000000005</v>
      </c>
      <c r="I31">
        <v>5.28E-2</v>
      </c>
      <c r="J31">
        <v>14</v>
      </c>
      <c r="K31">
        <v>1</v>
      </c>
      <c r="L31">
        <v>0</v>
      </c>
      <c r="M31">
        <v>1</v>
      </c>
      <c r="N31" t="s">
        <v>72</v>
      </c>
      <c r="O31">
        <f>STANDARDIZE(Table14[[#This Row],[SALES]],AVERAGE(Table14[SALES]),STDEV(Table14[SALES]))</f>
        <v>-0.56145995295577888</v>
      </c>
      <c r="P31">
        <f>STANDARDIZE(Table14[[#This Row],[ROCE]],AVERAGE(Table14[ROCE]),STDEV(Table14[ROCE]))</f>
        <v>-0.79376728607253855</v>
      </c>
      <c r="Q31">
        <f>STANDARDIZE(Table14[[#This Row],[FFTL]],AVERAGE(Table14[FFTL]),STDEV(Table14[FFTL]))</f>
        <v>-0.74868170949874191</v>
      </c>
      <c r="R31">
        <f>STANDARDIZE(Table14[[#This Row],[GEAR]],AVERAGE(Table14[GEAR]),STDEV(Table14[GEAR]))</f>
        <v>0.4117034760474757</v>
      </c>
      <c r="S31">
        <f>STANDARDIZE(Table14[[#This Row],[CLTA]],AVERAGE(Table14[CLTA]),STDEV(Table14[CLTA]))</f>
        <v>0.63269920512079847</v>
      </c>
      <c r="T31">
        <f>STANDARDIZE(Table14[[#This Row],[CACL]],AVERAGE(Table14[CACL]),STDEV(Table14[CACL]))</f>
        <v>-0.43321190101932011</v>
      </c>
      <c r="U31">
        <f>STANDARDIZE(Table14[[#This Row],[QACL]],AVERAGE(Table14[QACL]),STDEV(Table14[QACL]))</f>
        <v>0.19144918469029967</v>
      </c>
      <c r="V31">
        <f>STANDARDIZE(Table14[[#This Row],[WCTA]],AVERAGE(Table14[WCTA]),STDEV(Table14[WCTA]))</f>
        <v>-8.05823946039156E-2</v>
      </c>
      <c r="W31">
        <f>STANDARDIZE(Table14[[#This Row],[AGE]],AVERAGE(Table14[AGE]),STDEV(Table14[AGE]))</f>
        <v>-0.75164128776362316</v>
      </c>
    </row>
    <row r="32" spans="1:23" x14ac:dyDescent="0.3">
      <c r="A32" t="s">
        <v>63</v>
      </c>
      <c r="B32">
        <v>5566</v>
      </c>
      <c r="C32">
        <v>-9.4512999999999998</v>
      </c>
      <c r="D32">
        <v>-1.7899999999999999E-2</v>
      </c>
      <c r="E32">
        <v>0.7722</v>
      </c>
      <c r="F32">
        <v>0.65959999999999996</v>
      </c>
      <c r="G32">
        <v>0.77739999999999998</v>
      </c>
      <c r="H32">
        <v>0.46429999999999999</v>
      </c>
      <c r="I32">
        <v>-0.14680000000000001</v>
      </c>
      <c r="J32">
        <v>11</v>
      </c>
      <c r="K32">
        <v>0</v>
      </c>
      <c r="L32">
        <v>1</v>
      </c>
      <c r="M32">
        <v>1</v>
      </c>
      <c r="N32" t="s">
        <v>72</v>
      </c>
      <c r="O32">
        <f>STANDARDIZE(Table14[[#This Row],[SALES]],AVERAGE(Table14[SALES]),STDEV(Table14[SALES]))</f>
        <v>-0.49876753189828016</v>
      </c>
      <c r="P32">
        <f>STANDARDIZE(Table14[[#This Row],[ROCE]],AVERAGE(Table14[ROCE]),STDEV(Table14[ROCE]))</f>
        <v>-1.1960063690310654</v>
      </c>
      <c r="Q32">
        <f>STANDARDIZE(Table14[[#This Row],[FFTL]],AVERAGE(Table14[FFTL]),STDEV(Table14[FFTL]))</f>
        <v>-1.0074868039610765</v>
      </c>
      <c r="R32">
        <f>STANDARDIZE(Table14[[#This Row],[GEAR]],AVERAGE(Table14[GEAR]),STDEV(Table14[GEAR]))</f>
        <v>0.22734746098996156</v>
      </c>
      <c r="S32">
        <f>STANDARDIZE(Table14[[#This Row],[CLTA]],AVERAGE(Table14[CLTA]),STDEV(Table14[CLTA]))</f>
        <v>0.25287656833881011</v>
      </c>
      <c r="T32">
        <f>STANDARDIZE(Table14[[#This Row],[CACL]],AVERAGE(Table14[CACL]),STDEV(Table14[CACL]))</f>
        <v>-1.0896003764035336</v>
      </c>
      <c r="U32">
        <f>STANDARDIZE(Table14[[#This Row],[QACL]],AVERAGE(Table14[QACL]),STDEV(Table14[QACL]))</f>
        <v>-1.0703188436762143</v>
      </c>
      <c r="V32">
        <f>STANDARDIZE(Table14[[#This Row],[WCTA]],AVERAGE(Table14[WCTA]),STDEV(Table14[WCTA]))</f>
        <v>-0.90929032419932809</v>
      </c>
      <c r="W32">
        <f>STANDARDIZE(Table14[[#This Row],[AGE]],AVERAGE(Table14[AGE]),STDEV(Table14[AGE]))</f>
        <v>-0.91070230716588363</v>
      </c>
    </row>
    <row r="33" spans="1:23" x14ac:dyDescent="0.3">
      <c r="A33" t="s">
        <v>64</v>
      </c>
      <c r="B33">
        <v>13909</v>
      </c>
      <c r="C33">
        <v>-1.4261999999999999</v>
      </c>
      <c r="D33">
        <v>6.4199999999999993E-2</v>
      </c>
      <c r="E33">
        <v>0.68899999999999995</v>
      </c>
      <c r="F33">
        <v>0.59160000000000001</v>
      </c>
      <c r="G33">
        <v>0.94569999999999999</v>
      </c>
      <c r="H33">
        <v>0.312</v>
      </c>
      <c r="I33">
        <v>-3.2099999999999997E-2</v>
      </c>
      <c r="J33">
        <v>74</v>
      </c>
      <c r="K33">
        <v>0</v>
      </c>
      <c r="L33">
        <v>0</v>
      </c>
      <c r="M33">
        <v>1</v>
      </c>
      <c r="N33" t="s">
        <v>72</v>
      </c>
      <c r="O33">
        <f>STANDARDIZE(Table14[[#This Row],[SALES]],AVERAGE(Table14[SALES]),STDEV(Table14[SALES]))</f>
        <v>-0.1586876431578951</v>
      </c>
      <c r="P33">
        <f>STANDARDIZE(Table14[[#This Row],[ROCE]],AVERAGE(Table14[ROCE]),STDEV(Table14[ROCE]))</f>
        <v>-0.47580626982523044</v>
      </c>
      <c r="Q33">
        <f>STANDARDIZE(Table14[[#This Row],[FFTL]],AVERAGE(Table14[FFTL]),STDEV(Table14[FFTL]))</f>
        <v>-0.57207905282669824</v>
      </c>
      <c r="R33">
        <f>STANDARDIZE(Table14[[#This Row],[GEAR]],AVERAGE(Table14[GEAR]),STDEV(Table14[GEAR]))</f>
        <v>-0.11426546668899538</v>
      </c>
      <c r="S33">
        <f>STANDARDIZE(Table14[[#This Row],[CLTA]],AVERAGE(Table14[CLTA]),STDEV(Table14[CLTA]))</f>
        <v>-8.0117074306359799E-3</v>
      </c>
      <c r="T33">
        <f>STANDARDIZE(Table14[[#This Row],[CACL]],AVERAGE(Table14[CACL]),STDEV(Table14[CACL]))</f>
        <v>-0.71153678842556278</v>
      </c>
      <c r="U33">
        <f>STANDARDIZE(Table14[[#This Row],[QACL]],AVERAGE(Table14[QACL]),STDEV(Table14[QACL]))</f>
        <v>-1.4856360486042888</v>
      </c>
      <c r="V33">
        <f>STANDARDIZE(Table14[[#This Row],[WCTA]],AVERAGE(Table14[WCTA]),STDEV(Table14[WCTA]))</f>
        <v>-0.43307389371539112</v>
      </c>
      <c r="W33">
        <f>STANDARDIZE(Table14[[#This Row],[AGE]],AVERAGE(Table14[AGE]),STDEV(Table14[AGE]))</f>
        <v>2.4295791002815874</v>
      </c>
    </row>
    <row r="34" spans="1:23" x14ac:dyDescent="0.3">
      <c r="A34" t="s">
        <v>65</v>
      </c>
      <c r="B34">
        <v>3981</v>
      </c>
      <c r="C34">
        <v>-3.6023000000000001</v>
      </c>
      <c r="D34">
        <v>3.3300000000000003E-2</v>
      </c>
      <c r="E34">
        <v>0.71440000000000003</v>
      </c>
      <c r="F34">
        <v>0.52610000000000001</v>
      </c>
      <c r="G34">
        <v>0.81599999999999995</v>
      </c>
      <c r="H34">
        <v>0.6391</v>
      </c>
      <c r="I34">
        <v>-9.6799999999999997E-2</v>
      </c>
      <c r="J34">
        <v>32</v>
      </c>
      <c r="K34">
        <v>0</v>
      </c>
      <c r="L34">
        <v>0</v>
      </c>
      <c r="M34">
        <v>1</v>
      </c>
      <c r="N34" t="s">
        <v>72</v>
      </c>
      <c r="O34">
        <f>STANDARDIZE(Table14[[#This Row],[SALES]],AVERAGE(Table14[SALES]),STDEV(Table14[SALES]))</f>
        <v>-0.56337578116754905</v>
      </c>
      <c r="P34">
        <f>STANDARDIZE(Table14[[#This Row],[ROCE]],AVERAGE(Table14[ROCE]),STDEV(Table14[ROCE]))</f>
        <v>-0.67109697472383822</v>
      </c>
      <c r="Q34">
        <f>STANDARDIZE(Table14[[#This Row],[FFTL]],AVERAGE(Table14[FFTL]),STDEV(Table14[FFTL]))</f>
        <v>-0.735953590098955</v>
      </c>
      <c r="R34">
        <f>STANDARDIZE(Table14[[#This Row],[GEAR]],AVERAGE(Table14[GEAR]),STDEV(Table14[GEAR]))</f>
        <v>-9.9749815562365871E-3</v>
      </c>
      <c r="S34">
        <f>STANDARDIZE(Table14[[#This Row],[CLTA]],AVERAGE(Table14[CLTA]),STDEV(Table14[CLTA]))</f>
        <v>-0.25930850247326442</v>
      </c>
      <c r="T34">
        <f>STANDARDIZE(Table14[[#This Row],[CACL]],AVERAGE(Table14[CACL]),STDEV(Table14[CACL]))</f>
        <v>-1.0028906051857698</v>
      </c>
      <c r="U34">
        <f>STANDARDIZE(Table14[[#This Row],[QACL]],AVERAGE(Table14[QACL]),STDEV(Table14[QACL]))</f>
        <v>-0.59364486192028898</v>
      </c>
      <c r="V34">
        <f>STANDARDIZE(Table14[[#This Row],[WCTA]],AVERAGE(Table14[WCTA]),STDEV(Table14[WCTA]))</f>
        <v>-0.70169815746701036</v>
      </c>
      <c r="W34">
        <f>STANDARDIZE(Table14[[#This Row],[AGE]],AVERAGE(Table14[AGE]),STDEV(Table14[AGE]))</f>
        <v>0.2027248286499399</v>
      </c>
    </row>
    <row r="35" spans="1:23" x14ac:dyDescent="0.3">
      <c r="A35" t="s">
        <v>70</v>
      </c>
      <c r="B35">
        <v>8393</v>
      </c>
      <c r="C35">
        <v>-5.4901999999999997</v>
      </c>
      <c r="D35">
        <v>6.1899999999999997E-2</v>
      </c>
      <c r="E35">
        <v>0.83069999999999999</v>
      </c>
      <c r="F35">
        <v>0.73199999999999998</v>
      </c>
      <c r="G35">
        <v>0.91820000000000002</v>
      </c>
      <c r="H35">
        <v>0.80269999999999997</v>
      </c>
      <c r="I35">
        <v>-5.9900000000000002E-2</v>
      </c>
      <c r="J35">
        <v>14</v>
      </c>
      <c r="K35">
        <v>0</v>
      </c>
      <c r="L35">
        <v>0</v>
      </c>
      <c r="M35">
        <v>1</v>
      </c>
      <c r="N35" t="s">
        <v>72</v>
      </c>
      <c r="O35">
        <f>STANDARDIZE(Table14[[#This Row],[SALES]],AVERAGE(Table14[SALES]),STDEV(Table14[SALES]))</f>
        <v>-0.38353250307542647</v>
      </c>
      <c r="P35">
        <f>STANDARDIZE(Table14[[#This Row],[ROCE]],AVERAGE(Table14[ROCE]),STDEV(Table14[ROCE]))</f>
        <v>-0.84052361953707366</v>
      </c>
      <c r="Q35">
        <f>STANDARDIZE(Table14[[#This Row],[FFTL]],AVERAGE(Table14[FFTL]),STDEV(Table14[FFTL]))</f>
        <v>-0.58427683391816065</v>
      </c>
      <c r="R35">
        <f>STANDARDIZE(Table14[[#This Row],[GEAR]],AVERAGE(Table14[GEAR]),STDEV(Table14[GEAR]))</f>
        <v>0.467544050764228</v>
      </c>
      <c r="S35">
        <f>STANDARDIZE(Table14[[#This Row],[CLTA]],AVERAGE(Table14[CLTA]),STDEV(Table14[CLTA]))</f>
        <v>0.53064585018745591</v>
      </c>
      <c r="T35">
        <f>STANDARDIZE(Table14[[#This Row],[CACL]],AVERAGE(Table14[CACL]),STDEV(Table14[CACL]))</f>
        <v>-0.77331188450039445</v>
      </c>
      <c r="U35">
        <f>STANDARDIZE(Table14[[#This Row],[QACL]],AVERAGE(Table14[QACL]),STDEV(Table14[QACL]))</f>
        <v>-0.14751292018533846</v>
      </c>
      <c r="V35">
        <f>STANDARDIZE(Table14[[#This Row],[WCTA]],AVERAGE(Table14[WCTA]),STDEV(Table14[WCTA]))</f>
        <v>-0.5484951384185599</v>
      </c>
      <c r="W35">
        <f>STANDARDIZE(Table14[[#This Row],[AGE]],AVERAGE(Table14[AGE]),STDEV(Table14[AGE]))</f>
        <v>-0.75164128776362316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T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L2" sqref="B2:L2"/>
    </sheetView>
  </sheetViews>
  <sheetFormatPr defaultRowHeight="14.4" x14ac:dyDescent="0.3"/>
  <cols>
    <col min="1" max="2" width="8.88671875" style="1"/>
    <col min="3" max="3" width="12.6640625" style="1" bestFit="1" customWidth="1"/>
    <col min="4" max="18" width="8.88671875" style="1"/>
    <col min="19" max="19" width="12.6640625" style="1" bestFit="1" customWidth="1"/>
    <col min="20" max="16384" width="8.88671875" style="1"/>
  </cols>
  <sheetData>
    <row r="1" spans="1:20" x14ac:dyDescent="0.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</row>
    <row r="2" spans="1:20" x14ac:dyDescent="0.3">
      <c r="B2" s="2">
        <v>-2.8849576573631333</v>
      </c>
      <c r="C2" s="2">
        <v>-0.33671188069251234</v>
      </c>
      <c r="D2" s="2">
        <v>-1.3359489460946563</v>
      </c>
      <c r="E2" s="2">
        <v>-1.5883239268917115</v>
      </c>
      <c r="F2" s="2">
        <v>2.7298836531726671</v>
      </c>
      <c r="G2" s="2">
        <v>-2.3729745188665885</v>
      </c>
      <c r="H2" s="2">
        <v>-2.6505855428257608</v>
      </c>
      <c r="I2" s="2">
        <v>-4.2538549958251357</v>
      </c>
      <c r="J2" s="2">
        <v>3.1432845406852801</v>
      </c>
      <c r="K2" s="2">
        <v>-0.34199296351227793</v>
      </c>
      <c r="L2" s="2">
        <v>2.5977482365818982</v>
      </c>
      <c r="S2" s="3">
        <f>SUM(S5:S38)</f>
        <v>-8.6886855749453833</v>
      </c>
    </row>
    <row r="4" spans="1:20" x14ac:dyDescent="0.3">
      <c r="A4" s="1" t="s">
        <v>0</v>
      </c>
      <c r="B4" s="1" t="s">
        <v>94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10</v>
      </c>
      <c r="N4" s="1" t="s">
        <v>0</v>
      </c>
      <c r="O4" s="1" t="s">
        <v>95</v>
      </c>
      <c r="P4" s="1" t="s">
        <v>96</v>
      </c>
      <c r="Q4" s="1" t="s">
        <v>97</v>
      </c>
      <c r="R4" s="1" t="s">
        <v>98</v>
      </c>
      <c r="S4" s="1" t="s">
        <v>99</v>
      </c>
      <c r="T4" s="1" t="s">
        <v>100</v>
      </c>
    </row>
    <row r="5" spans="1:20" x14ac:dyDescent="0.3">
      <c r="A5" s="1" t="str">
        <f>Training!A2</f>
        <v>o1</v>
      </c>
      <c r="B5" s="1">
        <f>$B$2</f>
        <v>-2.8849576573631333</v>
      </c>
      <c r="C5" s="1">
        <f>C$2*Training!O2</f>
        <v>0.15152567250571358</v>
      </c>
      <c r="D5" s="1">
        <f>D$2*Training!P2</f>
        <v>-0.43889704494324028</v>
      </c>
      <c r="E5" s="1">
        <f>E$2*Training!Q2</f>
        <v>0.14800567859170902</v>
      </c>
      <c r="F5" s="1">
        <f>F$2*Training!R2</f>
        <v>-1.0483427882518057</v>
      </c>
      <c r="G5" s="1">
        <f>G$2*Training!S2</f>
        <v>-0.26958952553655041</v>
      </c>
      <c r="H5" s="1">
        <f>H$2*Training!T2</f>
        <v>-1.7055772209586542</v>
      </c>
      <c r="I5" s="1">
        <f>I$2*Training!U2</f>
        <v>1.4058670170495875</v>
      </c>
      <c r="J5" s="1">
        <f>J$2*Training!V2</f>
        <v>3.5234995908595486</v>
      </c>
      <c r="K5" s="1">
        <f>K$2*Training!W2</f>
        <v>-0.830898956592794</v>
      </c>
      <c r="L5" s="1">
        <f>L$2*Training!K2</f>
        <v>0</v>
      </c>
      <c r="N5" s="1" t="str">
        <f t="shared" ref="N5:N38" si="0">A5</f>
        <v>o1</v>
      </c>
      <c r="O5" s="1">
        <f>INDEX(Table14[FAIL],MATCH(Estimation!$N5,Table14[Firm],0))</f>
        <v>0</v>
      </c>
      <c r="P5" s="1">
        <f>SUM(B5:L5)</f>
        <v>-1.9493652346396189</v>
      </c>
      <c r="Q5" s="1">
        <f>EXP(P5)</f>
        <v>0.14236441090793969</v>
      </c>
      <c r="R5" s="1">
        <f>Q5/(1+Q5)</f>
        <v>0.1246225893844066</v>
      </c>
      <c r="S5" s="1">
        <f>O5*LN(R5)+(1-O5)*LN(1-R5)</f>
        <v>-0.13310015920120127</v>
      </c>
      <c r="T5" s="1">
        <f>MATCH(R5,PERCENTILE($R$5:$R$38,{0,0.1,0.2,0.3,0.4,0.5,0.6,0.7,0.8,0.9}))</f>
        <v>4</v>
      </c>
    </row>
    <row r="6" spans="1:20" x14ac:dyDescent="0.3">
      <c r="A6" s="1" t="str">
        <f>Training!A3</f>
        <v>o2</v>
      </c>
      <c r="B6" s="1">
        <f t="shared" ref="B6:B38" si="1">$B$2</f>
        <v>-2.8849576573631333</v>
      </c>
      <c r="C6" s="1">
        <f>C$2*Training!O3</f>
        <v>2.2687675421371793E-2</v>
      </c>
      <c r="D6" s="1">
        <f>D$2*Training!P3</f>
        <v>0.59309099140270971</v>
      </c>
      <c r="E6" s="1">
        <f>E$2*Training!Q3</f>
        <v>1.2211583357524838</v>
      </c>
      <c r="F6" s="1">
        <f>F$2*Training!R3</f>
        <v>5.6600620539293187</v>
      </c>
      <c r="G6" s="1">
        <f>G$2*Training!S3</f>
        <v>-5.7184147690241023</v>
      </c>
      <c r="H6" s="1">
        <f>H$2*Training!T3</f>
        <v>3.8038331562556662</v>
      </c>
      <c r="I6" s="1">
        <f>I$2*Training!U3</f>
        <v>6.281399912026524</v>
      </c>
      <c r="J6" s="1">
        <f>J$2*Training!V3</f>
        <v>-6.9442462768885358</v>
      </c>
      <c r="K6" s="1">
        <f>K$2*Training!W3</f>
        <v>-1.493271552284868E-2</v>
      </c>
      <c r="L6" s="1">
        <f>L$2*Training!K3</f>
        <v>0</v>
      </c>
      <c r="N6" s="1" t="str">
        <f t="shared" si="0"/>
        <v>o2</v>
      </c>
      <c r="O6" s="1">
        <f>INDEX(Table14[FAIL],MATCH(Estimation!$N6,Table14[Firm],0))</f>
        <v>0</v>
      </c>
      <c r="P6" s="1">
        <f t="shared" ref="P6:P38" si="2">SUM(B6:L6)</f>
        <v>2.019680705989455</v>
      </c>
      <c r="Q6" s="1">
        <f t="shared" ref="Q6:Q38" si="3">EXP(P6)</f>
        <v>7.5359183758812502</v>
      </c>
      <c r="R6" s="1">
        <f t="shared" ref="R6:R38" si="4">Q6/(1+Q6)</f>
        <v>0.882847989406089</v>
      </c>
      <c r="S6" s="1">
        <f t="shared" ref="S6:S38" si="5">O6*LN(R6)+(1-O6)*LN(1-R6)</f>
        <v>-2.1442829516155477</v>
      </c>
      <c r="T6" s="1">
        <f>MATCH(R6,PERCENTILE($R$5:$R$38,{0,0.1,0.2,0.3,0.4,0.5,0.6,0.7,0.8,0.9}))</f>
        <v>8</v>
      </c>
    </row>
    <row r="7" spans="1:20" x14ac:dyDescent="0.3">
      <c r="A7" s="1" t="str">
        <f>Training!A4</f>
        <v>o3</v>
      </c>
      <c r="B7" s="1">
        <f t="shared" si="1"/>
        <v>-2.8849576573631333</v>
      </c>
      <c r="C7" s="1">
        <f>C$2*Training!O4</f>
        <v>0.13335357192622402</v>
      </c>
      <c r="D7" s="1">
        <f>D$2*Training!P4</f>
        <v>-1.3579941552443757</v>
      </c>
      <c r="E7" s="1">
        <f>E$2*Training!Q4</f>
        <v>-3.7419621163599843</v>
      </c>
      <c r="F7" s="1">
        <f>F$2*Training!R4</f>
        <v>-4.3280073777625772</v>
      </c>
      <c r="G7" s="1">
        <f>G$2*Training!S4</f>
        <v>2.3942805935018083</v>
      </c>
      <c r="H7" s="1">
        <f>H$2*Training!T4</f>
        <v>-6.5070346165985873</v>
      </c>
      <c r="I7" s="1">
        <f>I$2*Training!U4</f>
        <v>-10.376380809331748</v>
      </c>
      <c r="J7" s="1">
        <f>J$2*Training!V4</f>
        <v>4.906844637588506</v>
      </c>
      <c r="K7" s="1">
        <f>K$2*Training!W4</f>
        <v>-0.41384954449037747</v>
      </c>
      <c r="L7" s="1">
        <f>L$2*Training!K4</f>
        <v>0</v>
      </c>
      <c r="N7" s="1" t="str">
        <f t="shared" si="0"/>
        <v>o3</v>
      </c>
      <c r="O7" s="1">
        <f>INDEX(Table14[FAIL],MATCH(Estimation!$N7,Table14[Firm],0))</f>
        <v>0</v>
      </c>
      <c r="P7" s="1">
        <f t="shared" si="2"/>
        <v>-22.175707474134246</v>
      </c>
      <c r="Q7" s="1">
        <f t="shared" si="3"/>
        <v>2.3399825119269955E-10</v>
      </c>
      <c r="R7" s="1">
        <f t="shared" si="4"/>
        <v>2.3399825113794439E-10</v>
      </c>
      <c r="S7" s="1">
        <f t="shared" si="5"/>
        <v>-2.3399826523624552E-10</v>
      </c>
      <c r="T7" s="1">
        <f>MATCH(R7,PERCENTILE($R$5:$R$38,{0,0.1,0.2,0.3,0.4,0.5,0.6,0.7,0.8,0.9}))</f>
        <v>1</v>
      </c>
    </row>
    <row r="8" spans="1:20" x14ac:dyDescent="0.3">
      <c r="A8" s="1" t="str">
        <f>Training!A5</f>
        <v>o4</v>
      </c>
      <c r="B8" s="1">
        <f t="shared" si="1"/>
        <v>-2.8849576573631333</v>
      </c>
      <c r="C8" s="1">
        <f>C$2*Training!O5</f>
        <v>0.13939263858406042</v>
      </c>
      <c r="D8" s="1">
        <f>D$2*Training!P5</f>
        <v>-3.2788543630045686</v>
      </c>
      <c r="E8" s="1">
        <f>E$2*Training!Q5</f>
        <v>-3.8674721210043765</v>
      </c>
      <c r="F8" s="1">
        <f>F$2*Training!R5</f>
        <v>-2.2005967862070595</v>
      </c>
      <c r="G8" s="1">
        <f>G$2*Training!S5</f>
        <v>1.0086311330860929</v>
      </c>
      <c r="H8" s="1">
        <f>H$2*Training!T5</f>
        <v>-2.2462175130272377</v>
      </c>
      <c r="I8" s="1">
        <f>I$2*Training!U5</f>
        <v>-7.3858683650656172</v>
      </c>
      <c r="J8" s="1">
        <f>J$2*Training!V5</f>
        <v>3.0889204393871492</v>
      </c>
      <c r="K8" s="1">
        <f>K$2*Training!W5</f>
        <v>5.7597617016701998E-2</v>
      </c>
      <c r="L8" s="1">
        <f>L$2*Training!K5</f>
        <v>0</v>
      </c>
      <c r="N8" s="1" t="str">
        <f t="shared" si="0"/>
        <v>o4</v>
      </c>
      <c r="O8" s="1">
        <f>INDEX(Table14[FAIL],MATCH(Estimation!$N8,Table14[Firm],0))</f>
        <v>0</v>
      </c>
      <c r="P8" s="1">
        <f t="shared" si="2"/>
        <v>-17.56942497759799</v>
      </c>
      <c r="Q8" s="1">
        <f t="shared" si="3"/>
        <v>2.3425867472482371E-8</v>
      </c>
      <c r="R8" s="1">
        <f t="shared" si="4"/>
        <v>2.3425866923711119E-8</v>
      </c>
      <c r="S8" s="1">
        <f t="shared" si="5"/>
        <v>-2.3425867187337302E-8</v>
      </c>
      <c r="T8" s="1">
        <f>MATCH(R8,PERCENTILE($R$5:$R$38,{0,0.1,0.2,0.3,0.4,0.5,0.6,0.7,0.8,0.9}))</f>
        <v>1</v>
      </c>
    </row>
    <row r="9" spans="1:20" x14ac:dyDescent="0.3">
      <c r="A9" s="1" t="str">
        <f>Training!A6</f>
        <v>o5</v>
      </c>
      <c r="B9" s="1">
        <f t="shared" si="1"/>
        <v>-2.8849576573631333</v>
      </c>
      <c r="C9" s="1">
        <f>C$2*Training!O6</f>
        <v>-0.25068989205768644</v>
      </c>
      <c r="D9" s="1">
        <f>D$2*Training!P6</f>
        <v>-0.8495174066795248</v>
      </c>
      <c r="E9" s="1">
        <f>E$2*Training!Q6</f>
        <v>-1.5324806252040095</v>
      </c>
      <c r="F9" s="1">
        <f>F$2*Training!R6</f>
        <v>-3.7911108164585237</v>
      </c>
      <c r="G9" s="1">
        <f>G$2*Training!S6</f>
        <v>1.9581924913079003</v>
      </c>
      <c r="H9" s="1">
        <f>H$2*Training!T6</f>
        <v>-1.9217142540213148</v>
      </c>
      <c r="I9" s="1">
        <f>I$2*Training!U6</f>
        <v>-3.5473867211258883</v>
      </c>
      <c r="J9" s="1">
        <f>J$2*Training!V6</f>
        <v>1.9496183395811304</v>
      </c>
      <c r="K9" s="1">
        <f>K$2*Training!W6</f>
        <v>-8.7463048062399351E-2</v>
      </c>
      <c r="L9" s="1">
        <f>L$2*Training!K6</f>
        <v>0</v>
      </c>
      <c r="N9" s="1" t="str">
        <f t="shared" si="0"/>
        <v>o5</v>
      </c>
      <c r="O9" s="1">
        <f>INDEX(Table14[FAIL],MATCH(Estimation!$N9,Table14[Firm],0))</f>
        <v>0</v>
      </c>
      <c r="P9" s="1">
        <f t="shared" si="2"/>
        <v>-10.957509590083449</v>
      </c>
      <c r="Q9" s="1">
        <f t="shared" si="3"/>
        <v>1.7426655649407994E-5</v>
      </c>
      <c r="R9" s="1">
        <f t="shared" si="4"/>
        <v>1.7426351966373051E-5</v>
      </c>
      <c r="S9" s="1">
        <f t="shared" si="5"/>
        <v>-1.742650380696747E-5</v>
      </c>
      <c r="T9" s="1">
        <f>MATCH(R9,PERCENTILE($R$5:$R$38,{0,0.1,0.2,0.3,0.4,0.5,0.6,0.7,0.8,0.9}))</f>
        <v>2</v>
      </c>
    </row>
    <row r="10" spans="1:20" x14ac:dyDescent="0.3">
      <c r="A10" s="1" t="str">
        <f>Training!A7</f>
        <v>o6</v>
      </c>
      <c r="B10" s="1">
        <f t="shared" si="1"/>
        <v>-2.8849576573631333</v>
      </c>
      <c r="C10" s="1">
        <f>C$2*Training!O7</f>
        <v>0.20034603637372295</v>
      </c>
      <c r="D10" s="1">
        <f>D$2*Training!P7</f>
        <v>0.70192954563325638</v>
      </c>
      <c r="E10" s="1">
        <f>E$2*Training!Q7</f>
        <v>1.5361968709001523</v>
      </c>
      <c r="F10" s="1">
        <f>F$2*Training!R7</f>
        <v>-4.0578777926388261</v>
      </c>
      <c r="G10" s="1">
        <f>G$2*Training!S7</f>
        <v>2.1748709220430777</v>
      </c>
      <c r="H10" s="1">
        <f>H$2*Training!T7</f>
        <v>-3.6978486056078617</v>
      </c>
      <c r="I10" s="1">
        <f>I$2*Training!U7</f>
        <v>-4.0206718558274313</v>
      </c>
      <c r="J10" s="1">
        <f>J$2*Training!V7</f>
        <v>3.1476473517482848</v>
      </c>
      <c r="K10" s="1">
        <f>K$2*Training!W7</f>
        <v>0.16639311582602803</v>
      </c>
      <c r="L10" s="1">
        <f>L$2*Training!K7</f>
        <v>0</v>
      </c>
      <c r="N10" s="1" t="str">
        <f t="shared" si="0"/>
        <v>o6</v>
      </c>
      <c r="O10" s="1">
        <f>INDEX(Table14[FAIL],MATCH(Estimation!$N10,Table14[Firm],0))</f>
        <v>0</v>
      </c>
      <c r="P10" s="1">
        <f t="shared" si="2"/>
        <v>-6.7339720689127303</v>
      </c>
      <c r="Q10" s="1">
        <f t="shared" si="3"/>
        <v>1.1897976017198665E-3</v>
      </c>
      <c r="R10" s="1">
        <f t="shared" si="4"/>
        <v>1.188383665684512E-3</v>
      </c>
      <c r="S10" s="1">
        <f t="shared" si="5"/>
        <v>-1.1890903534859296E-3</v>
      </c>
      <c r="T10" s="1">
        <f>MATCH(R10,PERCENTILE($R$5:$R$38,{0,0.1,0.2,0.3,0.4,0.5,0.6,0.7,0.8,0.9}))</f>
        <v>3</v>
      </c>
    </row>
    <row r="11" spans="1:20" x14ac:dyDescent="0.3">
      <c r="A11" s="1" t="str">
        <f>Training!A8</f>
        <v>o7</v>
      </c>
      <c r="B11" s="1">
        <f t="shared" si="1"/>
        <v>-2.8849576573631333</v>
      </c>
      <c r="C11" s="1">
        <f>C$2*Training!O8</f>
        <v>0.1095678843852456</v>
      </c>
      <c r="D11" s="1">
        <f>D$2*Training!P8</f>
        <v>-3.5931169961276237</v>
      </c>
      <c r="E11" s="1">
        <f>E$2*Training!Q8</f>
        <v>-3.0369159828877961</v>
      </c>
      <c r="F11" s="1">
        <f>F$2*Training!R8</f>
        <v>-0.16846011471593547</v>
      </c>
      <c r="G11" s="1">
        <f>G$2*Training!S8</f>
        <v>-0.98426418153282913</v>
      </c>
      <c r="H11" s="1">
        <f>H$2*Training!T8</f>
        <v>0.4528160155486316</v>
      </c>
      <c r="I11" s="1">
        <f>I$2*Training!U8</f>
        <v>-3.7051484326930675</v>
      </c>
      <c r="J11" s="1">
        <f>J$2*Training!V8</f>
        <v>0.76463975238311777</v>
      </c>
      <c r="K11" s="1">
        <f>K$2*Training!W8</f>
        <v>0.32958636404001707</v>
      </c>
      <c r="L11" s="1">
        <f>L$2*Training!K8</f>
        <v>0</v>
      </c>
      <c r="N11" s="1" t="str">
        <f t="shared" si="0"/>
        <v>o7</v>
      </c>
      <c r="O11" s="1">
        <f>INDEX(Table14[FAIL],MATCH(Estimation!$N11,Table14[Firm],0))</f>
        <v>0</v>
      </c>
      <c r="P11" s="1">
        <f t="shared" si="2"/>
        <v>-12.716253348963376</v>
      </c>
      <c r="Q11" s="1">
        <f t="shared" si="3"/>
        <v>3.0019353850158602E-6</v>
      </c>
      <c r="R11" s="1">
        <f t="shared" si="4"/>
        <v>3.001926373426857E-6</v>
      </c>
      <c r="S11" s="1">
        <f t="shared" si="5"/>
        <v>-3.0019308792703948E-6</v>
      </c>
      <c r="T11" s="1">
        <f>MATCH(R11,PERCENTILE($R$5:$R$38,{0,0.1,0.2,0.3,0.4,0.5,0.6,0.7,0.8,0.9}))</f>
        <v>1</v>
      </c>
    </row>
    <row r="12" spans="1:20" x14ac:dyDescent="0.3">
      <c r="A12" s="1" t="str">
        <f>Training!A9</f>
        <v>o11</v>
      </c>
      <c r="B12" s="1">
        <f t="shared" si="1"/>
        <v>-2.8849576573631333</v>
      </c>
      <c r="C12" s="1">
        <f>C$2*Training!O9</f>
        <v>0.1920011442647126</v>
      </c>
      <c r="D12" s="1">
        <f>D$2*Training!P9</f>
        <v>-6.3824856074720632E-2</v>
      </c>
      <c r="E12" s="1">
        <f>E$2*Training!Q9</f>
        <v>-0.37846246169517028</v>
      </c>
      <c r="F12" s="1">
        <f>F$2*Training!R9</f>
        <v>-1.9842689441784955</v>
      </c>
      <c r="G12" s="1">
        <f>G$2*Training!S9</f>
        <v>1.2781135511432888</v>
      </c>
      <c r="H12" s="1">
        <f>H$2*Training!T9</f>
        <v>0.42721300612247504</v>
      </c>
      <c r="I12" s="1">
        <f>I$2*Training!U9</f>
        <v>-0.37823233876162493</v>
      </c>
      <c r="J12" s="1">
        <f>J$2*Training!V9</f>
        <v>0.1852008837532525</v>
      </c>
      <c r="K12" s="1">
        <f>K$2*Training!W9</f>
        <v>2.1332450746926659E-2</v>
      </c>
      <c r="L12" s="1">
        <f>L$2*Training!K9</f>
        <v>0</v>
      </c>
      <c r="N12" s="1" t="str">
        <f t="shared" si="0"/>
        <v>o11</v>
      </c>
      <c r="O12" s="1">
        <f>INDEX(Table14[FAIL],MATCH(Estimation!$N12,Table14[Firm],0))</f>
        <v>0</v>
      </c>
      <c r="P12" s="1">
        <f t="shared" si="2"/>
        <v>-3.5858852220424899</v>
      </c>
      <c r="Q12" s="1">
        <f t="shared" si="3"/>
        <v>2.7712125384879913E-2</v>
      </c>
      <c r="R12" s="1">
        <f t="shared" si="4"/>
        <v>2.6964871485292318E-2</v>
      </c>
      <c r="S12" s="1">
        <f t="shared" si="5"/>
        <v>-2.7335094143927284E-2</v>
      </c>
      <c r="T12" s="1">
        <f>MATCH(R12,PERCENTILE($R$5:$R$38,{0,0.1,0.2,0.3,0.4,0.5,0.6,0.7,0.8,0.9}))</f>
        <v>4</v>
      </c>
    </row>
    <row r="13" spans="1:20" x14ac:dyDescent="0.3">
      <c r="A13" s="1" t="str">
        <f>Training!A10</f>
        <v>o12</v>
      </c>
      <c r="B13" s="1">
        <f t="shared" si="1"/>
        <v>-2.8849576573631333</v>
      </c>
      <c r="C13" s="1">
        <f>C$2*Training!O10</f>
        <v>0.18876200851187308</v>
      </c>
      <c r="D13" s="1">
        <f>D$2*Training!P10</f>
        <v>-0.66960648524489341</v>
      </c>
      <c r="E13" s="1">
        <f>E$2*Training!Q10</f>
        <v>-1.0119089280883435</v>
      </c>
      <c r="F13" s="1">
        <f>F$2*Training!R10</f>
        <v>-0.95531060748304386</v>
      </c>
      <c r="G13" s="1">
        <f>G$2*Training!S10</f>
        <v>0.58255758021187887</v>
      </c>
      <c r="H13" s="1">
        <f>H$2*Training!T10</f>
        <v>-0.74397582041816701</v>
      </c>
      <c r="I13" s="1">
        <f>I$2*Training!U10</f>
        <v>-0.27963126903213714</v>
      </c>
      <c r="J13" s="1">
        <f>J$2*Training!V10</f>
        <v>1.7355913700872163</v>
      </c>
      <c r="K13" s="1">
        <f>K$2*Training!W10</f>
        <v>0.1845256989609157</v>
      </c>
      <c r="L13" s="1">
        <f>L$2*Training!K10</f>
        <v>0</v>
      </c>
      <c r="N13" s="1" t="str">
        <f t="shared" si="0"/>
        <v>o12</v>
      </c>
      <c r="O13" s="1">
        <f>INDEX(Table14[FAIL],MATCH(Estimation!$N13,Table14[Firm],0))</f>
        <v>0</v>
      </c>
      <c r="P13" s="1">
        <f t="shared" si="2"/>
        <v>-3.8539541098578347</v>
      </c>
      <c r="Q13" s="1">
        <f t="shared" si="3"/>
        <v>2.1195760157887274E-2</v>
      </c>
      <c r="R13" s="1">
        <f t="shared" si="4"/>
        <v>2.0755824676171972E-2</v>
      </c>
      <c r="S13" s="1">
        <f t="shared" si="5"/>
        <v>-2.0974254553117407E-2</v>
      </c>
      <c r="T13" s="1">
        <f>MATCH(R13,PERCENTILE($R$5:$R$38,{0,0.1,0.2,0.3,0.4,0.5,0.6,0.7,0.8,0.9}))</f>
        <v>4</v>
      </c>
    </row>
    <row r="14" spans="1:20" x14ac:dyDescent="0.3">
      <c r="A14" s="1" t="str">
        <f>Training!A11</f>
        <v>o13</v>
      </c>
      <c r="B14" s="1">
        <f t="shared" si="1"/>
        <v>-2.8849576573631333</v>
      </c>
      <c r="C14" s="1">
        <f>C$2*Training!O11</f>
        <v>0.14946689978145117</v>
      </c>
      <c r="D14" s="1">
        <f>D$2*Training!P11</f>
        <v>-2.4766046364367345</v>
      </c>
      <c r="E14" s="1">
        <f>E$2*Training!Q11</f>
        <v>-1.4844667308098463</v>
      </c>
      <c r="F14" s="1">
        <f>F$2*Training!R11</f>
        <v>0.78203734663236724</v>
      </c>
      <c r="G14" s="1">
        <f>G$2*Training!S11</f>
        <v>-1.7562948927237136</v>
      </c>
      <c r="H14" s="1">
        <f>H$2*Training!T11</f>
        <v>1.9080196210724398</v>
      </c>
      <c r="I14" s="1">
        <f>I$2*Training!U11</f>
        <v>1.7457507044700591</v>
      </c>
      <c r="J14" s="1">
        <f>J$2*Training!V11</f>
        <v>-1.5387602546702881</v>
      </c>
      <c r="K14" s="1">
        <f>K$2*Training!W11</f>
        <v>-0.19625854687172539</v>
      </c>
      <c r="L14" s="1">
        <f>L$2*Training!K11</f>
        <v>0</v>
      </c>
      <c r="N14" s="1" t="str">
        <f t="shared" si="0"/>
        <v>o13</v>
      </c>
      <c r="O14" s="1">
        <f>INDEX(Table14[FAIL],MATCH(Estimation!$N14,Table14[Firm],0))</f>
        <v>0</v>
      </c>
      <c r="P14" s="1">
        <f t="shared" si="2"/>
        <v>-5.7520681469191235</v>
      </c>
      <c r="Q14" s="1">
        <f t="shared" si="3"/>
        <v>3.1762051402665207E-3</v>
      </c>
      <c r="R14" s="1">
        <f t="shared" si="4"/>
        <v>3.1661488021662311E-3</v>
      </c>
      <c r="S14" s="1">
        <f t="shared" si="5"/>
        <v>-3.1711716561557924E-3</v>
      </c>
      <c r="T14" s="1">
        <f>MATCH(R14,PERCENTILE($R$5:$R$38,{0,0.1,0.2,0.3,0.4,0.5,0.6,0.7,0.8,0.9}))</f>
        <v>3</v>
      </c>
    </row>
    <row r="15" spans="1:20" x14ac:dyDescent="0.3">
      <c r="A15" s="1" t="str">
        <f>Training!A12</f>
        <v>o15</v>
      </c>
      <c r="B15" s="1">
        <f t="shared" si="1"/>
        <v>-2.8849576573631333</v>
      </c>
      <c r="C15" s="1">
        <f>C$2*Training!O12</f>
        <v>-8.8650753506739496E-2</v>
      </c>
      <c r="D15" s="1">
        <f>D$2*Training!P12</f>
        <v>-0.62414318962446702</v>
      </c>
      <c r="E15" s="1">
        <f>E$2*Training!Q12</f>
        <v>-0.77689355026428042</v>
      </c>
      <c r="F15" s="1">
        <f>F$2*Training!R12</f>
        <v>-1.6054150032165535</v>
      </c>
      <c r="G15" s="1">
        <f>G$2*Training!S12</f>
        <v>0.78740063447832787</v>
      </c>
      <c r="H15" s="1">
        <f>H$2*Training!T12</f>
        <v>-0.54153342030438012</v>
      </c>
      <c r="I15" s="1">
        <f>I$2*Training!U12</f>
        <v>4.7884637150635649</v>
      </c>
      <c r="J15" s="1">
        <f>J$2*Training!V12</f>
        <v>1.3962803208895473</v>
      </c>
      <c r="K15" s="1">
        <f>K$2*Training!W12</f>
        <v>5.7597617016701998E-2</v>
      </c>
      <c r="L15" s="1">
        <f>L$2*Training!K12</f>
        <v>0</v>
      </c>
      <c r="N15" s="1" t="str">
        <f t="shared" si="0"/>
        <v>o15</v>
      </c>
      <c r="O15" s="1">
        <f>INDEX(Table14[FAIL],MATCH(Estimation!$N15,Table14[Firm],0))</f>
        <v>0</v>
      </c>
      <c r="P15" s="1">
        <f t="shared" si="2"/>
        <v>0.5081487131685879</v>
      </c>
      <c r="Q15" s="1">
        <f t="shared" si="3"/>
        <v>1.6622111152214201</v>
      </c>
      <c r="R15" s="1">
        <f t="shared" si="4"/>
        <v>0.62437238944634621</v>
      </c>
      <c r="S15" s="1">
        <f t="shared" si="5"/>
        <v>-0.97915702382356073</v>
      </c>
      <c r="T15" s="1">
        <f>MATCH(R15,PERCENTILE($R$5:$R$38,{0,0.1,0.2,0.3,0.4,0.5,0.6,0.7,0.8,0.9}))</f>
        <v>6</v>
      </c>
    </row>
    <row r="16" spans="1:20" x14ac:dyDescent="0.3">
      <c r="A16" s="1" t="str">
        <f>Training!A13</f>
        <v>o18</v>
      </c>
      <c r="B16" s="1">
        <f t="shared" si="1"/>
        <v>-2.8849576573631333</v>
      </c>
      <c r="C16" s="1">
        <f>C$2*Training!O13</f>
        <v>-8.5082214118017988E-2</v>
      </c>
      <c r="D16" s="1">
        <f>D$2*Training!P13</f>
        <v>1.570216147801647</v>
      </c>
      <c r="E16" s="1">
        <f>E$2*Training!Q13</f>
        <v>1.4064751211334652</v>
      </c>
      <c r="F16" s="1">
        <f>F$2*Training!R13</f>
        <v>1.7840948117802247</v>
      </c>
      <c r="G16" s="1">
        <f>G$2*Training!S13</f>
        <v>2.8913664051883914</v>
      </c>
      <c r="H16" s="1">
        <f>H$2*Training!T13</f>
        <v>-5.5376927713478645</v>
      </c>
      <c r="I16" s="1">
        <f>I$2*Training!U13</f>
        <v>-2.7202977479832366</v>
      </c>
      <c r="J16" s="1">
        <f>J$2*Training!V13</f>
        <v>3.3551491087576282</v>
      </c>
      <c r="K16" s="1">
        <f>K$2*Training!W13</f>
        <v>5.7597617016701998E-2</v>
      </c>
      <c r="L16" s="1">
        <f>L$2*Training!K13</f>
        <v>0</v>
      </c>
      <c r="N16" s="1" t="str">
        <f t="shared" si="0"/>
        <v>o18</v>
      </c>
      <c r="O16" s="1">
        <f>INDEX(Table14[FAIL],MATCH(Estimation!$N16,Table14[Firm],0))</f>
        <v>0</v>
      </c>
      <c r="P16" s="1">
        <f t="shared" si="2"/>
        <v>-0.16313117913419414</v>
      </c>
      <c r="Q16" s="1">
        <f t="shared" si="3"/>
        <v>0.8494797470876233</v>
      </c>
      <c r="R16" s="1">
        <f t="shared" si="4"/>
        <v>0.45930740708315376</v>
      </c>
      <c r="S16" s="1">
        <f t="shared" si="5"/>
        <v>-0.6149043817506219</v>
      </c>
      <c r="T16" s="1">
        <f>MATCH(R16,PERCENTILE($R$5:$R$38,{0,0.1,0.2,0.3,0.4,0.5,0.6,0.7,0.8,0.9}))</f>
        <v>5</v>
      </c>
    </row>
    <row r="17" spans="1:20" x14ac:dyDescent="0.3">
      <c r="A17" s="1" t="str">
        <f>Training!A14</f>
        <v>o19</v>
      </c>
      <c r="B17" s="1">
        <f t="shared" si="1"/>
        <v>-2.8849576573631333</v>
      </c>
      <c r="C17" s="1">
        <f>C$2*Training!O14</f>
        <v>0.17820736701215442</v>
      </c>
      <c r="D17" s="1">
        <f>D$2*Training!P14</f>
        <v>1.5258918324248758</v>
      </c>
      <c r="E17" s="1">
        <f>E$2*Training!Q14</f>
        <v>2.2538782397392261</v>
      </c>
      <c r="F17" s="1">
        <f>F$2*Training!R14</f>
        <v>-2.3395846225362922</v>
      </c>
      <c r="G17" s="1">
        <f>G$2*Training!S14</f>
        <v>0.84020462180034616</v>
      </c>
      <c r="H17" s="1">
        <f>H$2*Training!T14</f>
        <v>-2.0300804799645769</v>
      </c>
      <c r="I17" s="1">
        <f>I$2*Training!U14</f>
        <v>-5.5623285813626095</v>
      </c>
      <c r="J17" s="1">
        <f>J$2*Training!V14</f>
        <v>3.005397719584646</v>
      </c>
      <c r="K17" s="1">
        <f>K$2*Training!W14</f>
        <v>3.1998676120389893E-3</v>
      </c>
      <c r="L17" s="1">
        <f>L$2*Training!K14</f>
        <v>0</v>
      </c>
      <c r="N17" s="1" t="str">
        <f t="shared" si="0"/>
        <v>o19</v>
      </c>
      <c r="O17" s="1">
        <f>INDEX(Table14[FAIL],MATCH(Estimation!$N17,Table14[Firm],0))</f>
        <v>0</v>
      </c>
      <c r="P17" s="1">
        <f t="shared" si="2"/>
        <v>-5.0101716930533238</v>
      </c>
      <c r="Q17" s="1">
        <f t="shared" si="3"/>
        <v>6.6697580568166933E-3</v>
      </c>
      <c r="R17" s="1">
        <f t="shared" si="4"/>
        <v>6.6255671270898063E-3</v>
      </c>
      <c r="S17" s="1">
        <f t="shared" si="5"/>
        <v>-6.6476136313209297E-3</v>
      </c>
      <c r="T17" s="1">
        <f>MATCH(R17,PERCENTILE($R$5:$R$38,{0,0.1,0.2,0.3,0.4,0.5,0.6,0.7,0.8,0.9}))</f>
        <v>3</v>
      </c>
    </row>
    <row r="18" spans="1:20" x14ac:dyDescent="0.3">
      <c r="A18" s="1" t="str">
        <f>Training!A15</f>
        <v>o21</v>
      </c>
      <c r="B18" s="1">
        <f t="shared" si="1"/>
        <v>-2.8849576573631333</v>
      </c>
      <c r="C18" s="1">
        <f>C$2*Training!O15</f>
        <v>0.20512238909401173</v>
      </c>
      <c r="D18" s="1">
        <f>D$2*Training!P15</f>
        <v>-6.9088143726979911E-2</v>
      </c>
      <c r="E18" s="1">
        <f>E$2*Training!Q15</f>
        <v>0.23897937323328178</v>
      </c>
      <c r="F18" s="1">
        <f>F$2*Training!R15</f>
        <v>6.6922511325507653E-2</v>
      </c>
      <c r="G18" s="1">
        <f>G$2*Training!S15</f>
        <v>0.43598099471455287</v>
      </c>
      <c r="H18" s="1">
        <f>H$2*Training!T15</f>
        <v>2.0241262917259348</v>
      </c>
      <c r="I18" s="1">
        <f>I$2*Training!U15</f>
        <v>1.901192390867136</v>
      </c>
      <c r="J18" s="1">
        <f>J$2*Training!V15</f>
        <v>-1.4943888097752085</v>
      </c>
      <c r="K18" s="1">
        <f>K$2*Training!W15</f>
        <v>0.34771894717490476</v>
      </c>
      <c r="L18" s="1">
        <f>L$2*Training!K15</f>
        <v>0</v>
      </c>
      <c r="N18" s="1" t="str">
        <f t="shared" si="0"/>
        <v>o21</v>
      </c>
      <c r="O18" s="1">
        <f>INDEX(Table14[FAIL],MATCH(Estimation!$N18,Table14[Firm],0))</f>
        <v>0</v>
      </c>
      <c r="P18" s="1">
        <f t="shared" si="2"/>
        <v>0.77160828727000785</v>
      </c>
      <c r="Q18" s="1">
        <f t="shared" si="3"/>
        <v>2.1632425730677771</v>
      </c>
      <c r="R18" s="1">
        <f t="shared" si="4"/>
        <v>0.68386869583947851</v>
      </c>
      <c r="S18" s="1">
        <f t="shared" si="5"/>
        <v>-1.1515976322042227</v>
      </c>
      <c r="T18" s="1">
        <f>MATCH(R18,PERCENTILE($R$5:$R$38,{0,0.1,0.2,0.3,0.4,0.5,0.6,0.7,0.8,0.9}))</f>
        <v>7</v>
      </c>
    </row>
    <row r="19" spans="1:20" x14ac:dyDescent="0.3">
      <c r="A19" s="1" t="str">
        <f>Training!A16</f>
        <v>o22</v>
      </c>
      <c r="B19" s="1">
        <f t="shared" si="1"/>
        <v>-2.8849576573631333</v>
      </c>
      <c r="C19" s="1">
        <f>C$2*Training!O16</f>
        <v>0.11486579286234755</v>
      </c>
      <c r="D19" s="1">
        <f>D$2*Training!P16</f>
        <v>-0.29496590994239064</v>
      </c>
      <c r="E19" s="1">
        <f>E$2*Training!Q16</f>
        <v>-0.79710992685129667</v>
      </c>
      <c r="F19" s="1">
        <f>F$2*Training!R16</f>
        <v>-2.9358872751746139</v>
      </c>
      <c r="G19" s="1">
        <f>G$2*Training!S16</f>
        <v>1.7788410171279423</v>
      </c>
      <c r="H19" s="1">
        <f>H$2*Training!T16</f>
        <v>-1.6787833738847708</v>
      </c>
      <c r="I19" s="1">
        <f>I$2*Training!U16</f>
        <v>-4.8698010680860842</v>
      </c>
      <c r="J19" s="1">
        <f>J$2*Training!V16</f>
        <v>1.8882813422261675</v>
      </c>
      <c r="K19" s="1">
        <f>K$2*Training!W16</f>
        <v>-0.95782703853700768</v>
      </c>
      <c r="L19" s="1">
        <f>L$2*Training!K16</f>
        <v>0</v>
      </c>
      <c r="N19" s="1" t="str">
        <f t="shared" si="0"/>
        <v>o22</v>
      </c>
      <c r="O19" s="1">
        <f>INDEX(Table14[FAIL],MATCH(Estimation!$N19,Table14[Firm],0))</f>
        <v>0</v>
      </c>
      <c r="P19" s="1">
        <f t="shared" si="2"/>
        <v>-10.63734409762284</v>
      </c>
      <c r="Q19" s="1">
        <f t="shared" si="3"/>
        <v>2.400270327207562E-5</v>
      </c>
      <c r="R19" s="1">
        <f t="shared" si="4"/>
        <v>2.4002127156139593E-5</v>
      </c>
      <c r="S19" s="1">
        <f t="shared" si="5"/>
        <v>-2.4002415211805234E-5</v>
      </c>
      <c r="T19" s="1">
        <f>MATCH(R19,PERCENTILE($R$5:$R$38,{0,0.1,0.2,0.3,0.4,0.5,0.6,0.7,0.8,0.9}))</f>
        <v>2</v>
      </c>
    </row>
    <row r="20" spans="1:20" x14ac:dyDescent="0.3">
      <c r="A20" s="1" t="str">
        <f>Training!A17</f>
        <v>o23</v>
      </c>
      <c r="B20" s="1">
        <f t="shared" si="1"/>
        <v>-2.8849576573631333</v>
      </c>
      <c r="C20" s="1">
        <f>C$2*Training!O17</f>
        <v>-1.1767807640369001</v>
      </c>
      <c r="D20" s="1">
        <f>D$2*Training!P17</f>
        <v>-1.2450912399338383</v>
      </c>
      <c r="E20" s="1">
        <f>E$2*Training!Q17</f>
        <v>-0.36414252827936711</v>
      </c>
      <c r="F20" s="1">
        <f>F$2*Training!R17</f>
        <v>0.27316252652372403</v>
      </c>
      <c r="G20" s="1">
        <f>G$2*Training!S17</f>
        <v>-1.3429671298927448</v>
      </c>
      <c r="H20" s="1">
        <f>H$2*Training!T17</f>
        <v>0.83447948164550501</v>
      </c>
      <c r="I20" s="1">
        <f>I$2*Training!U17</f>
        <v>0.75045990649475314</v>
      </c>
      <c r="J20" s="1">
        <f>J$2*Training!V17</f>
        <v>0.24001266862364512</v>
      </c>
      <c r="K20" s="1">
        <f>K$2*Training!W17</f>
        <v>3.1998676120389893E-3</v>
      </c>
      <c r="L20" s="1">
        <f>L$2*Training!K17</f>
        <v>2.5977482365818982</v>
      </c>
      <c r="N20" s="1" t="str">
        <f t="shared" si="0"/>
        <v>o23</v>
      </c>
      <c r="O20" s="1">
        <f>INDEX(Table14[FAIL],MATCH(Estimation!$N20,Table14[Firm],0))</f>
        <v>0</v>
      </c>
      <c r="P20" s="1">
        <f t="shared" si="2"/>
        <v>-2.3148766320244194</v>
      </c>
      <c r="Q20" s="1">
        <f t="shared" si="3"/>
        <v>9.877836933793234E-2</v>
      </c>
      <c r="R20" s="1">
        <f t="shared" si="4"/>
        <v>8.9898356296776338E-2</v>
      </c>
      <c r="S20" s="1">
        <f t="shared" si="5"/>
        <v>-9.4198989331648331E-2</v>
      </c>
      <c r="T20" s="1">
        <f>MATCH(R20,PERCENTILE($R$5:$R$38,{0,0.1,0.2,0.3,0.4,0.5,0.6,0.7,0.8,0.9}))</f>
        <v>4</v>
      </c>
    </row>
    <row r="21" spans="1:20" x14ac:dyDescent="0.3">
      <c r="A21" s="1" t="str">
        <f>Training!A18</f>
        <v>o24</v>
      </c>
      <c r="B21" s="1">
        <f t="shared" si="1"/>
        <v>-2.8849576573631333</v>
      </c>
      <c r="C21" s="1">
        <f>C$2*Training!O18</f>
        <v>0.19890489546673926</v>
      </c>
      <c r="D21" s="1">
        <f>D$2*Training!P18</f>
        <v>-0.34925330513471448</v>
      </c>
      <c r="E21" s="1">
        <f>E$2*Training!Q18</f>
        <v>-2.590470999924523</v>
      </c>
      <c r="F21" s="1">
        <f>F$2*Training!R18</f>
        <v>-2.3474307100710075</v>
      </c>
      <c r="G21" s="1">
        <f>G$2*Training!S18</f>
        <v>2.2859413781342188</v>
      </c>
      <c r="H21" s="1">
        <f>H$2*Training!T18</f>
        <v>-1.0613340535377218</v>
      </c>
      <c r="I21" s="1">
        <f>I$2*Training!U18</f>
        <v>-5.5634885939476613</v>
      </c>
      <c r="J21" s="1">
        <f>J$2*Training!V18</f>
        <v>1.028258336759768</v>
      </c>
      <c r="K21" s="1">
        <f>K$2*Training!W18</f>
        <v>-0.41384954449037747</v>
      </c>
      <c r="L21" s="1">
        <f>L$2*Training!K18</f>
        <v>0</v>
      </c>
      <c r="N21" s="1" t="str">
        <f t="shared" si="0"/>
        <v>o24</v>
      </c>
      <c r="O21" s="1">
        <f>INDEX(Table14[FAIL],MATCH(Estimation!$N21,Table14[Firm],0))</f>
        <v>0</v>
      </c>
      <c r="P21" s="1">
        <f t="shared" si="2"/>
        <v>-11.697680254108413</v>
      </c>
      <c r="Q21" s="1">
        <f t="shared" si="3"/>
        <v>8.3130810463834189E-6</v>
      </c>
      <c r="R21" s="1">
        <f t="shared" si="4"/>
        <v>8.3130119396414242E-6</v>
      </c>
      <c r="S21" s="1">
        <f t="shared" si="5"/>
        <v>-8.3130464928732397E-6</v>
      </c>
      <c r="T21" s="1">
        <f>MATCH(R21,PERCENTILE($R$5:$R$38,{0,0.1,0.2,0.3,0.4,0.5,0.6,0.7,0.8,0.9}))</f>
        <v>1</v>
      </c>
    </row>
    <row r="22" spans="1:20" x14ac:dyDescent="0.3">
      <c r="A22" s="1" t="str">
        <f>Training!A19</f>
        <v>o25</v>
      </c>
      <c r="B22" s="1">
        <f t="shared" si="1"/>
        <v>-2.8849576573631333</v>
      </c>
      <c r="C22" s="1">
        <f>C$2*Training!O19</f>
        <v>-1.1215919298751724</v>
      </c>
      <c r="D22" s="1">
        <f>D$2*Training!P19</f>
        <v>1.3165832314382173</v>
      </c>
      <c r="E22" s="1">
        <f>E$2*Training!Q19</f>
        <v>1.5345121728512341</v>
      </c>
      <c r="F22" s="1">
        <f>F$2*Training!R19</f>
        <v>-0.75467494052391015</v>
      </c>
      <c r="G22" s="1">
        <f>G$2*Training!S19</f>
        <v>4.0048022068233582</v>
      </c>
      <c r="H22" s="1">
        <f>H$2*Training!T19</f>
        <v>-1.5739896608846928</v>
      </c>
      <c r="I22" s="1">
        <f>I$2*Training!U19</f>
        <v>-4.6667988657018444</v>
      </c>
      <c r="J22" s="1">
        <f>J$2*Training!V19</f>
        <v>0.11472858891989049</v>
      </c>
      <c r="K22" s="1">
        <f>K$2*Training!W19</f>
        <v>0.27518861463535405</v>
      </c>
      <c r="L22" s="1">
        <f>L$2*Training!K19</f>
        <v>2.5977482365818982</v>
      </c>
      <c r="N22" s="1" t="str">
        <f t="shared" si="0"/>
        <v>o25</v>
      </c>
      <c r="O22" s="1">
        <f>INDEX(Table14[FAIL],MATCH(Estimation!$N22,Table14[Firm],0))</f>
        <v>0</v>
      </c>
      <c r="P22" s="1">
        <f t="shared" si="2"/>
        <v>-1.1584500030988005</v>
      </c>
      <c r="Q22" s="1">
        <f t="shared" si="3"/>
        <v>0.3139724602599494</v>
      </c>
      <c r="R22" s="1">
        <f t="shared" si="4"/>
        <v>0.23894904174615253</v>
      </c>
      <c r="S22" s="1">
        <f t="shared" si="5"/>
        <v>-0.27305496113650296</v>
      </c>
      <c r="T22" s="1">
        <f>MATCH(R22,PERCENTILE($R$5:$R$38,{0,0.1,0.2,0.3,0.4,0.5,0.6,0.7,0.8,0.9}))</f>
        <v>5</v>
      </c>
    </row>
    <row r="23" spans="1:20" x14ac:dyDescent="0.3">
      <c r="A23" s="1" t="str">
        <f>Training!A20</f>
        <v>o27</v>
      </c>
      <c r="B23" s="1">
        <f t="shared" si="1"/>
        <v>-2.8849576573631333</v>
      </c>
      <c r="C23" s="1">
        <f>C$2*Training!O20</f>
        <v>0.16453711612305202</v>
      </c>
      <c r="D23" s="1">
        <f>D$2*Training!P20</f>
        <v>-0.4952226153084206</v>
      </c>
      <c r="E23" s="1">
        <f>E$2*Training!Q20</f>
        <v>-1.5922874059405989</v>
      </c>
      <c r="F23" s="1">
        <f>F$2*Training!R20</f>
        <v>-3.5131351438000578</v>
      </c>
      <c r="G23" s="1">
        <f>G$2*Training!S20</f>
        <v>1.7324099248275473</v>
      </c>
      <c r="H23" s="1">
        <f>H$2*Training!T20</f>
        <v>-1.7782183174700716</v>
      </c>
      <c r="I23" s="1">
        <f>I$2*Training!U20</f>
        <v>-4.7491597592405919</v>
      </c>
      <c r="J23" s="1">
        <f>J$2*Training!V20</f>
        <v>2.0109553369360937</v>
      </c>
      <c r="K23" s="1">
        <f>K$2*Training!W20</f>
        <v>-8.7463048062399351E-2</v>
      </c>
      <c r="L23" s="1">
        <f>L$2*Training!K20</f>
        <v>0</v>
      </c>
      <c r="N23" s="1" t="str">
        <f t="shared" si="0"/>
        <v>o27</v>
      </c>
      <c r="O23" s="1">
        <f>INDEX(Table14[FAIL],MATCH(Estimation!$N23,Table14[Firm],0))</f>
        <v>0</v>
      </c>
      <c r="P23" s="1">
        <f t="shared" si="2"/>
        <v>-11.192541569298578</v>
      </c>
      <c r="Q23" s="1">
        <f t="shared" si="3"/>
        <v>1.3776565392146944E-5</v>
      </c>
      <c r="R23" s="1">
        <f t="shared" si="4"/>
        <v>1.3776375601007609E-5</v>
      </c>
      <c r="S23" s="1">
        <f t="shared" si="5"/>
        <v>-1.3776470496094013E-5</v>
      </c>
      <c r="T23" s="1">
        <f>MATCH(R23,PERCENTILE($R$5:$R$38,{0,0.1,0.2,0.3,0.4,0.5,0.6,0.7,0.8,0.9}))</f>
        <v>2</v>
      </c>
    </row>
    <row r="24" spans="1:20" x14ac:dyDescent="0.3">
      <c r="A24" s="1" t="str">
        <f>Training!A21</f>
        <v>o31</v>
      </c>
      <c r="B24" s="1">
        <f t="shared" si="1"/>
        <v>-2.8849576573631333</v>
      </c>
      <c r="C24" s="1">
        <f>C$2*Training!O21</f>
        <v>0.19367561274711273</v>
      </c>
      <c r="D24" s="1">
        <f>D$2*Training!P21</f>
        <v>-2.6430336285661844E-2</v>
      </c>
      <c r="E24" s="1">
        <f>E$2*Training!Q21</f>
        <v>-5.0788691180616685E-2</v>
      </c>
      <c r="F24" s="1">
        <f>F$2*Training!R21</f>
        <v>0.13193295089885884</v>
      </c>
      <c r="G24" s="1">
        <f>G$2*Training!S21</f>
        <v>-0.99883079872511049</v>
      </c>
      <c r="H24" s="1">
        <f>H$2*Training!T21</f>
        <v>0.57368603679303953</v>
      </c>
      <c r="I24" s="1">
        <f>I$2*Training!U21</f>
        <v>3.4451691415724186</v>
      </c>
      <c r="J24" s="1">
        <f>J$2*Training!V21</f>
        <v>0.58323884531205628</v>
      </c>
      <c r="K24" s="1">
        <f>K$2*Training!W21</f>
        <v>0.22079086523069102</v>
      </c>
      <c r="L24" s="1">
        <f>L$2*Training!K21</f>
        <v>2.5977482365818982</v>
      </c>
      <c r="N24" s="1" t="str">
        <f t="shared" si="0"/>
        <v>o31</v>
      </c>
      <c r="O24" s="1">
        <f>INDEX(Table14[FAIL],MATCH(Estimation!$N24,Table14[Firm],0))</f>
        <v>1</v>
      </c>
      <c r="P24" s="1">
        <f t="shared" si="2"/>
        <v>3.7852342055815531</v>
      </c>
      <c r="Q24" s="1">
        <f t="shared" si="3"/>
        <v>44.045985166404407</v>
      </c>
      <c r="R24" s="1">
        <f t="shared" si="4"/>
        <v>0.97780046331974091</v>
      </c>
      <c r="S24" s="1">
        <f t="shared" si="5"/>
        <v>-2.2449654998738178E-2</v>
      </c>
      <c r="T24" s="1">
        <f>MATCH(R24,PERCENTILE($R$5:$R$38,{0,0.1,0.2,0.3,0.4,0.5,0.6,0.7,0.8,0.9}))</f>
        <v>9</v>
      </c>
    </row>
    <row r="25" spans="1:20" x14ac:dyDescent="0.3">
      <c r="A25" s="1" t="str">
        <f>Training!A22</f>
        <v>o32</v>
      </c>
      <c r="B25" s="1">
        <f t="shared" si="1"/>
        <v>-2.8849576573631333</v>
      </c>
      <c r="C25" s="1">
        <f>C$2*Training!O22</f>
        <v>0.15652162764992369</v>
      </c>
      <c r="D25" s="1">
        <f>D$2*Training!P22</f>
        <v>1.8545775522123218</v>
      </c>
      <c r="E25" s="1">
        <f>E$2*Training!Q22</f>
        <v>1.7518382211616581</v>
      </c>
      <c r="F25" s="1">
        <f>F$2*Training!R22</f>
        <v>1.6193269735512141</v>
      </c>
      <c r="G25" s="1">
        <f>G$2*Training!S22</f>
        <v>-1.0416202367274348</v>
      </c>
      <c r="H25" s="1">
        <f>H$2*Training!T22</f>
        <v>1.1875628441969044</v>
      </c>
      <c r="I25" s="1">
        <f>I$2*Training!U22</f>
        <v>3.4521292170827347</v>
      </c>
      <c r="J25" s="1">
        <f>J$2*Training!V22</f>
        <v>-0.36030687995684596</v>
      </c>
      <c r="K25" s="1">
        <f>K$2*Training!W22</f>
        <v>0.45651444598423074</v>
      </c>
      <c r="L25" s="1">
        <f>L$2*Training!K22</f>
        <v>0</v>
      </c>
      <c r="N25" s="1" t="str">
        <f t="shared" si="0"/>
        <v>o32</v>
      </c>
      <c r="O25" s="1">
        <f>INDEX(Table14[FAIL],MATCH(Estimation!$N25,Table14[Firm],0))</f>
        <v>1</v>
      </c>
      <c r="P25" s="1">
        <f t="shared" si="2"/>
        <v>6.1915861077915739</v>
      </c>
      <c r="Q25" s="1">
        <f t="shared" si="3"/>
        <v>488.62049669563709</v>
      </c>
      <c r="R25" s="1">
        <f t="shared" si="4"/>
        <v>0.99795760184316462</v>
      </c>
      <c r="S25" s="1">
        <f t="shared" si="5"/>
        <v>-2.0444866961880515E-3</v>
      </c>
      <c r="T25" s="1">
        <f>MATCH(R25,PERCENTILE($R$5:$R$38,{0,0.1,0.2,0.3,0.4,0.5,0.6,0.7,0.8,0.9}))</f>
        <v>10</v>
      </c>
    </row>
    <row r="26" spans="1:20" x14ac:dyDescent="0.3">
      <c r="A26" s="1" t="str">
        <f>Training!A23</f>
        <v>o36</v>
      </c>
      <c r="B26" s="1">
        <f t="shared" si="1"/>
        <v>-2.8849576573631333</v>
      </c>
      <c r="C26" s="1">
        <f>C$2*Training!O23</f>
        <v>0.16783115248187189</v>
      </c>
      <c r="D26" s="1">
        <f>D$2*Training!P23</f>
        <v>0.52243824849891907</v>
      </c>
      <c r="E26" s="1">
        <f>E$2*Training!Q23</f>
        <v>0.71996066619937471</v>
      </c>
      <c r="F26" s="1">
        <f>F$2*Training!R23</f>
        <v>0.94120083662229514</v>
      </c>
      <c r="G26" s="1">
        <f>G$2*Training!S23</f>
        <v>-1.670716016719064</v>
      </c>
      <c r="H26" s="1">
        <f>H$2*Training!T23</f>
        <v>3.270933308897316</v>
      </c>
      <c r="I26" s="1">
        <f>I$2*Training!U23</f>
        <v>3.3651282732037746</v>
      </c>
      <c r="J26" s="1">
        <f>J$2*Training!V23</f>
        <v>-3.8526006016990073</v>
      </c>
      <c r="K26" s="1">
        <f>K$2*Training!W23</f>
        <v>-6.9330464927511687E-2</v>
      </c>
      <c r="L26" s="1">
        <f>L$2*Training!K23</f>
        <v>0</v>
      </c>
      <c r="N26" s="1" t="str">
        <f t="shared" si="0"/>
        <v>o36</v>
      </c>
      <c r="O26" s="1">
        <f>INDEX(Table14[FAIL],MATCH(Estimation!$N26,Table14[Firm],0))</f>
        <v>1</v>
      </c>
      <c r="P26" s="1">
        <f t="shared" si="2"/>
        <v>0.50988774519483582</v>
      </c>
      <c r="Q26" s="1">
        <f t="shared" si="3"/>
        <v>1.6651042684991482</v>
      </c>
      <c r="R26" s="1">
        <f t="shared" si="4"/>
        <v>0.62478015895297434</v>
      </c>
      <c r="S26" s="1">
        <f t="shared" si="5"/>
        <v>-0.47035543679799702</v>
      </c>
      <c r="T26" s="1">
        <f>MATCH(R26,PERCENTILE($R$5:$R$38,{0,0.1,0.2,0.3,0.4,0.5,0.6,0.7,0.8,0.9}))</f>
        <v>6</v>
      </c>
    </row>
    <row r="27" spans="1:20" x14ac:dyDescent="0.3">
      <c r="A27" s="1" t="str">
        <f>Training!A24</f>
        <v>o40</v>
      </c>
      <c r="B27" s="1">
        <f t="shared" si="1"/>
        <v>-2.8849576573631333</v>
      </c>
      <c r="C27" s="1">
        <f>C$2*Training!O24</f>
        <v>-0.15781179189046149</v>
      </c>
      <c r="D27" s="1">
        <f>D$2*Training!P24</f>
        <v>0.45572997401789228</v>
      </c>
      <c r="E27" s="1">
        <f>E$2*Training!Q24</f>
        <v>0.87411053767537295</v>
      </c>
      <c r="F27" s="1">
        <f>F$2*Training!R24</f>
        <v>-1.3352854180928022</v>
      </c>
      <c r="G27" s="1">
        <f>G$2*Training!S24</f>
        <v>1.0650767747061811</v>
      </c>
      <c r="H27" s="1">
        <f>H$2*Training!T24</f>
        <v>0.37541156844630069</v>
      </c>
      <c r="I27" s="1">
        <f>I$2*Training!U24</f>
        <v>1.2237450411962978</v>
      </c>
      <c r="J27" s="1">
        <f>J$2*Training!V24</f>
        <v>0.29873958098478015</v>
      </c>
      <c r="K27" s="1">
        <f>K$2*Training!W24</f>
        <v>5.7597617016701998E-2</v>
      </c>
      <c r="L27" s="1">
        <f>L$2*Training!K24</f>
        <v>0</v>
      </c>
      <c r="N27" s="1" t="str">
        <f t="shared" si="0"/>
        <v>o40</v>
      </c>
      <c r="O27" s="1">
        <f>INDEX(Table14[FAIL],MATCH(Estimation!$N27,Table14[Firm],0))</f>
        <v>1</v>
      </c>
      <c r="P27" s="1">
        <f t="shared" si="2"/>
        <v>-2.7643773302869899E-2</v>
      </c>
      <c r="Q27" s="1">
        <f t="shared" si="3"/>
        <v>0.97273481920161375</v>
      </c>
      <c r="R27" s="1">
        <f t="shared" si="4"/>
        <v>0.49308949674000768</v>
      </c>
      <c r="S27" s="1">
        <f t="shared" si="5"/>
        <v>-0.70706458644533599</v>
      </c>
      <c r="T27" s="1">
        <f>MATCH(R27,PERCENTILE($R$5:$R$38,{0,0.1,0.2,0.3,0.4,0.5,0.6,0.7,0.8,0.9}))</f>
        <v>6</v>
      </c>
    </row>
    <row r="28" spans="1:20" x14ac:dyDescent="0.3">
      <c r="A28" s="1" t="str">
        <f>Training!A25</f>
        <v>o41</v>
      </c>
      <c r="B28" s="1">
        <f t="shared" si="1"/>
        <v>-2.8849576573631333</v>
      </c>
      <c r="C28" s="1">
        <f>C$2*Training!O25</f>
        <v>0.20373614879300839</v>
      </c>
      <c r="D28" s="1">
        <f>D$2*Training!P25</f>
        <v>1.5918088153682053</v>
      </c>
      <c r="E28" s="1">
        <f>E$2*Training!Q25</f>
        <v>1.3272943128343184</v>
      </c>
      <c r="F28" s="1">
        <f>F$2*Training!R25</f>
        <v>8.6270040116993147</v>
      </c>
      <c r="G28" s="1">
        <f>G$2*Training!S25</f>
        <v>-8.128279500772063</v>
      </c>
      <c r="H28" s="1">
        <f>H$2*Training!T25</f>
        <v>4.555251711972133</v>
      </c>
      <c r="I28" s="1">
        <f>I$2*Training!U25</f>
        <v>6.6363637630526826</v>
      </c>
      <c r="J28" s="1">
        <f>J$2*Training!V25</f>
        <v>-10.691023285528948</v>
      </c>
      <c r="K28" s="1">
        <f>K$2*Training!W25</f>
        <v>0.31145378090512937</v>
      </c>
      <c r="L28" s="1">
        <f>L$2*Training!K25</f>
        <v>0</v>
      </c>
      <c r="N28" s="1" t="str">
        <f t="shared" si="0"/>
        <v>o41</v>
      </c>
      <c r="O28" s="1">
        <f>INDEX(Table14[FAIL],MATCH(Estimation!$N28,Table14[Firm],0))</f>
        <v>1</v>
      </c>
      <c r="P28" s="1">
        <f t="shared" si="2"/>
        <v>1.5486521009606469</v>
      </c>
      <c r="Q28" s="1">
        <f t="shared" si="3"/>
        <v>4.705123874509817</v>
      </c>
      <c r="R28" s="1">
        <f t="shared" si="4"/>
        <v>0.82471896807220157</v>
      </c>
      <c r="S28" s="1">
        <f t="shared" si="5"/>
        <v>-0.19271259544102981</v>
      </c>
      <c r="T28" s="1">
        <f>MATCH(R28,PERCENTILE($R$5:$R$38,{0,0.1,0.2,0.3,0.4,0.5,0.6,0.7,0.8,0.9}))</f>
        <v>7</v>
      </c>
    </row>
    <row r="29" spans="1:20" x14ac:dyDescent="0.3">
      <c r="A29" s="1" t="str">
        <f>Training!A26</f>
        <v>o43</v>
      </c>
      <c r="B29" s="1">
        <f t="shared" si="1"/>
        <v>-2.8849576573631333</v>
      </c>
      <c r="C29" s="1">
        <f>C$2*Training!O26</f>
        <v>-0.40399983425776081</v>
      </c>
      <c r="D29" s="1">
        <f>D$2*Training!P26</f>
        <v>0.77109561958743389</v>
      </c>
      <c r="E29" s="1">
        <f>E$2*Training!Q26</f>
        <v>0.83030838840350463</v>
      </c>
      <c r="F29" s="1">
        <f>F$2*Training!R26</f>
        <v>3.254675789715336</v>
      </c>
      <c r="G29" s="1">
        <f>G$2*Training!S26</f>
        <v>-2.3480637161601234</v>
      </c>
      <c r="H29" s="1">
        <f>H$2*Training!T26</f>
        <v>3.0887351487949073</v>
      </c>
      <c r="I29" s="1">
        <f>I$2*Training!U26</f>
        <v>4.8522644072414698</v>
      </c>
      <c r="J29" s="1">
        <f>J$2*Training!V26</f>
        <v>-3.7912636043440431</v>
      </c>
      <c r="K29" s="1">
        <f>K$2*Training!W26</f>
        <v>0.36585153030979234</v>
      </c>
      <c r="L29" s="1">
        <f>L$2*Training!K26</f>
        <v>0</v>
      </c>
      <c r="N29" s="1" t="str">
        <f t="shared" si="0"/>
        <v>o43</v>
      </c>
      <c r="O29" s="1">
        <f>INDEX(Table14[FAIL],MATCH(Estimation!$N29,Table14[Firm],0))</f>
        <v>1</v>
      </c>
      <c r="P29" s="1">
        <f t="shared" si="2"/>
        <v>3.7346460719273824</v>
      </c>
      <c r="Q29" s="1">
        <f t="shared" si="3"/>
        <v>41.873202838193379</v>
      </c>
      <c r="R29" s="1">
        <f t="shared" si="4"/>
        <v>0.97667540715877765</v>
      </c>
      <c r="S29" s="1">
        <f t="shared" si="5"/>
        <v>-2.3600916369849928E-2</v>
      </c>
      <c r="T29" s="1">
        <f>MATCH(R29,PERCENTILE($R$5:$R$38,{0,0.1,0.2,0.3,0.4,0.5,0.6,0.7,0.8,0.9}))</f>
        <v>9</v>
      </c>
    </row>
    <row r="30" spans="1:20" x14ac:dyDescent="0.3">
      <c r="A30" s="1" t="str">
        <f>Training!A27</f>
        <v>o45</v>
      </c>
      <c r="B30" s="1">
        <f t="shared" si="1"/>
        <v>-2.8849576573631333</v>
      </c>
      <c r="C30" s="1">
        <f>C$2*Training!O27</f>
        <v>0.10243080560780259</v>
      </c>
      <c r="D30" s="1">
        <f>D$2*Training!P27</f>
        <v>-6.8284862923559883E-2</v>
      </c>
      <c r="E30" s="1">
        <f>E$2*Training!Q27</f>
        <v>0.45883246861708255</v>
      </c>
      <c r="F30" s="1">
        <f>F$2*Training!R27</f>
        <v>0.3280851392667275</v>
      </c>
      <c r="G30" s="1">
        <f>G$2*Training!S27</f>
        <v>-0.56729476440379056</v>
      </c>
      <c r="H30" s="1">
        <f>H$2*Training!T27</f>
        <v>0.72968576864542811</v>
      </c>
      <c r="I30" s="1">
        <f>I$2*Training!U27</f>
        <v>2.6354803572055601</v>
      </c>
      <c r="J30" s="1">
        <f>J$2*Training!V27</f>
        <v>0.25567317858661454</v>
      </c>
      <c r="K30" s="1">
        <f>K$2*Training!W27</f>
        <v>0.16639311582602803</v>
      </c>
      <c r="L30" s="1">
        <f>L$2*Training!K27</f>
        <v>0</v>
      </c>
      <c r="N30" s="1" t="str">
        <f t="shared" si="0"/>
        <v>o45</v>
      </c>
      <c r="O30" s="1">
        <f>INDEX(Table14[FAIL],MATCH(Estimation!$N30,Table14[Firm],0))</f>
        <v>1</v>
      </c>
      <c r="P30" s="1">
        <f t="shared" si="2"/>
        <v>1.15604354906476</v>
      </c>
      <c r="Q30" s="1">
        <f t="shared" si="3"/>
        <v>3.1773373955450759</v>
      </c>
      <c r="R30" s="1">
        <f t="shared" si="4"/>
        <v>0.76061306394201</v>
      </c>
      <c r="S30" s="1">
        <f t="shared" si="5"/>
        <v>-0.27363050779797093</v>
      </c>
      <c r="T30" s="1">
        <f>MATCH(R30,PERCENTILE($R$5:$R$38,{0,0.1,0.2,0.3,0.4,0.5,0.6,0.7,0.8,0.9}))</f>
        <v>7</v>
      </c>
    </row>
    <row r="31" spans="1:20" x14ac:dyDescent="0.3">
      <c r="A31" s="1" t="str">
        <f>Training!A28</f>
        <v>o46</v>
      </c>
      <c r="B31" s="1">
        <f t="shared" si="1"/>
        <v>-2.8849576573631333</v>
      </c>
      <c r="C31" s="1">
        <f>C$2*Training!O28</f>
        <v>-0.13446530919732572</v>
      </c>
      <c r="D31" s="1">
        <f>D$2*Training!P28</f>
        <v>1.1725202145144182</v>
      </c>
      <c r="E31" s="1">
        <f>E$2*Training!Q28</f>
        <v>1.0122557776866501</v>
      </c>
      <c r="F31" s="1">
        <f>F$2*Training!R28</f>
        <v>0.90645387753998707</v>
      </c>
      <c r="G31" s="1">
        <f>G$2*Training!S28</f>
        <v>1.0131832009586808</v>
      </c>
      <c r="H31" s="1">
        <f>H$2*Training!T28</f>
        <v>2.1825076988737799</v>
      </c>
      <c r="I31" s="1">
        <f>I$2*Training!U28</f>
        <v>1.2225850286112452</v>
      </c>
      <c r="J31" s="1">
        <f>J$2*Training!V28</f>
        <v>-1.597487167031423</v>
      </c>
      <c r="K31" s="1">
        <f>K$2*Training!W28</f>
        <v>0.13012794955625268</v>
      </c>
      <c r="L31" s="1">
        <f>L$2*Training!K28</f>
        <v>0</v>
      </c>
      <c r="N31" s="1" t="str">
        <f t="shared" si="0"/>
        <v>o46</v>
      </c>
      <c r="O31" s="1">
        <f>INDEX(Table14[FAIL],MATCH(Estimation!$N31,Table14[Firm],0))</f>
        <v>1</v>
      </c>
      <c r="P31" s="1">
        <f t="shared" si="2"/>
        <v>3.0227236141491325</v>
      </c>
      <c r="Q31" s="1">
        <f t="shared" si="3"/>
        <v>20.547178128165307</v>
      </c>
      <c r="R31" s="1">
        <f t="shared" si="4"/>
        <v>0.95359021055788029</v>
      </c>
      <c r="S31" s="1">
        <f t="shared" si="5"/>
        <v>-4.752124849778009E-2</v>
      </c>
      <c r="T31" s="1">
        <f>MATCH(R31,PERCENTILE($R$5:$R$38,{0,0.1,0.2,0.3,0.4,0.5,0.6,0.7,0.8,0.9}))</f>
        <v>9</v>
      </c>
    </row>
    <row r="32" spans="1:20" x14ac:dyDescent="0.3">
      <c r="A32" s="1" t="str">
        <f>Training!A29</f>
        <v>o47</v>
      </c>
      <c r="B32" s="1">
        <f t="shared" si="1"/>
        <v>-2.8849576573631333</v>
      </c>
      <c r="C32" s="1">
        <f>C$2*Training!O29</f>
        <v>0.13357317435014535</v>
      </c>
      <c r="D32" s="1">
        <f>D$2*Training!P29</f>
        <v>-1.2122046840565097</v>
      </c>
      <c r="E32" s="1">
        <f>E$2*Training!Q29</f>
        <v>-0.33802970852113795</v>
      </c>
      <c r="F32" s="1">
        <f>F$2*Training!R29</f>
        <v>3.139226215990246</v>
      </c>
      <c r="G32" s="1">
        <f>G$2*Training!S29</f>
        <v>2.6865233509219424</v>
      </c>
      <c r="H32" s="1">
        <f>H$2*Training!T29</f>
        <v>-4.7928238226939035</v>
      </c>
      <c r="I32" s="1">
        <f>I$2*Training!U29</f>
        <v>1.490547935758443</v>
      </c>
      <c r="J32" s="1">
        <f>J$2*Training!V29</f>
        <v>3.2181196465816462</v>
      </c>
      <c r="K32" s="1">
        <f>K$2*Training!W29</f>
        <v>3.9465033881814333E-2</v>
      </c>
      <c r="L32" s="1">
        <f>L$2*Training!K29</f>
        <v>2.5977482365818982</v>
      </c>
      <c r="N32" s="1" t="str">
        <f t="shared" si="0"/>
        <v>o47</v>
      </c>
      <c r="O32" s="1">
        <f>INDEX(Table14[FAIL],MATCH(Estimation!$N32,Table14[Firm],0))</f>
        <v>1</v>
      </c>
      <c r="P32" s="1">
        <f t="shared" si="2"/>
        <v>4.0771877214314509</v>
      </c>
      <c r="Q32" s="1">
        <f t="shared" si="3"/>
        <v>58.979369981618959</v>
      </c>
      <c r="R32" s="1">
        <f t="shared" si="4"/>
        <v>0.98332760080163473</v>
      </c>
      <c r="S32" s="1">
        <f t="shared" si="5"/>
        <v>-1.6812948026626782E-2</v>
      </c>
      <c r="T32" s="1">
        <f>MATCH(R32,PERCENTILE($R$5:$R$38,{0,0.1,0.2,0.3,0.4,0.5,0.6,0.7,0.8,0.9}))</f>
        <v>10</v>
      </c>
    </row>
    <row r="33" spans="1:20" x14ac:dyDescent="0.3">
      <c r="A33" s="1" t="str">
        <f>Training!A30</f>
        <v>o48</v>
      </c>
      <c r="B33" s="1">
        <f t="shared" si="1"/>
        <v>-2.8849576573631333</v>
      </c>
      <c r="C33" s="1">
        <f>C$2*Training!O30</f>
        <v>-0.41669559939071238</v>
      </c>
      <c r="D33" s="1">
        <f>D$2*Training!P30</f>
        <v>-0.27611878422632774</v>
      </c>
      <c r="E33" s="1">
        <f>E$2*Training!Q30</f>
        <v>0.45462072349478755</v>
      </c>
      <c r="F33" s="1">
        <f>F$2*Training!R30</f>
        <v>3.1694896964812895</v>
      </c>
      <c r="G33" s="1">
        <f>G$2*Training!S30</f>
        <v>-1.3657274692556842</v>
      </c>
      <c r="H33" s="1">
        <f>H$2*Training!T30</f>
        <v>-0.22774770012801082</v>
      </c>
      <c r="I33" s="1">
        <f>I$2*Training!U30</f>
        <v>-0.58239455373091931</v>
      </c>
      <c r="J33" s="1">
        <f>J$2*Training!V30</f>
        <v>1.9757191895194126</v>
      </c>
      <c r="K33" s="1">
        <f>K$2*Training!W30</f>
        <v>-0.10559563119728703</v>
      </c>
      <c r="L33" s="1">
        <f>L$2*Training!K30</f>
        <v>0</v>
      </c>
      <c r="N33" s="1" t="str">
        <f t="shared" si="0"/>
        <v>o48</v>
      </c>
      <c r="O33" s="1">
        <f>INDEX(Table14[FAIL],MATCH(Estimation!$N33,Table14[Firm],0))</f>
        <v>1</v>
      </c>
      <c r="P33" s="1">
        <f t="shared" si="2"/>
        <v>-0.25940778579658536</v>
      </c>
      <c r="Q33" s="1">
        <f t="shared" si="3"/>
        <v>0.77150834874164476</v>
      </c>
      <c r="R33" s="1">
        <f t="shared" si="4"/>
        <v>0.43550929313410808</v>
      </c>
      <c r="S33" s="1">
        <f t="shared" si="5"/>
        <v>-0.83123914391815268</v>
      </c>
      <c r="T33" s="1">
        <f>MATCH(R33,PERCENTILE($R$5:$R$38,{0,0.1,0.2,0.3,0.4,0.5,0.6,0.7,0.8,0.9}))</f>
        <v>5</v>
      </c>
    </row>
    <row r="34" spans="1:20" x14ac:dyDescent="0.3">
      <c r="A34" s="1" t="str">
        <f>Training!A31</f>
        <v>o52</v>
      </c>
      <c r="B34" s="1">
        <f t="shared" si="1"/>
        <v>-2.8849576573631333</v>
      </c>
      <c r="C34" s="1">
        <f>C$2*Training!O31</f>
        <v>0.18905023669326981</v>
      </c>
      <c r="D34" s="1">
        <f>D$2*Training!P31</f>
        <v>1.0604325692730234</v>
      </c>
      <c r="E34" s="1">
        <f>E$2*Training!Q31</f>
        <v>1.1891490728230414</v>
      </c>
      <c r="F34" s="1">
        <f>F$2*Training!R31</f>
        <v>1.1239025892163685</v>
      </c>
      <c r="G34" s="1">
        <f>G$2*Training!S31</f>
        <v>-1.5013790918587997</v>
      </c>
      <c r="H34" s="1">
        <f>H$2*Training!T31</f>
        <v>1.1482652018218744</v>
      </c>
      <c r="I34" s="1">
        <f>I$2*Training!U31</f>
        <v>-0.81439707074148038</v>
      </c>
      <c r="J34" s="1">
        <f>J$2*Training!V31</f>
        <v>-0.25329339520988886</v>
      </c>
      <c r="K34" s="1">
        <f>K$2*Training!W31</f>
        <v>0.25705603150046635</v>
      </c>
      <c r="L34" s="1">
        <f>L$2*Training!K31</f>
        <v>2.5977482365818982</v>
      </c>
      <c r="N34" s="1" t="str">
        <f t="shared" si="0"/>
        <v>o52</v>
      </c>
      <c r="O34" s="1">
        <f>INDEX(Table14[FAIL],MATCH(Estimation!$N34,Table14[Firm],0))</f>
        <v>1</v>
      </c>
      <c r="P34" s="1">
        <f t="shared" si="2"/>
        <v>2.1115767227366398</v>
      </c>
      <c r="Q34" s="1">
        <f t="shared" si="3"/>
        <v>8.2612567323771948</v>
      </c>
      <c r="R34" s="1">
        <f t="shared" si="4"/>
        <v>0.89202329350140819</v>
      </c>
      <c r="S34" s="1">
        <f t="shared" si="5"/>
        <v>-0.11426303295227042</v>
      </c>
      <c r="T34" s="1">
        <f>MATCH(R34,PERCENTILE($R$5:$R$38,{0,0.1,0.2,0.3,0.4,0.5,0.6,0.7,0.8,0.9}))</f>
        <v>8</v>
      </c>
    </row>
    <row r="35" spans="1:20" x14ac:dyDescent="0.3">
      <c r="A35" s="1" t="str">
        <f>Training!A32</f>
        <v>o53</v>
      </c>
      <c r="B35" s="1">
        <f t="shared" si="1"/>
        <v>-2.8849576573631333</v>
      </c>
      <c r="C35" s="1">
        <f>C$2*Training!O32</f>
        <v>0.16794095369383255</v>
      </c>
      <c r="D35" s="1">
        <f>D$2*Training!P32</f>
        <v>1.5978034482295485</v>
      </c>
      <c r="E35" s="1">
        <f>E$2*Training!Q32</f>
        <v>1.6002153967590369</v>
      </c>
      <c r="F35" s="1">
        <f>F$2*Training!R32</f>
        <v>0.62063211734680668</v>
      </c>
      <c r="G35" s="1">
        <f>G$2*Training!S32</f>
        <v>-0.60006965308642191</v>
      </c>
      <c r="H35" s="1">
        <f>H$2*Training!T32</f>
        <v>2.8880790051527132</v>
      </c>
      <c r="I35" s="1">
        <f>I$2*Training!U32</f>
        <v>4.5529811602978469</v>
      </c>
      <c r="J35" s="1">
        <f>J$2*Training!V32</f>
        <v>-2.8581582190504542</v>
      </c>
      <c r="K35" s="1">
        <f>K$2*Training!W32</f>
        <v>0.31145378090512937</v>
      </c>
      <c r="L35" s="1">
        <f>L$2*Training!K32</f>
        <v>0</v>
      </c>
      <c r="N35" s="1" t="str">
        <f t="shared" si="0"/>
        <v>o53</v>
      </c>
      <c r="O35" s="1">
        <f>INDEX(Table14[FAIL],MATCH(Estimation!$N35,Table14[Firm],0))</f>
        <v>1</v>
      </c>
      <c r="P35" s="1">
        <f t="shared" si="2"/>
        <v>5.3959203328849057</v>
      </c>
      <c r="Q35" s="1">
        <f t="shared" si="3"/>
        <v>220.50499173506134</v>
      </c>
      <c r="R35" s="1">
        <f t="shared" si="4"/>
        <v>0.99548542905436599</v>
      </c>
      <c r="S35" s="1">
        <f t="shared" si="5"/>
        <v>-4.5247923962900309E-3</v>
      </c>
      <c r="T35" s="1">
        <f>MATCH(R35,PERCENTILE($R$5:$R$38,{0,0.1,0.2,0.3,0.4,0.5,0.6,0.7,0.8,0.9}))</f>
        <v>10</v>
      </c>
    </row>
    <row r="36" spans="1:20" x14ac:dyDescent="0.3">
      <c r="A36" s="1" t="str">
        <f>Training!A33</f>
        <v>o54</v>
      </c>
      <c r="B36" s="1">
        <f t="shared" si="1"/>
        <v>-2.8849576573631333</v>
      </c>
      <c r="C36" s="1">
        <f>C$2*Training!O33</f>
        <v>5.3432014770357146E-2</v>
      </c>
      <c r="D36" s="1">
        <f>D$2*Training!P33</f>
        <v>0.63565288471824632</v>
      </c>
      <c r="E36" s="1">
        <f>E$2*Training!Q33</f>
        <v>0.90864684767819226</v>
      </c>
      <c r="F36" s="1">
        <f>F$2*Training!R33</f>
        <v>-0.31193142963643444</v>
      </c>
      <c r="G36" s="1">
        <f>G$2*Training!S33</f>
        <v>1.9011577585513285E-2</v>
      </c>
      <c r="H36" s="1">
        <f>H$2*Training!T33</f>
        <v>1.8859891245894689</v>
      </c>
      <c r="I36" s="1">
        <f>I$2*Training!U33</f>
        <v>6.319680327333268</v>
      </c>
      <c r="J36" s="1">
        <f>J$2*Training!V33</f>
        <v>-1.361274475089969</v>
      </c>
      <c r="K36" s="1">
        <f>K$2*Training!W33</f>
        <v>-0.830898956592794</v>
      </c>
      <c r="L36" s="1">
        <f>L$2*Training!K33</f>
        <v>0</v>
      </c>
      <c r="N36" s="1" t="str">
        <f t="shared" si="0"/>
        <v>o54</v>
      </c>
      <c r="O36" s="1">
        <f>INDEX(Table14[FAIL],MATCH(Estimation!$N36,Table14[Firm],0))</f>
        <v>1</v>
      </c>
      <c r="P36" s="1">
        <f t="shared" si="2"/>
        <v>4.4333502579927151</v>
      </c>
      <c r="Q36" s="1">
        <f t="shared" si="3"/>
        <v>84.21308036978607</v>
      </c>
      <c r="R36" s="1">
        <f t="shared" si="4"/>
        <v>0.98826471246362113</v>
      </c>
      <c r="S36" s="1">
        <f t="shared" si="5"/>
        <v>-1.1804689525699234E-2</v>
      </c>
      <c r="T36" s="1">
        <f>MATCH(R36,PERCENTILE($R$5:$R$38,{0,0.1,0.2,0.3,0.4,0.5,0.6,0.7,0.8,0.9}))</f>
        <v>10</v>
      </c>
    </row>
    <row r="37" spans="1:20" x14ac:dyDescent="0.3">
      <c r="A37" s="1" t="str">
        <f>Training!A34</f>
        <v>o55</v>
      </c>
      <c r="B37" s="1">
        <f t="shared" si="1"/>
        <v>-2.8849576573631333</v>
      </c>
      <c r="C37" s="1">
        <f>C$2*Training!O34</f>
        <v>0.18969531881353871</v>
      </c>
      <c r="D37" s="1">
        <f>D$2*Training!P34</f>
        <v>0.89655129610962392</v>
      </c>
      <c r="E37" s="1">
        <f>E$2*Training!Q34</f>
        <v>1.1689326962360251</v>
      </c>
      <c r="F37" s="1">
        <f>F$2*Training!R34</f>
        <v>-2.7230539091069112E-2</v>
      </c>
      <c r="G37" s="1">
        <f>G$2*Training!S34</f>
        <v>0.61533246889451021</v>
      </c>
      <c r="H37" s="1">
        <f>H$2*Training!T34</f>
        <v>2.6582473391411794</v>
      </c>
      <c r="I37" s="1">
        <f>I$2*Training!U34</f>
        <v>2.5252791616255443</v>
      </c>
      <c r="J37" s="1">
        <f>J$2*Training!V34</f>
        <v>-2.2056369705933991</v>
      </c>
      <c r="K37" s="1">
        <f>K$2*Training!W34</f>
        <v>-6.9330464927511687E-2</v>
      </c>
      <c r="L37" s="1">
        <f>L$2*Training!K34</f>
        <v>0</v>
      </c>
      <c r="N37" s="1" t="str">
        <f t="shared" si="0"/>
        <v>o55</v>
      </c>
      <c r="O37" s="1">
        <f>INDEX(Table14[FAIL],MATCH(Estimation!$N37,Table14[Firm],0))</f>
        <v>1</v>
      </c>
      <c r="P37" s="1">
        <f t="shared" si="2"/>
        <v>2.866882648845309</v>
      </c>
      <c r="Q37" s="1">
        <f t="shared" si="3"/>
        <v>17.582123029004219</v>
      </c>
      <c r="R37" s="1">
        <f t="shared" si="4"/>
        <v>0.94618483590711711</v>
      </c>
      <c r="S37" s="1">
        <f t="shared" si="5"/>
        <v>-5.5317342221779697E-2</v>
      </c>
      <c r="T37" s="1">
        <f>MATCH(R37,PERCENTILE($R$5:$R$38,{0,0.1,0.2,0.3,0.4,0.5,0.6,0.7,0.8,0.9}))</f>
        <v>8</v>
      </c>
    </row>
    <row r="38" spans="1:20" x14ac:dyDescent="0.3">
      <c r="A38" s="1" t="str">
        <f>Training!A35</f>
        <v>o60</v>
      </c>
      <c r="B38" s="1">
        <f t="shared" si="1"/>
        <v>-2.8849576573631333</v>
      </c>
      <c r="C38" s="1">
        <f>C$2*Training!O35</f>
        <v>0.12913995041723361</v>
      </c>
      <c r="D38" s="1">
        <f>D$2*Training!P35</f>
        <v>1.1228966436882195</v>
      </c>
      <c r="E38" s="1">
        <f>E$2*Training!Q35</f>
        <v>0.92802087524074928</v>
      </c>
      <c r="F38" s="1">
        <f>F$2*Training!R35</f>
        <v>1.2763408613193976</v>
      </c>
      <c r="G38" s="1">
        <f>G$2*Training!S35</f>
        <v>-1.2592090810371299</v>
      </c>
      <c r="H38" s="1">
        <f>H$2*Training!T35</f>
        <v>2.0497293011520901</v>
      </c>
      <c r="I38" s="1">
        <f>I$2*Training!U35</f>
        <v>0.62749857247915652</v>
      </c>
      <c r="J38" s="1">
        <f>J$2*Training!V35</f>
        <v>-1.7240762892320922</v>
      </c>
      <c r="K38" s="1">
        <f>K$2*Training!W35</f>
        <v>0.25705603150046635</v>
      </c>
      <c r="L38" s="1">
        <f>L$2*Training!K35</f>
        <v>0</v>
      </c>
      <c r="N38" s="1" t="str">
        <f t="shared" si="0"/>
        <v>o60</v>
      </c>
      <c r="O38" s="1">
        <f>INDEX(Table14[FAIL],MATCH(Estimation!$N38,Table14[Firm],0))</f>
        <v>1</v>
      </c>
      <c r="P38" s="1">
        <f t="shared" si="2"/>
        <v>0.52243920816495781</v>
      </c>
      <c r="Q38" s="1">
        <f t="shared" si="3"/>
        <v>1.6861354731572713</v>
      </c>
      <c r="R38" s="1">
        <f t="shared" si="4"/>
        <v>0.6277179576409806</v>
      </c>
      <c r="S38" s="1">
        <f t="shared" si="5"/>
        <v>-0.4656643254316099</v>
      </c>
      <c r="T38" s="1">
        <f>MATCH(R38,PERCENTILE($R$5:$R$38,{0,0.1,0.2,0.3,0.4,0.5,0.6,0.7,0.8,0.9}))</f>
        <v>7</v>
      </c>
    </row>
  </sheetData>
  <conditionalFormatting sqref="B5:L38">
    <cfRule type="containsBlanks" dxfId="19" priority="2">
      <formula>LEN(TRIM(B5))=0</formula>
    </cfRule>
  </conditionalFormatting>
  <conditionalFormatting sqref="O5:T38">
    <cfRule type="containsBlanks" dxfId="18" priority="1">
      <formula>LEN(TRIM(O5))=0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13"/>
  <sheetViews>
    <sheetView workbookViewId="0">
      <selection sqref="A1:E1"/>
    </sheetView>
  </sheetViews>
  <sheetFormatPr defaultRowHeight="13.8" x14ac:dyDescent="0.25"/>
  <cols>
    <col min="1" max="1" width="12.6640625" style="4" bestFit="1" customWidth="1"/>
    <col min="2" max="2" width="14.44140625" style="4" customWidth="1"/>
    <col min="3" max="4" width="13.21875" style="4" customWidth="1"/>
    <col min="5" max="5" width="100.77734375" style="4" customWidth="1"/>
    <col min="6" max="16384" width="8.88671875" style="4"/>
  </cols>
  <sheetData>
    <row r="1" spans="1:5" ht="14.4" thickTop="1" x14ac:dyDescent="0.25">
      <c r="A1" s="13" t="s">
        <v>101</v>
      </c>
      <c r="B1" s="14" t="s">
        <v>102</v>
      </c>
      <c r="C1" s="14" t="s">
        <v>103</v>
      </c>
      <c r="D1" s="14" t="s">
        <v>104</v>
      </c>
      <c r="E1" s="15" t="s">
        <v>105</v>
      </c>
    </row>
    <row r="2" spans="1:5" x14ac:dyDescent="0.25">
      <c r="A2" s="5" t="str">
        <f t="array" ref="A2:A12">TRANSPOSE(Estimation!B1:L1)</f>
        <v>b0</v>
      </c>
      <c r="B2" s="6" t="str">
        <f t="array" ref="B2:B12">TRANSPOSE(Estimation!B4:L4)</f>
        <v>Intercept</v>
      </c>
      <c r="C2" s="7">
        <f t="array" ref="C2:C12">TRANSPOSE(Estimation!$B$2:$L$2)</f>
        <v>-2.8849576573631333</v>
      </c>
      <c r="D2" s="7"/>
      <c r="E2" s="8"/>
    </row>
    <row r="3" spans="1:5" x14ac:dyDescent="0.25">
      <c r="A3" s="5" t="str">
        <v>b1</v>
      </c>
      <c r="B3" s="6" t="str">
        <v>STD_SALES</v>
      </c>
      <c r="C3" s="7">
        <v>-0.33671188069251234</v>
      </c>
      <c r="D3" s="7">
        <f t="shared" ref="D3:D12" si="0">EXP(C3)</f>
        <v>0.71411456045789101</v>
      </c>
      <c r="E3" s="8" t="str">
        <f>"The odds of bankruptcy "&amp;IF(D3&gt;1,"increases by ","decreases by ")&amp;TEXT(ABS(D3-1),"#,##0%")&amp;" for every one standard deviation increase in sales."</f>
        <v>The odds of bankruptcy decreases by 29% for every one standard deviation increase in sales.</v>
      </c>
    </row>
    <row r="4" spans="1:5" ht="27.6" x14ac:dyDescent="0.25">
      <c r="A4" s="5" t="str">
        <v>b2</v>
      </c>
      <c r="B4" s="6" t="str">
        <v>STD_ROCE</v>
      </c>
      <c r="C4" s="7">
        <v>-1.3359489460946563</v>
      </c>
      <c r="D4" s="7">
        <f t="shared" si="0"/>
        <v>0.26290857098247872</v>
      </c>
      <c r="E4" s="8" t="str">
        <f>"The odds of bankruptcy "&amp;IF(D4&gt;1,"increases by ","decreases by ")&amp;TEXT(ABS(D4-1),"#,##0%")&amp;" for every one standard deviation increase in profit before tax to capital employed."</f>
        <v>The odds of bankruptcy decreases by 74% for every one standard deviation increase in profit before tax to capital employed.</v>
      </c>
    </row>
    <row r="5" spans="1:5" ht="27.6" x14ac:dyDescent="0.25">
      <c r="A5" s="5" t="str">
        <v>b3</v>
      </c>
      <c r="B5" s="6" t="str">
        <v>STD_FFTL</v>
      </c>
      <c r="C5" s="7">
        <v>-1.5883239268917115</v>
      </c>
      <c r="D5" s="7">
        <f t="shared" si="0"/>
        <v>0.20426769256429078</v>
      </c>
      <c r="E5" s="8" t="str">
        <f>"The odds of bankruptcy "&amp;IF(D5&gt;1,"increases by ","decreases by ")&amp;TEXT(ABS(D5-1),"#,##0%")&amp;" for every one standard deviation increase in funds flow (earnings before interest, tax &amp; depreciation) to total liabilities."</f>
        <v>The odds of bankruptcy decreases by 80% for every one standard deviation increase in funds flow (earnings before interest, tax &amp; depreciation) to total liabilities.</v>
      </c>
    </row>
    <row r="6" spans="1:5" ht="27.6" x14ac:dyDescent="0.25">
      <c r="A6" s="5" t="str">
        <v>b4</v>
      </c>
      <c r="B6" s="6" t="str">
        <v>STD_GEAR</v>
      </c>
      <c r="C6" s="7">
        <v>2.7298836531726671</v>
      </c>
      <c r="D6" s="7">
        <f t="shared" si="0"/>
        <v>15.331103190922009</v>
      </c>
      <c r="E6" s="8" t="str">
        <f>"The odds of bankruptcy "&amp;IF(D6&gt;1,"increases by ","decreases by ")&amp;TEXT(ABS(D6-1),"#,##0%")&amp;" for every one standard deviation increase in (current liabilities + long-term debt) to total assets."</f>
        <v>The odds of bankruptcy increases by 1,433% for every one standard deviation increase in (current liabilities + long-term debt) to total assets.</v>
      </c>
    </row>
    <row r="7" spans="1:5" ht="27.6" x14ac:dyDescent="0.25">
      <c r="A7" s="5" t="str">
        <v>b5</v>
      </c>
      <c r="B7" s="6" t="str">
        <v>STD_CLTA</v>
      </c>
      <c r="C7" s="7">
        <v>-2.3729745188665885</v>
      </c>
      <c r="D7" s="7">
        <f t="shared" si="0"/>
        <v>9.3203079231983288E-2</v>
      </c>
      <c r="E7" s="8" t="str">
        <f>"The odds of bankruptcy "&amp;IF(D7&gt;1,"increases by ","decreases by ")&amp;TEXT(ABS(D7-1),"#,##0%")&amp;" for every one standard deviation increase in current liabilities to total assets."</f>
        <v>The odds of bankruptcy decreases by 91% for every one standard deviation increase in current liabilities to total assets.</v>
      </c>
    </row>
    <row r="8" spans="1:5" ht="27.6" x14ac:dyDescent="0.25">
      <c r="A8" s="5" t="str">
        <v>b6</v>
      </c>
      <c r="B8" s="6" t="str">
        <v>STD_CACL</v>
      </c>
      <c r="C8" s="7">
        <v>-2.6505855428257608</v>
      </c>
      <c r="D8" s="7">
        <f t="shared" si="0"/>
        <v>7.0609855858878731E-2</v>
      </c>
      <c r="E8" s="8" t="str">
        <f>"The odds of bankruptcy "&amp;IF(D8&gt;1,"increases by ","decreases by ")&amp;TEXT(ABS(D8-1),"#,##0%")&amp;" for every one standard deviation increase in current assets to current liabilities."</f>
        <v>The odds of bankruptcy decreases by 93% for every one standard deviation increase in current assets to current liabilities.</v>
      </c>
    </row>
    <row r="9" spans="1:5" ht="27.6" x14ac:dyDescent="0.25">
      <c r="A9" s="5" t="str">
        <v>b7</v>
      </c>
      <c r="B9" s="6" t="str">
        <v>STD_QACL</v>
      </c>
      <c r="C9" s="7">
        <v>-4.2538549958251357</v>
      </c>
      <c r="D9" s="7">
        <f t="shared" si="0"/>
        <v>1.420935120110382E-2</v>
      </c>
      <c r="E9" s="8" t="str">
        <f>"The odds of bankruptcy "&amp;IF(D9&gt;1,"increases by ","decreases by ")&amp;TEXT(ABS(D9-1),"#,##0%")&amp;" for every one standard deviation increase in (current assets - stock) to current liabilites."</f>
        <v>The odds of bankruptcy decreases by 99% for every one standard deviation increase in (current assets - stock) to current liabilites.</v>
      </c>
    </row>
    <row r="10" spans="1:5" ht="27.6" x14ac:dyDescent="0.25">
      <c r="A10" s="5" t="str">
        <v>b8</v>
      </c>
      <c r="B10" s="6" t="str">
        <v>STD_WCTA</v>
      </c>
      <c r="C10" s="7">
        <v>3.1432845406852801</v>
      </c>
      <c r="D10" s="7">
        <f t="shared" si="0"/>
        <v>23.179877210618994</v>
      </c>
      <c r="E10" s="8" t="str">
        <f>"The odds of bankruptcy "&amp;IF(D10&gt;1,"increases by ","decreases by ")&amp;TEXT(ABS(D10),"#,##0%")&amp;" for every one standard deviation increase in (current assets - current liabilities ) to total assets."</f>
        <v>The odds of bankruptcy increases by 2,318% for every one standard deviation increase in (current assets - current liabilities ) to total assets.</v>
      </c>
    </row>
    <row r="11" spans="1:5" ht="27.6" x14ac:dyDescent="0.25">
      <c r="A11" s="5" t="str">
        <v>b9</v>
      </c>
      <c r="B11" s="6" t="str">
        <v>STD_AGE</v>
      </c>
      <c r="C11" s="7">
        <v>-0.34199296351227793</v>
      </c>
      <c r="D11" s="7">
        <f t="shared" si="0"/>
        <v>0.7103532030831835</v>
      </c>
      <c r="E11" s="8" t="str">
        <f>"The odds of bankruptcy "&amp;IF(D11&gt;1,"increases by ","decreases by ")&amp;TEXT(ABS(D11-1),"#,##0%")&amp;" for every one standard deviation increase in number of years the company has been operating since incorporation date."</f>
        <v>The odds of bankruptcy decreases by 29% for every one standard deviation increase in number of years the company has been operating since incorporation date.</v>
      </c>
    </row>
    <row r="12" spans="1:5" ht="28.2" thickBot="1" x14ac:dyDescent="0.3">
      <c r="A12" s="9" t="str">
        <v>b10</v>
      </c>
      <c r="B12" s="10" t="str">
        <v>CHAUD</v>
      </c>
      <c r="C12" s="11">
        <v>2.5977482365818982</v>
      </c>
      <c r="D12" s="11">
        <f t="shared" si="0"/>
        <v>13.433454990145558</v>
      </c>
      <c r="E12" s="12" t="str">
        <f>"The odds of bankruptcy "&amp;IF(D12&gt;1,"increases by ","decreases by ")&amp;TEXT(ABS(D12-1),"#,##0%")&amp;" if the company changed auditor in the previous 3 years."</f>
        <v>The odds of bankruptcy increases by 1,243% if the company changed auditor in the previous 3 years.</v>
      </c>
    </row>
    <row r="13" spans="1:5" ht="14.4" thickTop="1" x14ac:dyDescent="0.25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W25"/>
  <sheetViews>
    <sheetView workbookViewId="0">
      <pane xSplit="1" ySplit="1" topLeftCell="B2" activePane="bottomRight" state="frozen"/>
      <selection activeCell="O8" sqref="O8"/>
      <selection pane="topRight" activeCell="O8" sqref="O8"/>
      <selection pane="bottomLeft" activeCell="O8" sqref="O8"/>
      <selection pane="bottomRight" activeCell="E28" sqref="E28"/>
    </sheetView>
  </sheetViews>
  <sheetFormatPr defaultRowHeight="14.4" x14ac:dyDescent="0.3"/>
  <cols>
    <col min="11" max="11" width="9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71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</row>
    <row r="2" spans="1:23" x14ac:dyDescent="0.3">
      <c r="A2" t="s">
        <v>20</v>
      </c>
      <c r="B2">
        <v>16737</v>
      </c>
      <c r="C2">
        <v>17.994900000000001</v>
      </c>
      <c r="D2">
        <v>0.43880000000000002</v>
      </c>
      <c r="E2">
        <v>0.52359999999999995</v>
      </c>
      <c r="F2">
        <v>0.43469999999999998</v>
      </c>
      <c r="G2">
        <v>1.1748000000000001</v>
      </c>
      <c r="H2">
        <v>0.97950000000000004</v>
      </c>
      <c r="I2">
        <v>7.5999999999999998E-2</v>
      </c>
      <c r="J2">
        <v>26</v>
      </c>
      <c r="K2">
        <v>0</v>
      </c>
      <c r="L2">
        <v>1</v>
      </c>
      <c r="M2">
        <v>0</v>
      </c>
      <c r="N2" t="s">
        <v>73</v>
      </c>
      <c r="O2">
        <f>STANDARDIZE(Table13[[#This Row],[SALES]],AVERAGE(Table14[SALES]),STDEV(Table14[SALES]))</f>
        <v>-4.3411852032663317E-2</v>
      </c>
      <c r="P2">
        <f>STANDARDIZE(Table13[[#This Row],[ROCE]],AVERAGE(Table14[ROCE]),STDEV(Table14[ROCE]))</f>
        <v>1.2671100984052515</v>
      </c>
      <c r="Q2">
        <f>STANDARDIZE(Table13[[#This Row],[FFTL]],AVERAGE(Table14[FFTL]),STDEV(Table14[FFTL]))</f>
        <v>1.4145682501567132</v>
      </c>
      <c r="R2">
        <f>STANDARDIZE(Table13[[#This Row],[GEAR]],AVERAGE(Table14[GEAR]),STDEV(Table14[GEAR]))</f>
        <v>-0.79338539743538294</v>
      </c>
      <c r="S2">
        <f>STANDARDIZE(Table13[[#This Row],[CLTA]],AVERAGE(Table14[CLTA]),STDEV(Table14[CLTA]))</f>
        <v>-0.60997303784572621</v>
      </c>
      <c r="T2">
        <f>STANDARDIZE(Table13[[#This Row],[CACL]],AVERAGE(Table14[CACL]),STDEV(Table14[CACL]))</f>
        <v>-0.19689407894396352</v>
      </c>
      <c r="U2">
        <f>STANDARDIZE(Table13[[#This Row],[QACL]],AVERAGE(Table14[QACL]),STDEV(Table14[QACL]))</f>
        <v>0.33461499728861815</v>
      </c>
      <c r="V2">
        <f>STANDARDIZE(Table13[[#This Row],[WCTA]],AVERAGE(Table14[WCTA]),STDEV(Table14[WCTA]))</f>
        <v>1.5740370759879829E-2</v>
      </c>
      <c r="W2">
        <f>STANDARDIZE(Table13[[#This Row],[AGE]],AVERAGE(Table14[AGE]),STDEV(Table14[AGE]))</f>
        <v>-0.11539721015458113</v>
      </c>
    </row>
    <row r="3" spans="1:23" x14ac:dyDescent="0.3">
      <c r="A3" t="s">
        <v>21</v>
      </c>
      <c r="B3">
        <v>4168</v>
      </c>
      <c r="C3">
        <v>-6.7091000000000003</v>
      </c>
      <c r="D3">
        <v>4.2599999999999999E-2</v>
      </c>
      <c r="E3">
        <v>0.78600000000000003</v>
      </c>
      <c r="F3">
        <v>0.67149999999999999</v>
      </c>
      <c r="G3">
        <v>1.2963</v>
      </c>
      <c r="H3">
        <v>0.62880000000000003</v>
      </c>
      <c r="I3">
        <v>0.19900000000000001</v>
      </c>
      <c r="J3">
        <v>57</v>
      </c>
      <c r="K3">
        <v>0</v>
      </c>
      <c r="L3">
        <v>0</v>
      </c>
      <c r="M3">
        <v>0</v>
      </c>
      <c r="N3" t="s">
        <v>73</v>
      </c>
      <c r="O3">
        <f>STANDARDIZE(Table13[[#This Row],[SALES]],AVERAGE(Table14[SALES]),STDEV(Table14[SALES]))</f>
        <v>-0.55575323062284665</v>
      </c>
      <c r="P3">
        <f>STANDARDIZE(Table13[[#This Row],[ROCE]],AVERAGE(Table14[ROCE]),STDEV(Table14[ROCE]))</f>
        <v>-0.94991190141792148</v>
      </c>
      <c r="Q3">
        <f>STANDARDIZE(Table13[[#This Row],[FFTL]],AVERAGE(Table14[FFTL]),STDEV(Table14[FFTL]))</f>
        <v>-0.68663212742478064</v>
      </c>
      <c r="R3">
        <f>STANDARDIZE(Table13[[#This Row],[GEAR]],AVERAGE(Table14[GEAR]),STDEV(Table14[GEAR]))</f>
        <v>0.28400922062901945</v>
      </c>
      <c r="S3">
        <f>STANDARDIZE(Table13[[#This Row],[CLTA]],AVERAGE(Table14[CLTA]),STDEV(Table14[CLTA]))</f>
        <v>0.29853201659846329</v>
      </c>
      <c r="T3">
        <f>STANDARDIZE(Table13[[#This Row],[CACL]],AVERAGE(Table14[CACL]),STDEV(Table14[CACL]))</f>
        <v>7.6039527350293359E-2</v>
      </c>
      <c r="U3">
        <f>STANDARDIZE(Table13[[#This Row],[QACL]],AVERAGE(Table14[QACL]),STDEV(Table14[QACL]))</f>
        <v>-0.62173263086814945</v>
      </c>
      <c r="V3">
        <f>STANDARDIZE(Table13[[#This Row],[WCTA]],AVERAGE(Table14[WCTA]),STDEV(Table14[WCTA]))</f>
        <v>0.52641710092138161</v>
      </c>
      <c r="W3">
        <f>STANDARDIZE(Table13[[#This Row],[AGE]],AVERAGE(Table14[AGE]),STDEV(Table14[AGE]))</f>
        <v>1.5282333236687775</v>
      </c>
    </row>
    <row r="4" spans="1:23" x14ac:dyDescent="0.3">
      <c r="A4" t="s">
        <v>22</v>
      </c>
      <c r="B4">
        <v>38917</v>
      </c>
      <c r="C4">
        <v>11.1326</v>
      </c>
      <c r="D4">
        <v>0.1898</v>
      </c>
      <c r="E4">
        <v>0.40189999999999998</v>
      </c>
      <c r="F4">
        <v>0.1401</v>
      </c>
      <c r="G4">
        <v>1.1728000000000001</v>
      </c>
      <c r="H4">
        <v>1.0867</v>
      </c>
      <c r="I4">
        <v>2.4199999999999999E-2</v>
      </c>
      <c r="J4">
        <v>14</v>
      </c>
      <c r="K4">
        <v>1</v>
      </c>
      <c r="L4">
        <v>1</v>
      </c>
      <c r="M4">
        <v>0</v>
      </c>
      <c r="N4" t="s">
        <v>73</v>
      </c>
      <c r="O4">
        <f>STANDARDIZE(Table13[[#This Row],[SALES]],AVERAGE(Table14[SALES]),STDEV(Table14[SALES]))</f>
        <v>0.86069601471332013</v>
      </c>
      <c r="P4">
        <f>STANDARDIZE(Table13[[#This Row],[ROCE]],AVERAGE(Table14[ROCE]),STDEV(Table14[ROCE]))</f>
        <v>0.65126367396440943</v>
      </c>
      <c r="Q4">
        <f>STANDARDIZE(Table13[[#This Row],[FFTL]],AVERAGE(Table14[FFTL]),STDEV(Table14[FFTL]))</f>
        <v>9.4025862428818219E-2</v>
      </c>
      <c r="R4">
        <f>STANDARDIZE(Table13[[#This Row],[GEAR]],AVERAGE(Table14[GEAR]),STDEV(Table14[GEAR]))</f>
        <v>-1.2930764226580875</v>
      </c>
      <c r="S4">
        <f>STANDARDIZE(Table13[[#This Row],[CLTA]],AVERAGE(Table14[CLTA]),STDEV(Table14[CLTA]))</f>
        <v>-1.7402331266939448</v>
      </c>
      <c r="T4">
        <f>STANDARDIZE(Table13[[#This Row],[CACL]],AVERAGE(Table14[CACL]),STDEV(Table14[CACL]))</f>
        <v>-0.2013868132039513</v>
      </c>
      <c r="U4">
        <f>STANDARDIZE(Table13[[#This Row],[QACL]],AVERAGE(Table14[QACL]),STDEV(Table14[QACL]))</f>
        <v>0.62694595177508938</v>
      </c>
      <c r="V4">
        <f>STANDARDIZE(Table13[[#This Row],[WCTA]],AVERAGE(Table14[WCTA]),STDEV(Table14[WCTA]))</f>
        <v>-0.19932511397480135</v>
      </c>
      <c r="W4">
        <f>STANDARDIZE(Table13[[#This Row],[AGE]],AVERAGE(Table14[AGE]),STDEV(Table14[AGE]))</f>
        <v>-0.75164128776362316</v>
      </c>
    </row>
    <row r="5" spans="1:23" x14ac:dyDescent="0.3">
      <c r="A5" t="s">
        <v>26</v>
      </c>
      <c r="B5">
        <v>11362</v>
      </c>
      <c r="C5">
        <v>-37.35</v>
      </c>
      <c r="D5">
        <v>-8.14E-2</v>
      </c>
      <c r="E5">
        <v>3.5335999999999999</v>
      </c>
      <c r="F5">
        <v>0.63009999999999999</v>
      </c>
      <c r="G5">
        <v>1.1943999999999999</v>
      </c>
      <c r="H5">
        <v>1.1639999999999999</v>
      </c>
      <c r="I5">
        <v>0.1225</v>
      </c>
      <c r="J5">
        <v>22</v>
      </c>
      <c r="K5">
        <v>0</v>
      </c>
      <c r="L5">
        <v>1</v>
      </c>
      <c r="M5">
        <v>0</v>
      </c>
      <c r="N5" t="s">
        <v>73</v>
      </c>
      <c r="O5">
        <f>STANDARDIZE(Table13[[#This Row],[SALES]],AVERAGE(Table14[SALES]),STDEV(Table14[SALES]))</f>
        <v>-0.2625092273148843</v>
      </c>
      <c r="P5">
        <f>STANDARDIZE(Table13[[#This Row],[ROCE]],AVERAGE(Table14[ROCE]),STDEV(Table14[ROCE]))</f>
        <v>-3.6997317441309177</v>
      </c>
      <c r="Q5">
        <f>STANDARDIZE(Table13[[#This Row],[FFTL]],AVERAGE(Table14[FFTL]),STDEV(Table14[FFTL]))</f>
        <v>-1.3442516297471059</v>
      </c>
      <c r="R5">
        <f>STANDARDIZE(Table13[[#This Row],[GEAR]],AVERAGE(Table14[GEAR]),STDEV(Table14[GEAR]))</f>
        <v>11.565447683257643</v>
      </c>
      <c r="S5">
        <f>STANDARDIZE(Table13[[#This Row],[CLTA]],AVERAGE(Table14[CLTA]),STDEV(Table14[CLTA]))</f>
        <v>0.13969709576235928</v>
      </c>
      <c r="T5">
        <f>STANDARDIZE(Table13[[#This Row],[CACL]],AVERAGE(Table14[CACL]),STDEV(Table14[CACL]))</f>
        <v>-0.15286528319608375</v>
      </c>
      <c r="U5">
        <f>STANDARDIZE(Table13[[#This Row],[QACL]],AVERAGE(Table14[QACL]),STDEV(Table14[QACL]))</f>
        <v>0.83774056727699431</v>
      </c>
      <c r="V5">
        <f>STANDARDIZE(Table13[[#This Row],[WCTA]],AVERAGE(Table14[WCTA]),STDEV(Table14[WCTA]))</f>
        <v>0.20880108582093534</v>
      </c>
      <c r="W5">
        <f>STANDARDIZE(Table13[[#This Row],[AGE]],AVERAGE(Table14[AGE]),STDEV(Table14[AGE]))</f>
        <v>-0.32747856935759512</v>
      </c>
    </row>
    <row r="6" spans="1:23" x14ac:dyDescent="0.3">
      <c r="A6" t="s">
        <v>28</v>
      </c>
      <c r="B6">
        <v>47679</v>
      </c>
      <c r="C6">
        <v>10.0875</v>
      </c>
      <c r="D6">
        <v>0.2596</v>
      </c>
      <c r="E6">
        <v>0.81699999999999995</v>
      </c>
      <c r="F6">
        <v>0.39989999999999998</v>
      </c>
      <c r="G6">
        <v>1.6963999999999999</v>
      </c>
      <c r="H6">
        <v>1.2495000000000001</v>
      </c>
      <c r="I6">
        <v>0.27850000000000003</v>
      </c>
      <c r="J6">
        <v>3</v>
      </c>
      <c r="K6">
        <v>0</v>
      </c>
      <c r="L6">
        <v>1</v>
      </c>
      <c r="M6">
        <v>0</v>
      </c>
      <c r="N6" t="s">
        <v>73</v>
      </c>
      <c r="O6">
        <f>STANDARDIZE(Table13[[#This Row],[SALES]],AVERAGE(Table14[SALES]),STDEV(Table14[SALES]))</f>
        <v>1.217855308150124</v>
      </c>
      <c r="P6">
        <f>STANDARDIZE(Table13[[#This Row],[ROCE]],AVERAGE(Table14[ROCE]),STDEV(Table14[ROCE]))</f>
        <v>0.55747280236405328</v>
      </c>
      <c r="Q6">
        <f>STANDARDIZE(Table13[[#This Row],[FFTL]],AVERAGE(Table14[FFTL]),STDEV(Table14[FFTL]))</f>
        <v>0.46420200163928832</v>
      </c>
      <c r="R6">
        <f>STANDARDIZE(Table13[[#This Row],[GEAR]],AVERAGE(Table14[GEAR]),STDEV(Table14[GEAR]))</f>
        <v>0.41129288358632271</v>
      </c>
      <c r="S6">
        <f>STANDARDIZE(Table13[[#This Row],[CLTA]],AVERAGE(Table14[CLTA]),STDEV(Table14[CLTA]))</f>
        <v>-0.743486449563031</v>
      </c>
      <c r="T6">
        <f>STANDARDIZE(Table13[[#This Row],[CACL]],AVERAGE(Table14[CACL]),STDEV(Table14[CACL]))</f>
        <v>0.97481101606084652</v>
      </c>
      <c r="U6">
        <f>STANDARDIZE(Table13[[#This Row],[QACL]],AVERAGE(Table14[QACL]),STDEV(Table14[QACL]))</f>
        <v>1.0708963192228276</v>
      </c>
      <c r="V6">
        <f>STANDARDIZE(Table13[[#This Row],[WCTA]],AVERAGE(Table14[WCTA]),STDEV(Table14[WCTA]))</f>
        <v>0.8564886460257668</v>
      </c>
      <c r="W6">
        <f>STANDARDIZE(Table13[[#This Row],[AGE]],AVERAGE(Table14[AGE]),STDEV(Table14[AGE]))</f>
        <v>-1.3348650255719117</v>
      </c>
    </row>
    <row r="7" spans="1:23" x14ac:dyDescent="0.3">
      <c r="A7" t="s">
        <v>29</v>
      </c>
      <c r="B7">
        <v>22461</v>
      </c>
      <c r="C7">
        <v>2.637</v>
      </c>
      <c r="D7">
        <v>0.16719999999999999</v>
      </c>
      <c r="E7">
        <v>0.1212</v>
      </c>
      <c r="F7">
        <v>0.1212</v>
      </c>
      <c r="G7">
        <v>4.4465000000000003</v>
      </c>
      <c r="H7">
        <v>3.3635000000000002</v>
      </c>
      <c r="I7">
        <v>0.41760000000000003</v>
      </c>
      <c r="J7">
        <v>90</v>
      </c>
      <c r="K7">
        <v>0</v>
      </c>
      <c r="L7">
        <v>0</v>
      </c>
      <c r="M7">
        <v>0</v>
      </c>
      <c r="N7" t="s">
        <v>73</v>
      </c>
      <c r="O7">
        <f>STANDARDIZE(Table13[[#This Row],[SALES]],AVERAGE(Table14[SALES]),STDEV(Table14[SALES]))</f>
        <v>0.18991156677951024</v>
      </c>
      <c r="P7">
        <f>STANDARDIZE(Table13[[#This Row],[ROCE]],AVERAGE(Table14[ROCE]),STDEV(Table14[ROCE]))</f>
        <v>-0.11116071486726752</v>
      </c>
      <c r="Q7">
        <f>STANDARDIZE(Table13[[#This Row],[FFTL]],AVERAGE(Table14[FFTL]),STDEV(Table14[FFTL]))</f>
        <v>-2.5830595252508835E-2</v>
      </c>
      <c r="R7">
        <f>STANDARDIZE(Table13[[#This Row],[GEAR]],AVERAGE(Table14[GEAR]),STDEV(Table14[GEAR]))</f>
        <v>-2.4456094611134138</v>
      </c>
      <c r="S7">
        <f>STANDARDIZE(Table13[[#This Row],[CLTA]],AVERAGE(Table14[CLTA]),STDEV(Table14[CLTA]))</f>
        <v>-1.8127447209886882</v>
      </c>
      <c r="T7">
        <f>STANDARDIZE(Table13[[#This Row],[CACL]],AVERAGE(Table14[CACL]),STDEV(Table14[CACL]))</f>
        <v>7.1525452602570301</v>
      </c>
      <c r="U7">
        <f>STANDARDIZE(Table13[[#This Row],[QACL]],AVERAGE(Table14[QACL]),STDEV(Table14[QACL]))</f>
        <v>6.8357063731817869</v>
      </c>
      <c r="V7">
        <f>STANDARDIZE(Table13[[#This Row],[WCTA]],AVERAGE(Table14[WCTA]),STDEV(Table14[WCTA]))</f>
        <v>1.4340100538750749</v>
      </c>
      <c r="W7">
        <f>STANDARDIZE(Table13[[#This Row],[AGE]],AVERAGE(Table14[AGE]),STDEV(Table14[AGE]))</f>
        <v>3.2779045370936433</v>
      </c>
    </row>
    <row r="8" spans="1:23" x14ac:dyDescent="0.3">
      <c r="A8" t="s">
        <v>32</v>
      </c>
      <c r="B8">
        <v>3518</v>
      </c>
      <c r="C8">
        <v>-2.9022000000000001</v>
      </c>
      <c r="D8">
        <v>2.4899999999999999E-2</v>
      </c>
      <c r="E8">
        <v>0.74890000000000001</v>
      </c>
      <c r="F8">
        <v>0.40600000000000003</v>
      </c>
      <c r="G8">
        <v>1.2253000000000001</v>
      </c>
      <c r="H8">
        <v>0.92069999999999996</v>
      </c>
      <c r="I8">
        <v>9.1499999999999998E-2</v>
      </c>
      <c r="J8">
        <v>36</v>
      </c>
      <c r="K8">
        <v>1</v>
      </c>
      <c r="L8">
        <v>1</v>
      </c>
      <c r="M8">
        <v>0</v>
      </c>
      <c r="N8" t="s">
        <v>73</v>
      </c>
      <c r="O8">
        <f>STANDARDIZE(Table13[[#This Row],[SALES]],AVERAGE(Table14[SALES]),STDEV(Table14[SALES]))</f>
        <v>-0.58224872716860365</v>
      </c>
      <c r="P8">
        <f>STANDARDIZE(Table13[[#This Row],[ROCE]],AVERAGE(Table14[ROCE]),STDEV(Table14[ROCE]))</f>
        <v>-0.60826759073435466</v>
      </c>
      <c r="Q8">
        <f>STANDARDIZE(Table13[[#This Row],[FFTL]],AVERAGE(Table14[FFTL]),STDEV(Table14[FFTL]))</f>
        <v>-0.78050200799820924</v>
      </c>
      <c r="R8">
        <f>STANDARDIZE(Table13[[#This Row],[GEAR]],AVERAGE(Table14[GEAR]),STDEV(Table14[GEAR]))</f>
        <v>0.13167941754140763</v>
      </c>
      <c r="S8">
        <f>STANDARDIZE(Table13[[#This Row],[CLTA]],AVERAGE(Table14[CLTA]),STDEV(Table14[CLTA]))</f>
        <v>-0.72008323658959528</v>
      </c>
      <c r="T8">
        <f>STANDARDIZE(Table13[[#This Row],[CACL]],AVERAGE(Table14[CACL]),STDEV(Table14[CACL]))</f>
        <v>-8.3452538879272356E-2</v>
      </c>
      <c r="U8">
        <f>STANDARDIZE(Table13[[#This Row],[QACL]],AVERAGE(Table14[QACL]),STDEV(Table14[QACL]))</f>
        <v>0.17426928717850121</v>
      </c>
      <c r="V8">
        <f>STANDARDIZE(Table13[[#This Row],[WCTA]],AVERAGE(Table14[WCTA]),STDEV(Table14[WCTA]))</f>
        <v>8.0093942446898339E-2</v>
      </c>
      <c r="W8">
        <f>STANDARDIZE(Table13[[#This Row],[AGE]],AVERAGE(Table14[AGE]),STDEV(Table14[AGE]))</f>
        <v>0.41480618785295392</v>
      </c>
    </row>
    <row r="9" spans="1:23" x14ac:dyDescent="0.3">
      <c r="A9" t="s">
        <v>38</v>
      </c>
      <c r="B9">
        <v>6336</v>
      </c>
      <c r="C9">
        <v>4.4825999999999997</v>
      </c>
      <c r="D9">
        <v>0.1305</v>
      </c>
      <c r="E9">
        <v>0.73550000000000004</v>
      </c>
      <c r="F9">
        <v>0.61980000000000002</v>
      </c>
      <c r="G9">
        <v>1.0992999999999999</v>
      </c>
      <c r="H9">
        <v>0.47210000000000002</v>
      </c>
      <c r="I9">
        <v>6.1600000000000002E-2</v>
      </c>
      <c r="J9">
        <v>16</v>
      </c>
      <c r="K9">
        <v>0</v>
      </c>
      <c r="L9">
        <v>1</v>
      </c>
      <c r="M9">
        <v>0</v>
      </c>
      <c r="N9" t="s">
        <v>73</v>
      </c>
      <c r="O9">
        <f>STANDARDIZE(Table13[[#This Row],[SALES]],AVERAGE(Table14[SALES]),STDEV(Table14[SALES]))</f>
        <v>-0.4673805590671527</v>
      </c>
      <c r="P9">
        <f>STANDARDIZE(Table13[[#This Row],[ROCE]],AVERAGE(Table14[ROCE]),STDEV(Table14[ROCE]))</f>
        <v>5.446978233454787E-2</v>
      </c>
      <c r="Q9">
        <f>STANDARDIZE(Table13[[#This Row],[FFTL]],AVERAGE(Table14[FFTL]),STDEV(Table14[FFTL]))</f>
        <v>-0.22046475440758401</v>
      </c>
      <c r="R9">
        <f>STANDARDIZE(Table13[[#This Row],[GEAR]],AVERAGE(Table14[GEAR]),STDEV(Table14[GEAR]))</f>
        <v>7.6660027746960402E-2</v>
      </c>
      <c r="S9">
        <f>STANDARDIZE(Table13[[#This Row],[CLTA]],AVERAGE(Table14[CLTA]),STDEV(Table14[CLTA]))</f>
        <v>0.1001801951678697</v>
      </c>
      <c r="T9">
        <f>STANDARDIZE(Table13[[#This Row],[CACL]],AVERAGE(Table14[CACL]),STDEV(Table14[CACL]))</f>
        <v>-0.36649479725850209</v>
      </c>
      <c r="U9">
        <f>STANDARDIZE(Table13[[#This Row],[QACL]],AVERAGE(Table14[QACL]),STDEV(Table14[QACL]))</f>
        <v>-1.0490484943758926</v>
      </c>
      <c r="V9">
        <f>STANDARDIZE(Table13[[#This Row],[WCTA]],AVERAGE(Table14[WCTA]),STDEV(Table14[WCTA]))</f>
        <v>-4.4046173259027668E-2</v>
      </c>
      <c r="W9">
        <f>STANDARDIZE(Table13[[#This Row],[AGE]],AVERAGE(Table14[AGE]),STDEV(Table14[AGE]))</f>
        <v>-0.64560060816211617</v>
      </c>
    </row>
    <row r="10" spans="1:23" x14ac:dyDescent="0.3">
      <c r="A10" t="s">
        <v>40</v>
      </c>
      <c r="B10">
        <v>3514</v>
      </c>
      <c r="C10">
        <v>-16.803000000000001</v>
      </c>
      <c r="D10">
        <v>-0.10639999999999999</v>
      </c>
      <c r="E10">
        <v>1.1831</v>
      </c>
      <c r="F10">
        <v>1.1831</v>
      </c>
      <c r="G10">
        <v>0.7944</v>
      </c>
      <c r="H10">
        <v>0.64910000000000001</v>
      </c>
      <c r="I10">
        <v>-0.2432</v>
      </c>
      <c r="J10">
        <v>6</v>
      </c>
      <c r="K10">
        <v>0</v>
      </c>
      <c r="L10">
        <v>1</v>
      </c>
      <c r="M10">
        <v>0</v>
      </c>
      <c r="N10" t="s">
        <v>73</v>
      </c>
      <c r="O10">
        <f>STANDARDIZE(Table13[[#This Row],[SALES]],AVERAGE(Table14[SALES]),STDEV(Table14[SALES]))</f>
        <v>-0.58241177637811592</v>
      </c>
      <c r="P10">
        <f>STANDARDIZE(Table13[[#This Row],[ROCE]],AVERAGE(Table14[ROCE]),STDEV(Table14[ROCE]))</f>
        <v>-1.855773234158171</v>
      </c>
      <c r="Q10">
        <f>STANDARDIZE(Table13[[#This Row],[FFTL]],AVERAGE(Table14[FFTL]),STDEV(Table14[FFTL]))</f>
        <v>-1.4768362068282199</v>
      </c>
      <c r="R10">
        <f>STANDARDIZE(Table13[[#This Row],[GEAR]],AVERAGE(Table14[GEAR]),STDEV(Table14[GEAR]))</f>
        <v>1.9144718838659633</v>
      </c>
      <c r="S10">
        <f>STANDARDIZE(Table13[[#This Row],[CLTA]],AVERAGE(Table14[CLTA]),STDEV(Table14[CLTA]))</f>
        <v>2.261332632534474</v>
      </c>
      <c r="T10">
        <f>STANDARDIZE(Table13[[#This Row],[CACL]],AVERAGE(Table14[CACL]),STDEV(Table14[CACL]))</f>
        <v>-1.0514121351936374</v>
      </c>
      <c r="U10">
        <f>STANDARDIZE(Table13[[#This Row],[QACL]],AVERAGE(Table14[QACL]),STDEV(Table14[QACL]))</f>
        <v>-0.56637518333013304</v>
      </c>
      <c r="V10">
        <f>STANDARDIZE(Table13[[#This Row],[WCTA]],AVERAGE(Table14[WCTA]),STDEV(Table14[WCTA]))</f>
        <v>-1.3095280216592369</v>
      </c>
      <c r="W10">
        <f>STANDARDIZE(Table13[[#This Row],[AGE]],AVERAGE(Table14[AGE]),STDEV(Table14[AGE]))</f>
        <v>-1.1758040061696513</v>
      </c>
    </row>
    <row r="11" spans="1:23" x14ac:dyDescent="0.3">
      <c r="A11" t="s">
        <v>41</v>
      </c>
      <c r="B11">
        <v>7864</v>
      </c>
      <c r="C11">
        <v>1.7552000000000001</v>
      </c>
      <c r="D11">
        <v>0.12379999999999999</v>
      </c>
      <c r="E11">
        <v>0.75690000000000002</v>
      </c>
      <c r="F11">
        <v>0.69650000000000001</v>
      </c>
      <c r="G11">
        <v>0.50439999999999996</v>
      </c>
      <c r="H11">
        <v>0.44140000000000001</v>
      </c>
      <c r="I11">
        <v>-0.34520000000000001</v>
      </c>
      <c r="J11">
        <v>24</v>
      </c>
      <c r="K11">
        <v>0</v>
      </c>
      <c r="L11">
        <v>0</v>
      </c>
      <c r="M11">
        <v>0</v>
      </c>
      <c r="N11" t="s">
        <v>73</v>
      </c>
      <c r="O11">
        <f>STANDARDIZE(Table13[[#This Row],[SALES]],AVERAGE(Table14[SALES]),STDEV(Table14[SALES]))</f>
        <v>-0.40509576103343481</v>
      </c>
      <c r="P11">
        <f>STANDARDIZE(Table13[[#This Row],[ROCE]],AVERAGE(Table14[ROCE]),STDEV(Table14[ROCE]))</f>
        <v>-0.19029648233181068</v>
      </c>
      <c r="Q11">
        <f>STANDARDIZE(Table13[[#This Row],[FFTL]],AVERAGE(Table14[FFTL]),STDEV(Table14[FFTL]))</f>
        <v>-0.25599742106532258</v>
      </c>
      <c r="R11">
        <f>STANDARDIZE(Table13[[#This Row],[GEAR]],AVERAGE(Table14[GEAR]),STDEV(Table14[GEAR]))</f>
        <v>0.16452681443361503</v>
      </c>
      <c r="S11">
        <f>STANDARDIZE(Table13[[#This Row],[CLTA]],AVERAGE(Table14[CLTA]),STDEV(Table14[CLTA]))</f>
        <v>0.3944468238666422</v>
      </c>
      <c r="T11">
        <f>STANDARDIZE(Table13[[#This Row],[CACL]],AVERAGE(Table14[CACL]),STDEV(Table14[CACL]))</f>
        <v>-1.7028586028918642</v>
      </c>
      <c r="U11">
        <f>STANDARDIZE(Table13[[#This Row],[QACL]],AVERAGE(Table14[QACL]),STDEV(Table14[QACL]))</f>
        <v>-1.1327664076476711</v>
      </c>
      <c r="V11">
        <f>STANDARDIZE(Table13[[#This Row],[WCTA]],AVERAGE(Table14[WCTA]),STDEV(Table14[WCTA]))</f>
        <v>-1.733016041793165</v>
      </c>
      <c r="W11">
        <f>STANDARDIZE(Table13[[#This Row],[AGE]],AVERAGE(Table14[AGE]),STDEV(Table14[AGE]))</f>
        <v>-0.22143788975608814</v>
      </c>
    </row>
    <row r="12" spans="1:23" x14ac:dyDescent="0.3">
      <c r="A12" t="s">
        <v>42</v>
      </c>
      <c r="B12">
        <v>37415</v>
      </c>
      <c r="C12">
        <v>-8.3371999999999993</v>
      </c>
      <c r="D12">
        <v>-2.5999999999999999E-2</v>
      </c>
      <c r="E12">
        <v>0.7883</v>
      </c>
      <c r="F12">
        <v>0.7883</v>
      </c>
      <c r="G12">
        <v>0.79759999999999998</v>
      </c>
      <c r="H12">
        <v>0.56310000000000004</v>
      </c>
      <c r="I12">
        <v>-0.15959999999999999</v>
      </c>
      <c r="J12">
        <v>40</v>
      </c>
      <c r="K12">
        <v>0</v>
      </c>
      <c r="L12">
        <v>1</v>
      </c>
      <c r="M12">
        <v>0</v>
      </c>
      <c r="N12" t="s">
        <v>73</v>
      </c>
      <c r="O12">
        <f>STANDARDIZE(Table13[[#This Row],[SALES]],AVERAGE(Table14[SALES]),STDEV(Table14[SALES]))</f>
        <v>0.79947103654143259</v>
      </c>
      <c r="P12">
        <f>STANDARDIZE(Table13[[#This Row],[ROCE]],AVERAGE(Table14[ROCE]),STDEV(Table14[ROCE]))</f>
        <v>-1.0960231999085346</v>
      </c>
      <c r="Q12">
        <f>STANDARDIZE(Table13[[#This Row],[FFTL]],AVERAGE(Table14[FFTL]),STDEV(Table14[FFTL]))</f>
        <v>-1.0504442069353572</v>
      </c>
      <c r="R12">
        <f>STANDARDIZE(Table13[[#This Row],[GEAR]],AVERAGE(Table14[GEAR]),STDEV(Table14[GEAR]))</f>
        <v>0.29345284723552895</v>
      </c>
      <c r="S12">
        <f>STANDARDIZE(Table13[[#This Row],[CLTA]],AVERAGE(Table14[CLTA]),STDEV(Table14[CLTA]))</f>
        <v>0.74664599615539462</v>
      </c>
      <c r="T12">
        <f>STANDARDIZE(Table13[[#This Row],[CACL]],AVERAGE(Table14[CACL]),STDEV(Table14[CACL]))</f>
        <v>-1.0442237603776572</v>
      </c>
      <c r="U12">
        <f>STANDARDIZE(Table13[[#This Row],[QACL]],AVERAGE(Table14[QACL]),STDEV(Table14[QACL]))</f>
        <v>-0.80089441920547377</v>
      </c>
      <c r="V12">
        <f>STANDARDIZE(Table13[[#This Row],[WCTA]],AVERAGE(Table14[WCTA]),STDEV(Table14[WCTA]))</f>
        <v>-0.96243391888280139</v>
      </c>
      <c r="W12">
        <f>STANDARDIZE(Table13[[#This Row],[AGE]],AVERAGE(Table14[AGE]),STDEV(Table14[AGE]))</f>
        <v>0.62688754705596794</v>
      </c>
    </row>
    <row r="13" spans="1:23" x14ac:dyDescent="0.3">
      <c r="A13" t="s">
        <v>45</v>
      </c>
      <c r="B13">
        <v>8604</v>
      </c>
      <c r="C13">
        <v>-16.667000000000002</v>
      </c>
      <c r="D13">
        <v>-3.6299999999999999E-2</v>
      </c>
      <c r="E13">
        <v>1.0139</v>
      </c>
      <c r="F13">
        <v>1.0139</v>
      </c>
      <c r="G13">
        <v>0.74850000000000005</v>
      </c>
      <c r="H13">
        <v>0.52649999999999997</v>
      </c>
      <c r="I13">
        <v>-0.255</v>
      </c>
      <c r="J13">
        <v>90</v>
      </c>
      <c r="K13">
        <v>0</v>
      </c>
      <c r="L13">
        <v>0</v>
      </c>
      <c r="M13">
        <v>1</v>
      </c>
      <c r="N13" t="s">
        <v>73</v>
      </c>
      <c r="O13">
        <f>STANDARDIZE(Table13[[#This Row],[SALES]],AVERAGE(Table14[SALES]),STDEV(Table14[SALES]))</f>
        <v>-0.37493165727364997</v>
      </c>
      <c r="P13">
        <f>STANDARDIZE(Table13[[#This Row],[ROCE]],AVERAGE(Table14[ROCE]),STDEV(Table14[ROCE]))</f>
        <v>-1.8435681259985228</v>
      </c>
      <c r="Q13">
        <f>STANDARDIZE(Table13[[#This Row],[FFTL]],AVERAGE(Table14[FFTL]),STDEV(Table14[FFTL]))</f>
        <v>-1.1050690526927762</v>
      </c>
      <c r="R13">
        <f>STANDARDIZE(Table13[[#This Row],[GEAR]],AVERAGE(Table14[GEAR]),STDEV(Table14[GEAR]))</f>
        <v>1.2197494395957771</v>
      </c>
      <c r="S13">
        <f>STANDARDIZE(Table13[[#This Row],[CLTA]],AVERAGE(Table14[CLTA]),STDEV(Table14[CLTA]))</f>
        <v>1.6121812169434402</v>
      </c>
      <c r="T13">
        <f>STANDARDIZE(Table13[[#This Row],[CACL]],AVERAGE(Table14[CACL]),STDEV(Table14[CACL]))</f>
        <v>-1.1545203864603566</v>
      </c>
      <c r="U13">
        <f>STANDARDIZE(Table13[[#This Row],[QACL]],AVERAGE(Table14[QACL]),STDEV(Table14[QACL]))</f>
        <v>-0.90070144284544451</v>
      </c>
      <c r="V13">
        <f>STANDARDIZE(Table13[[#This Row],[WCTA]],AVERAGE(Table14[WCTA]),STDEV(Table14[WCTA]))</f>
        <v>-1.3585197730080638</v>
      </c>
      <c r="W13">
        <f>STANDARDIZE(Table13[[#This Row],[AGE]],AVERAGE(Table14[AGE]),STDEV(Table14[AGE]))</f>
        <v>3.2779045370936433</v>
      </c>
    </row>
    <row r="14" spans="1:23" x14ac:dyDescent="0.3">
      <c r="A14" t="s">
        <v>46</v>
      </c>
      <c r="B14">
        <v>17295</v>
      </c>
      <c r="C14">
        <v>5.3741000000000003</v>
      </c>
      <c r="D14">
        <v>0.1691</v>
      </c>
      <c r="E14">
        <v>0.88129999999999997</v>
      </c>
      <c r="F14">
        <v>0.75849999999999995</v>
      </c>
      <c r="G14">
        <v>0.85560000000000003</v>
      </c>
      <c r="H14">
        <v>0.51819999999999999</v>
      </c>
      <c r="I14">
        <v>-0.1095</v>
      </c>
      <c r="J14">
        <v>2</v>
      </c>
      <c r="K14">
        <v>0</v>
      </c>
      <c r="L14">
        <v>1</v>
      </c>
      <c r="M14">
        <v>1</v>
      </c>
      <c r="N14" t="s">
        <v>73</v>
      </c>
      <c r="O14">
        <f>STANDARDIZE(Table13[[#This Row],[SALES]],AVERAGE(Table14[SALES]),STDEV(Table14[SALES]))</f>
        <v>-2.0666487305690425E-2</v>
      </c>
      <c r="P14">
        <f>STANDARDIZE(Table13[[#This Row],[ROCE]],AVERAGE(Table14[ROCE]),STDEV(Table14[ROCE]))</f>
        <v>0.13447606118988953</v>
      </c>
      <c r="Q14">
        <f>STANDARDIZE(Table13[[#This Row],[FFTL]],AVERAGE(Table14[FFTL]),STDEV(Table14[FFTL]))</f>
        <v>-1.5754167394344105E-2</v>
      </c>
      <c r="R14">
        <f>STANDARDIZE(Table13[[#This Row],[GEAR]],AVERAGE(Table14[GEAR]),STDEV(Table14[GEAR]))</f>
        <v>0.6753038361074396</v>
      </c>
      <c r="S14">
        <f>STANDARDIZE(Table13[[#This Row],[CLTA]],AVERAGE(Table14[CLTA]),STDEV(Table14[CLTA]))</f>
        <v>0.63231554589172534</v>
      </c>
      <c r="T14">
        <f>STANDARDIZE(Table13[[#This Row],[CACL]],AVERAGE(Table14[CACL]),STDEV(Table14[CACL]))</f>
        <v>-0.91393446683801172</v>
      </c>
      <c r="U14">
        <f>STANDARDIZE(Table13[[#This Row],[QACL]],AVERAGE(Table14[QACL]),STDEV(Table14[QACL]))</f>
        <v>-0.92333527607527388</v>
      </c>
      <c r="V14">
        <f>STANDARDIZE(Table13[[#This Row],[WCTA]],AVERAGE(Table14[WCTA]),STDEV(Table14[WCTA]))</f>
        <v>-0.754426567817019</v>
      </c>
      <c r="W14">
        <f>STANDARDIZE(Table13[[#This Row],[AGE]],AVERAGE(Table14[AGE]),STDEV(Table14[AGE]))</f>
        <v>-1.3878853653726653</v>
      </c>
    </row>
    <row r="15" spans="1:23" x14ac:dyDescent="0.3">
      <c r="A15" t="s">
        <v>47</v>
      </c>
      <c r="B15">
        <v>3340</v>
      </c>
      <c r="C15">
        <v>-4.2769000000000004</v>
      </c>
      <c r="D15">
        <v>4.3900000000000002E-2</v>
      </c>
      <c r="E15">
        <v>0.57630000000000003</v>
      </c>
      <c r="F15">
        <v>0.56000000000000005</v>
      </c>
      <c r="G15">
        <v>0.84330000000000005</v>
      </c>
      <c r="H15">
        <v>0.51729999999999998</v>
      </c>
      <c r="I15">
        <v>-8.77E-2</v>
      </c>
      <c r="J15">
        <v>17</v>
      </c>
      <c r="K15">
        <v>1</v>
      </c>
      <c r="L15">
        <v>0</v>
      </c>
      <c r="M15">
        <v>1</v>
      </c>
      <c r="N15" t="s">
        <v>73</v>
      </c>
      <c r="O15">
        <f>STANDARDIZE(Table13[[#This Row],[SALES]],AVERAGE(Table14[SALES]),STDEV(Table14[SALES]))</f>
        <v>-0.58950441699190326</v>
      </c>
      <c r="P15">
        <f>STANDARDIZE(Table13[[#This Row],[ROCE]],AVERAGE(Table14[ROCE]),STDEV(Table14[ROCE]))</f>
        <v>-0.73163790093338776</v>
      </c>
      <c r="Q15">
        <f>STANDARDIZE(Table13[[#This Row],[FFTL]],AVERAGE(Table14[FFTL]),STDEV(Table14[FFTL]))</f>
        <v>-0.67973772941656274</v>
      </c>
      <c r="R15">
        <f>STANDARDIZE(Table13[[#This Row],[GEAR]],AVERAGE(Table14[GEAR]),STDEV(Table14[GEAR]))</f>
        <v>-0.57700317040796645</v>
      </c>
      <c r="S15">
        <f>STANDARDIZE(Table13[[#This Row],[CLTA]],AVERAGE(Table14[CLTA]),STDEV(Table14[CLTA]))</f>
        <v>-0.12924802381761383</v>
      </c>
      <c r="T15">
        <f>STANDARDIZE(Table13[[#This Row],[CACL]],AVERAGE(Table14[CACL]),STDEV(Table14[CACL]))</f>
        <v>-0.94156478253693643</v>
      </c>
      <c r="U15">
        <f>STANDARDIZE(Table13[[#This Row],[QACL]],AVERAGE(Table14[QACL]),STDEV(Table14[QACL]))</f>
        <v>-0.9257895471483879</v>
      </c>
      <c r="V15">
        <f>STANDARDIZE(Table13[[#This Row],[WCTA]],AVERAGE(Table14[WCTA]),STDEV(Table14[WCTA]))</f>
        <v>-0.66391638312172851</v>
      </c>
      <c r="W15">
        <f>STANDARDIZE(Table13[[#This Row],[AGE]],AVERAGE(Table14[AGE]),STDEV(Table14[AGE]))</f>
        <v>-0.59258026836136268</v>
      </c>
    </row>
    <row r="16" spans="1:23" x14ac:dyDescent="0.3">
      <c r="A16" t="s">
        <v>49</v>
      </c>
      <c r="B16">
        <v>5105</v>
      </c>
      <c r="C16">
        <v>26.500599999999999</v>
      </c>
      <c r="D16">
        <v>0.42770000000000002</v>
      </c>
      <c r="E16">
        <v>0.70050000000000001</v>
      </c>
      <c r="F16">
        <v>0.70050000000000001</v>
      </c>
      <c r="G16">
        <v>1.3217000000000001</v>
      </c>
      <c r="H16">
        <v>1.2667999999999999</v>
      </c>
      <c r="I16">
        <v>0.22539999999999999</v>
      </c>
      <c r="J16">
        <v>2</v>
      </c>
      <c r="K16">
        <v>0</v>
      </c>
      <c r="L16">
        <v>1</v>
      </c>
      <c r="M16">
        <v>1</v>
      </c>
      <c r="N16" t="s">
        <v>73</v>
      </c>
      <c r="O16">
        <f>STANDARDIZE(Table13[[#This Row],[SALES]],AVERAGE(Table14[SALES]),STDEV(Table14[SALES]))</f>
        <v>-0.51755895329457857</v>
      </c>
      <c r="P16">
        <f>STANDARDIZE(Table13[[#This Row],[ROCE]],AVERAGE(Table14[ROCE]),STDEV(Table14[ROCE]))</f>
        <v>2.0304408960046669</v>
      </c>
      <c r="Q16">
        <f>STANDARDIZE(Table13[[#This Row],[FFTL]],AVERAGE(Table14[FFTL]),STDEV(Table14[FFTL]))</f>
        <v>1.3557006979326984</v>
      </c>
      <c r="R16">
        <f>STANDARDIZE(Table13[[#This Row],[GEAR]],AVERAGE(Table14[GEAR]),STDEV(Table14[GEAR]))</f>
        <v>-6.7047333656447008E-2</v>
      </c>
      <c r="S16">
        <f>STANDARDIZE(Table13[[#This Row],[CLTA]],AVERAGE(Table14[CLTA]),STDEV(Table14[CLTA]))</f>
        <v>0.40979319302955081</v>
      </c>
      <c r="T16">
        <f>STANDARDIZE(Table13[[#This Row],[CACL]],AVERAGE(Table14[CACL]),STDEV(Table14[CACL]))</f>
        <v>0.13309725245213824</v>
      </c>
      <c r="U16">
        <f>STANDARDIZE(Table13[[#This Row],[QACL]],AVERAGE(Table14[QACL]),STDEV(Table14[QACL]))</f>
        <v>1.1180728631837971</v>
      </c>
      <c r="V16">
        <f>STANDARDIZE(Table13[[#This Row],[WCTA]],AVERAGE(Table14[WCTA]),STDEV(Table14[WCTA]))</f>
        <v>0.63602576495604524</v>
      </c>
      <c r="W16">
        <f>STANDARDIZE(Table13[[#This Row],[AGE]],AVERAGE(Table14[AGE]),STDEV(Table14[AGE]))</f>
        <v>-1.3878853653726653</v>
      </c>
    </row>
    <row r="17" spans="1:23" x14ac:dyDescent="0.3">
      <c r="A17" t="s">
        <v>50</v>
      </c>
      <c r="B17">
        <v>11528</v>
      </c>
      <c r="C17">
        <v>1.3274999999999999</v>
      </c>
      <c r="D17">
        <v>6.6000000000000003E-2</v>
      </c>
      <c r="E17">
        <v>0.71240000000000003</v>
      </c>
      <c r="F17">
        <v>0.63770000000000004</v>
      </c>
      <c r="G17">
        <v>0.99670000000000003</v>
      </c>
      <c r="H17">
        <v>0.94379999999999997</v>
      </c>
      <c r="I17">
        <v>-2.0999999999999999E-3</v>
      </c>
      <c r="J17">
        <v>40</v>
      </c>
      <c r="K17">
        <v>0</v>
      </c>
      <c r="L17">
        <v>0</v>
      </c>
      <c r="M17">
        <v>1</v>
      </c>
      <c r="N17" t="s">
        <v>73</v>
      </c>
      <c r="O17">
        <f>STANDARDIZE(Table13[[#This Row],[SALES]],AVERAGE(Table14[SALES]),STDEV(Table14[SALES]))</f>
        <v>-0.25574268512012177</v>
      </c>
      <c r="P17">
        <f>STANDARDIZE(Table13[[#This Row],[ROCE]],AVERAGE(Table14[ROCE]),STDEV(Table14[ROCE]))</f>
        <v>-0.22867975262505755</v>
      </c>
      <c r="Q17">
        <f>STANDARDIZE(Table13[[#This Row],[FFTL]],AVERAGE(Table14[FFTL]),STDEV(Table14[FFTL]))</f>
        <v>-0.56253296327685798</v>
      </c>
      <c r="R17">
        <f>STANDARDIZE(Table13[[#This Row],[GEAR]],AVERAGE(Table14[GEAR]),STDEV(Table14[GEAR]))</f>
        <v>-1.818683077928844E-2</v>
      </c>
      <c r="S17">
        <f>STANDARDIZE(Table13[[#This Row],[CLTA]],AVERAGE(Table14[CLTA]),STDEV(Table14[CLTA]))</f>
        <v>0.16885519717188582</v>
      </c>
      <c r="T17">
        <f>STANDARDIZE(Table13[[#This Row],[CACL]],AVERAGE(Table14[CACL]),STDEV(Table14[CACL]))</f>
        <v>-0.5969720647958745</v>
      </c>
      <c r="U17">
        <f>STANDARDIZE(Table13[[#This Row],[QACL]],AVERAGE(Table14[QACL]),STDEV(Table14[QACL]))</f>
        <v>0.23726224472176138</v>
      </c>
      <c r="V17">
        <f>STANDARDIZE(Table13[[#This Row],[WCTA]],AVERAGE(Table14[WCTA]),STDEV(Table14[WCTA]))</f>
        <v>-0.30851859367600054</v>
      </c>
      <c r="W17">
        <f>STANDARDIZE(Table13[[#This Row],[AGE]],AVERAGE(Table14[AGE]),STDEV(Table14[AGE]))</f>
        <v>0.62688754705596794</v>
      </c>
    </row>
    <row r="18" spans="1:23" x14ac:dyDescent="0.3">
      <c r="A18" t="s">
        <v>53</v>
      </c>
      <c r="B18">
        <v>2978</v>
      </c>
      <c r="C18">
        <v>8.5486000000000004</v>
      </c>
      <c r="D18">
        <v>0.32850000000000001</v>
      </c>
      <c r="E18">
        <v>0.38979999999999998</v>
      </c>
      <c r="F18">
        <v>0.38829999999999998</v>
      </c>
      <c r="G18">
        <v>2.0518999999999998</v>
      </c>
      <c r="H18">
        <v>1.8492999999999999</v>
      </c>
      <c r="I18">
        <v>0.40839999999999999</v>
      </c>
      <c r="J18">
        <v>9</v>
      </c>
      <c r="K18">
        <v>0</v>
      </c>
      <c r="L18">
        <v>1</v>
      </c>
      <c r="M18">
        <v>1</v>
      </c>
      <c r="N18" t="s">
        <v>73</v>
      </c>
      <c r="O18">
        <f>STANDARDIZE(Table13[[#This Row],[SALES]],AVERAGE(Table14[SALES]),STDEV(Table14[SALES]))</f>
        <v>-0.60426037045277092</v>
      </c>
      <c r="P18">
        <f>STANDARDIZE(Table13[[#This Row],[ROCE]],AVERAGE(Table14[ROCE]),STDEV(Table14[ROCE]))</f>
        <v>0.41936661893109184</v>
      </c>
      <c r="Q18">
        <f>STANDARDIZE(Table13[[#This Row],[FFTL]],AVERAGE(Table14[FFTL]),STDEV(Table14[FFTL]))</f>
        <v>0.82960509607483846</v>
      </c>
      <c r="R18">
        <f>STANDARDIZE(Table13[[#This Row],[GEAR]],AVERAGE(Table14[GEAR]),STDEV(Table14[GEAR]))</f>
        <v>-1.3427581104575512</v>
      </c>
      <c r="S18">
        <f>STANDARDIZE(Table13[[#This Row],[CLTA]],AVERAGE(Table14[CLTA]),STDEV(Table14[CLTA]))</f>
        <v>-0.78799092013546601</v>
      </c>
      <c r="T18">
        <f>STANDARDIZE(Table13[[#This Row],[CACL]],AVERAGE(Table14[CACL]),STDEV(Table14[CACL]))</f>
        <v>1.7733945307736725</v>
      </c>
      <c r="U18">
        <f>STANDARDIZE(Table13[[#This Row],[QACL]],AVERAGE(Table14[QACL]),STDEV(Table14[QACL]))</f>
        <v>2.7065316410603786</v>
      </c>
      <c r="V18">
        <f>STANDARDIZE(Table13[[#This Row],[WCTA]],AVERAGE(Table14[WCTA]),STDEV(Table14[WCTA]))</f>
        <v>1.3958130951963281</v>
      </c>
      <c r="W18">
        <f>STANDARDIZE(Table13[[#This Row],[AGE]],AVERAGE(Table14[AGE]),STDEV(Table14[AGE]))</f>
        <v>-1.0167429867673907</v>
      </c>
    </row>
    <row r="19" spans="1:23" x14ac:dyDescent="0.3">
      <c r="A19" t="s">
        <v>55</v>
      </c>
      <c r="B19">
        <v>8125</v>
      </c>
      <c r="C19">
        <v>1.0502</v>
      </c>
      <c r="D19">
        <v>0.1358</v>
      </c>
      <c r="E19">
        <v>0.80979999999999996</v>
      </c>
      <c r="F19">
        <v>0.75849999999999995</v>
      </c>
      <c r="G19">
        <v>0.67379999999999995</v>
      </c>
      <c r="H19">
        <v>0.45960000000000001</v>
      </c>
      <c r="I19">
        <v>-0.24740000000000001</v>
      </c>
      <c r="J19">
        <v>59</v>
      </c>
      <c r="K19">
        <v>0</v>
      </c>
      <c r="L19">
        <v>0</v>
      </c>
      <c r="M19">
        <v>1</v>
      </c>
      <c r="N19" t="s">
        <v>73</v>
      </c>
      <c r="O19">
        <f>STANDARDIZE(Table13[[#This Row],[SALES]],AVERAGE(Table14[SALES]),STDEV(Table14[SALES]))</f>
        <v>-0.39445680011275391</v>
      </c>
      <c r="P19">
        <f>STANDARDIZE(Table13[[#This Row],[ROCE]],AVERAGE(Table14[ROCE]),STDEV(Table14[ROCE]))</f>
        <v>-0.25356560918881105</v>
      </c>
      <c r="Q19">
        <f>STANDARDIZE(Table13[[#This Row],[FFTL]],AVERAGE(Table14[FFTL]),STDEV(Table14[FFTL]))</f>
        <v>-0.19235682406638785</v>
      </c>
      <c r="R19">
        <f>STANDARDIZE(Table13[[#This Row],[GEAR]],AVERAGE(Table14[GEAR]),STDEV(Table14[GEAR]))</f>
        <v>0.38173022638333609</v>
      </c>
      <c r="S19">
        <f>STANDARDIZE(Table13[[#This Row],[CLTA]],AVERAGE(Table14[CLTA]),STDEV(Table14[CLTA]))</f>
        <v>0.63231554589172534</v>
      </c>
      <c r="T19">
        <f>STANDARDIZE(Table13[[#This Row],[CACL]],AVERAGE(Table14[CACL]),STDEV(Table14[CACL]))</f>
        <v>-1.3223240110709</v>
      </c>
      <c r="U19">
        <f>STANDARDIZE(Table13[[#This Row],[QACL]],AVERAGE(Table14[QACL]),STDEV(Table14[QACL]))</f>
        <v>-1.0831355926135875</v>
      </c>
      <c r="V19">
        <f>STANDARDIZE(Table13[[#This Row],[WCTA]],AVERAGE(Table14[WCTA]),STDEV(Table14[WCTA]))</f>
        <v>-1.3269657636647514</v>
      </c>
      <c r="W19">
        <f>STANDARDIZE(Table13[[#This Row],[AGE]],AVERAGE(Table14[AGE]),STDEV(Table14[AGE]))</f>
        <v>1.6342740032702845</v>
      </c>
    </row>
    <row r="20" spans="1:23" x14ac:dyDescent="0.3">
      <c r="A20" t="s">
        <v>60</v>
      </c>
      <c r="B20">
        <v>6953</v>
      </c>
      <c r="C20">
        <v>6.4799999999999996E-2</v>
      </c>
      <c r="D20">
        <v>0.1447</v>
      </c>
      <c r="E20">
        <v>0.95199999999999996</v>
      </c>
      <c r="F20">
        <v>0.49759999999999999</v>
      </c>
      <c r="G20">
        <v>1.0409999999999999</v>
      </c>
      <c r="H20">
        <v>0.53549999999999998</v>
      </c>
      <c r="I20">
        <v>2.0400000000000001E-2</v>
      </c>
      <c r="J20">
        <v>14</v>
      </c>
      <c r="K20">
        <v>1</v>
      </c>
      <c r="L20">
        <v>1</v>
      </c>
      <c r="M20">
        <v>1</v>
      </c>
      <c r="N20" t="s">
        <v>73</v>
      </c>
      <c r="O20">
        <f>STANDARDIZE(Table13[[#This Row],[SALES]],AVERAGE(Table14[SALES]),STDEV(Table14[SALES]))</f>
        <v>-0.4422302184998726</v>
      </c>
      <c r="P20">
        <f>STANDARDIZE(Table13[[#This Row],[ROCE]],AVERAGE(Table14[ROCE]),STDEV(Table14[ROCE]))</f>
        <v>-0.34199879728085097</v>
      </c>
      <c r="Q20">
        <f>STANDARDIZE(Table13[[#This Row],[FFTL]],AVERAGE(Table14[FFTL]),STDEV(Table14[FFTL]))</f>
        <v>-0.14515671462551133</v>
      </c>
      <c r="R20">
        <f>STANDARDIZE(Table13[[#This Row],[GEAR]],AVERAGE(Table14[GEAR]),STDEV(Table14[GEAR]))</f>
        <v>0.96559270614232229</v>
      </c>
      <c r="S20">
        <f>STANDARDIZE(Table13[[#This Row],[CLTA]],AVERAGE(Table14[CLTA]),STDEV(Table14[CLTA]))</f>
        <v>-0.36865138275898834</v>
      </c>
      <c r="T20">
        <f>STANDARDIZE(Table13[[#This Row],[CACL]],AVERAGE(Table14[CACL]),STDEV(Table14[CACL]))</f>
        <v>-0.49745800093714565</v>
      </c>
      <c r="U20">
        <f>STANDARDIZE(Table13[[#This Row],[QACL]],AVERAGE(Table14[QACL]),STDEV(Table14[QACL]))</f>
        <v>-0.87615873211430417</v>
      </c>
      <c r="V20">
        <f>STANDARDIZE(Table13[[#This Row],[WCTA]],AVERAGE(Table14[WCTA]),STDEV(Table14[WCTA]))</f>
        <v>-0.21510211864645751</v>
      </c>
      <c r="W20">
        <f>STANDARDIZE(Table13[[#This Row],[AGE]],AVERAGE(Table14[AGE]),STDEV(Table14[AGE]))</f>
        <v>-0.75164128776362316</v>
      </c>
    </row>
    <row r="21" spans="1:23" x14ac:dyDescent="0.3">
      <c r="A21" t="s">
        <v>61</v>
      </c>
      <c r="B21">
        <v>3900</v>
      </c>
      <c r="C21">
        <v>-2.6840000000000002</v>
      </c>
      <c r="D21">
        <v>0.14510000000000001</v>
      </c>
      <c r="E21">
        <v>0.6925</v>
      </c>
      <c r="F21">
        <v>0.66720000000000002</v>
      </c>
      <c r="G21">
        <v>0.60860000000000003</v>
      </c>
      <c r="H21">
        <v>0.4879</v>
      </c>
      <c r="I21">
        <v>-0.2611</v>
      </c>
      <c r="J21">
        <v>3</v>
      </c>
      <c r="K21">
        <v>1</v>
      </c>
      <c r="L21">
        <v>0</v>
      </c>
      <c r="M21">
        <v>1</v>
      </c>
      <c r="N21" t="s">
        <v>73</v>
      </c>
      <c r="O21">
        <f>STANDARDIZE(Table13[[#This Row],[SALES]],AVERAGE(Table14[SALES]),STDEV(Table14[SALES]))</f>
        <v>-0.5666775276601741</v>
      </c>
      <c r="P21">
        <f>STANDARDIZE(Table13[[#This Row],[ROCE]],AVERAGE(Table14[ROCE]),STDEV(Table14[ROCE]))</f>
        <v>-0.5886855716135071</v>
      </c>
      <c r="Q21">
        <f>STANDARDIZE(Table13[[#This Row],[FFTL]],AVERAGE(Table14[FFTL]),STDEV(Table14[FFTL]))</f>
        <v>-0.14303536139221346</v>
      </c>
      <c r="R21">
        <f>STANDARDIZE(Table13[[#This Row],[GEAR]],AVERAGE(Table14[GEAR]),STDEV(Table14[GEAR]))</f>
        <v>-9.9894730548654415E-2</v>
      </c>
      <c r="S21">
        <f>STANDARDIZE(Table13[[#This Row],[CLTA]],AVERAGE(Table14[CLTA]),STDEV(Table14[CLTA]))</f>
        <v>0.28203466974833669</v>
      </c>
      <c r="T21">
        <f>STANDARDIZE(Table13[[#This Row],[CACL]],AVERAGE(Table14[CACL]),STDEV(Table14[CACL]))</f>
        <v>-1.4687871479465013</v>
      </c>
      <c r="U21">
        <f>STANDARDIZE(Table13[[#This Row],[QACL]],AVERAGE(Table14[QACL]),STDEV(Table14[QACL]))</f>
        <v>-1.0059624022034463</v>
      </c>
      <c r="V21">
        <f>STANDARDIZE(Table13[[#This Row],[WCTA]],AVERAGE(Table14[WCTA]),STDEV(Table14[WCTA]))</f>
        <v>-1.3838460173494065</v>
      </c>
      <c r="W21">
        <f>STANDARDIZE(Table13[[#This Row],[AGE]],AVERAGE(Table14[AGE]),STDEV(Table14[AGE]))</f>
        <v>-1.3348650255719117</v>
      </c>
    </row>
    <row r="22" spans="1:23" x14ac:dyDescent="0.3">
      <c r="A22" t="s">
        <v>66</v>
      </c>
      <c r="B22">
        <v>4999</v>
      </c>
      <c r="C22">
        <v>1.6759999999999999</v>
      </c>
      <c r="D22">
        <v>5.6500000000000002E-2</v>
      </c>
      <c r="E22">
        <v>0.99939999999999996</v>
      </c>
      <c r="F22">
        <v>0.71120000000000005</v>
      </c>
      <c r="G22">
        <v>1.1861999999999999</v>
      </c>
      <c r="H22">
        <v>0.71879999999999999</v>
      </c>
      <c r="I22">
        <v>0.13239999999999999</v>
      </c>
      <c r="J22">
        <v>2</v>
      </c>
      <c r="K22">
        <v>1</v>
      </c>
      <c r="L22">
        <v>1</v>
      </c>
      <c r="M22">
        <v>1</v>
      </c>
      <c r="N22" t="s">
        <v>73</v>
      </c>
      <c r="O22">
        <f>STANDARDIZE(Table13[[#This Row],[SALES]],AVERAGE(Table14[SALES]),STDEV(Table14[SALES]))</f>
        <v>-0.52187975734665581</v>
      </c>
      <c r="P22">
        <f>STANDARDIZE(Table13[[#This Row],[ROCE]],AVERAGE(Table14[ROCE]),STDEV(Table14[ROCE]))</f>
        <v>-0.19740416296595881</v>
      </c>
      <c r="Q22">
        <f>STANDARDIZE(Table13[[#This Row],[FFTL]],AVERAGE(Table14[FFTL]),STDEV(Table14[FFTL]))</f>
        <v>-0.61291510256768134</v>
      </c>
      <c r="R22">
        <f>STANDARDIZE(Table13[[#This Row],[GEAR]],AVERAGE(Table14[GEAR]),STDEV(Table14[GEAR]))</f>
        <v>1.1602135327286509</v>
      </c>
      <c r="S22">
        <f>STANDARDIZE(Table13[[#This Row],[CLTA]],AVERAGE(Table14[CLTA]),STDEV(Table14[CLTA]))</f>
        <v>0.45084473054033147</v>
      </c>
      <c r="T22">
        <f>STANDARDIZE(Table13[[#This Row],[CACL]],AVERAGE(Table14[CACL]),STDEV(Table14[CACL]))</f>
        <v>-0.17128549366203355</v>
      </c>
      <c r="U22">
        <f>STANDARDIZE(Table13[[#This Row],[QACL]],AVERAGE(Table14[QACL]),STDEV(Table14[QACL]))</f>
        <v>-0.3763055235567464</v>
      </c>
      <c r="V22">
        <f>STANDARDIZE(Table13[[#This Row],[WCTA]],AVERAGE(Table14[WCTA]),STDEV(Table14[WCTA]))</f>
        <v>0.24990433483393423</v>
      </c>
      <c r="W22">
        <f>STANDARDIZE(Table13[[#This Row],[AGE]],AVERAGE(Table14[AGE]),STDEV(Table14[AGE]))</f>
        <v>-1.3878853653726653</v>
      </c>
    </row>
    <row r="23" spans="1:23" x14ac:dyDescent="0.3">
      <c r="A23" t="s">
        <v>67</v>
      </c>
      <c r="B23">
        <v>2859</v>
      </c>
      <c r="C23">
        <v>-3.5788000000000002</v>
      </c>
      <c r="D23">
        <v>3.4099999999999998E-2</v>
      </c>
      <c r="E23">
        <v>0.63900000000000001</v>
      </c>
      <c r="F23">
        <v>0.57420000000000004</v>
      </c>
      <c r="G23">
        <v>1.3541000000000001</v>
      </c>
      <c r="H23">
        <v>1.2727999999999999</v>
      </c>
      <c r="I23">
        <v>0.20330000000000001</v>
      </c>
      <c r="J23">
        <v>24</v>
      </c>
      <c r="K23">
        <v>0</v>
      </c>
      <c r="L23">
        <v>0</v>
      </c>
      <c r="M23">
        <v>1</v>
      </c>
      <c r="N23" t="s">
        <v>73</v>
      </c>
      <c r="O23">
        <f>STANDARDIZE(Table13[[#This Row],[SALES]],AVERAGE(Table14[SALES]),STDEV(Table14[SALES]))</f>
        <v>-0.60911108443576334</v>
      </c>
      <c r="P23">
        <f>STANDARDIZE(Table13[[#This Row],[ROCE]],AVERAGE(Table14[ROCE]),STDEV(Table14[ROCE]))</f>
        <v>-0.6689880038286049</v>
      </c>
      <c r="Q23">
        <f>STANDARDIZE(Table13[[#This Row],[FFTL]],AVERAGE(Table14[FFTL]),STDEV(Table14[FFTL]))</f>
        <v>-0.73171088363235948</v>
      </c>
      <c r="R23">
        <f>STANDARDIZE(Table13[[#This Row],[GEAR]],AVERAGE(Table14[GEAR]),STDEV(Table14[GEAR]))</f>
        <v>-0.31956169726529121</v>
      </c>
      <c r="S23">
        <f>STANDARDIZE(Table13[[#This Row],[CLTA]],AVERAGE(Table14[CLTA]),STDEV(Table14[CLTA]))</f>
        <v>-7.4768413289288307E-2</v>
      </c>
      <c r="T23">
        <f>STANDARDIZE(Table13[[#This Row],[CACL]],AVERAGE(Table14[CACL]),STDEV(Table14[CACL]))</f>
        <v>0.20587954746394008</v>
      </c>
      <c r="U23">
        <f>STANDARDIZE(Table13[[#This Row],[QACL]],AVERAGE(Table14[QACL]),STDEV(Table14[QACL]))</f>
        <v>1.1344346703378905</v>
      </c>
      <c r="V23">
        <f>STANDARDIZE(Table13[[#This Row],[WCTA]],AVERAGE(Table14[WCTA]),STDEV(Table14[WCTA]))</f>
        <v>0.54427002726036089</v>
      </c>
      <c r="W23">
        <f>STANDARDIZE(Table13[[#This Row],[AGE]],AVERAGE(Table14[AGE]),STDEV(Table14[AGE]))</f>
        <v>-0.22143788975608814</v>
      </c>
    </row>
    <row r="24" spans="1:23" x14ac:dyDescent="0.3">
      <c r="A24" t="s">
        <v>68</v>
      </c>
      <c r="B24">
        <v>28145</v>
      </c>
      <c r="C24">
        <v>0.52690000000000003</v>
      </c>
      <c r="D24">
        <v>8.5599999999999996E-2</v>
      </c>
      <c r="E24">
        <v>0.90490000000000004</v>
      </c>
      <c r="F24">
        <v>0.86180000000000001</v>
      </c>
      <c r="G24">
        <v>0.74199999999999999</v>
      </c>
      <c r="H24">
        <v>0.44569999999999999</v>
      </c>
      <c r="I24">
        <v>-0.2223</v>
      </c>
      <c r="J24">
        <v>8</v>
      </c>
      <c r="K24">
        <v>1</v>
      </c>
      <c r="L24">
        <v>1</v>
      </c>
      <c r="M24">
        <v>1</v>
      </c>
      <c r="N24" t="s">
        <v>73</v>
      </c>
      <c r="O24">
        <f>STANDARDIZE(Table13[[#This Row],[SALES]],AVERAGE(Table14[SALES]),STDEV(Table14[SALES]))</f>
        <v>0.42160449349656026</v>
      </c>
      <c r="P24">
        <f>STANDARDIZE(Table13[[#This Row],[ROCE]],AVERAGE(Table14[ROCE]),STDEV(Table14[ROCE]))</f>
        <v>-0.30052835257075189</v>
      </c>
      <c r="Q24">
        <f>STANDARDIZE(Table13[[#This Row],[FFTL]],AVERAGE(Table14[FFTL]),STDEV(Table14[FFTL]))</f>
        <v>-0.45858665484526467</v>
      </c>
      <c r="R24">
        <f>STANDARDIZE(Table13[[#This Row],[GEAR]],AVERAGE(Table14[GEAR]),STDEV(Table14[GEAR]))</f>
        <v>0.77220365693945159</v>
      </c>
      <c r="S24">
        <f>STANDARDIZE(Table13[[#This Row],[CLTA]],AVERAGE(Table14[CLTA]),STDEV(Table14[CLTA]))</f>
        <v>1.0286355295238403</v>
      </c>
      <c r="T24">
        <f>STANDARDIZE(Table13[[#This Row],[CACL]],AVERAGE(Table14[CACL]),STDEV(Table14[CACL]))</f>
        <v>-1.1691217728053171</v>
      </c>
      <c r="U24">
        <f>STANDARDIZE(Table13[[#This Row],[QACL]],AVERAGE(Table14[QACL]),STDEV(Table14[QACL]))</f>
        <v>-1.1210404458539043</v>
      </c>
      <c r="V24">
        <f>STANDARDIZE(Table13[[#This Row],[WCTA]],AVERAGE(Table14[WCTA]),STDEV(Table14[WCTA]))</f>
        <v>-1.222754495965128</v>
      </c>
      <c r="W24">
        <f>STANDARDIZE(Table13[[#This Row],[AGE]],AVERAGE(Table14[AGE]),STDEV(Table14[AGE]))</f>
        <v>-1.0697633265681441</v>
      </c>
    </row>
    <row r="25" spans="1:23" x14ac:dyDescent="0.3">
      <c r="A25" t="s">
        <v>69</v>
      </c>
      <c r="B25">
        <v>3601</v>
      </c>
      <c r="C25">
        <v>-30.779</v>
      </c>
      <c r="D25">
        <v>-0.32829999999999998</v>
      </c>
      <c r="E25">
        <v>0.74439999999999995</v>
      </c>
      <c r="F25">
        <v>0.74439999999999995</v>
      </c>
      <c r="G25">
        <v>1.1202000000000001</v>
      </c>
      <c r="H25">
        <v>0.37569999999999998</v>
      </c>
      <c r="I25">
        <v>8.9499999999999996E-2</v>
      </c>
      <c r="J25">
        <v>5</v>
      </c>
      <c r="K25">
        <v>1</v>
      </c>
      <c r="L25">
        <v>1</v>
      </c>
      <c r="M25">
        <v>1</v>
      </c>
      <c r="N25" t="s">
        <v>73</v>
      </c>
      <c r="O25">
        <f>STANDARDIZE(Table13[[#This Row],[SALES]],AVERAGE(Table14[SALES]),STDEV(Table14[SALES]))</f>
        <v>-0.57886545607122231</v>
      </c>
      <c r="P25">
        <f>STANDARDIZE(Table13[[#This Row],[ROCE]],AVERAGE(Table14[ROCE]),STDEV(Table14[ROCE]))</f>
        <v>-3.1100275844467347</v>
      </c>
      <c r="Q25">
        <f>STANDARDIZE(Table13[[#This Row],[FFTL]],AVERAGE(Table14[FFTL]),STDEV(Table14[FFTL]))</f>
        <v>-2.6536569130001872</v>
      </c>
      <c r="R25">
        <f>STANDARDIZE(Table13[[#This Row],[GEAR]],AVERAGE(Table14[GEAR]),STDEV(Table14[GEAR]))</f>
        <v>0.11320275678954074</v>
      </c>
      <c r="S25">
        <f>STANDARDIZE(Table13[[#This Row],[CLTA]],AVERAGE(Table14[CLTA]),STDEV(Table14[CLTA]))</f>
        <v>0.57821959459247252</v>
      </c>
      <c r="T25">
        <f>STANDARDIZE(Table13[[#This Row],[CACL]],AVERAGE(Table14[CACL]),STDEV(Table14[CACL]))</f>
        <v>-0.31954572424162958</v>
      </c>
      <c r="U25">
        <f>STANDARDIZE(Table13[[#This Row],[QACL]],AVERAGE(Table14[QACL]),STDEV(Table14[QACL]))</f>
        <v>-1.3119281959849955</v>
      </c>
      <c r="V25">
        <f>STANDARDIZE(Table13[[#This Row],[WCTA]],AVERAGE(Table14[WCTA]),STDEV(Table14[WCTA]))</f>
        <v>7.1790255777605616E-2</v>
      </c>
      <c r="W25">
        <f>STANDARDIZE(Table13[[#This Row],[AGE]],AVERAGE(Table14[AGE]),STDEV(Table14[AGE]))</f>
        <v>-1.2288243459704047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S28"/>
  <sheetViews>
    <sheetView workbookViewId="0">
      <selection activeCell="J10" sqref="J10"/>
    </sheetView>
  </sheetViews>
  <sheetFormatPr defaultRowHeight="14.4" x14ac:dyDescent="0.3"/>
  <cols>
    <col min="1" max="2" width="8.88671875" style="1"/>
    <col min="3" max="3" width="12.6640625" style="1" bestFit="1" customWidth="1"/>
    <col min="4" max="16384" width="8.88671875" style="1"/>
  </cols>
  <sheetData>
    <row r="1" spans="1:19" x14ac:dyDescent="0.3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</row>
    <row r="2" spans="1:19" x14ac:dyDescent="0.3">
      <c r="B2" s="16">
        <f>Estimation!B2</f>
        <v>-2.8849576573631333</v>
      </c>
      <c r="C2" s="16">
        <f>Estimation!C2</f>
        <v>-0.33671188069251234</v>
      </c>
      <c r="D2" s="16">
        <f>Estimation!D2</f>
        <v>-1.3359489460946563</v>
      </c>
      <c r="E2" s="16">
        <f>Estimation!E2</f>
        <v>-1.5883239268917115</v>
      </c>
      <c r="F2" s="16">
        <f>Estimation!F2</f>
        <v>2.7298836531726671</v>
      </c>
      <c r="G2" s="16">
        <f>Estimation!G2</f>
        <v>-2.3729745188665885</v>
      </c>
      <c r="H2" s="16">
        <f>Estimation!H2</f>
        <v>-2.6505855428257608</v>
      </c>
      <c r="I2" s="16">
        <f>Estimation!I2</f>
        <v>-4.2538549958251357</v>
      </c>
      <c r="J2" s="16">
        <f>Estimation!J2</f>
        <v>3.1432845406852801</v>
      </c>
      <c r="K2" s="16">
        <f>Estimation!K2</f>
        <v>-0.34199296351227793</v>
      </c>
      <c r="L2" s="16">
        <f>Estimation!L2</f>
        <v>2.5977482365818982</v>
      </c>
    </row>
    <row r="4" spans="1:19" x14ac:dyDescent="0.3">
      <c r="A4" s="1" t="s">
        <v>0</v>
      </c>
      <c r="B4" s="1" t="s">
        <v>94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82</v>
      </c>
      <c r="L4" s="1" t="s">
        <v>10</v>
      </c>
      <c r="N4" s="1" t="s">
        <v>0</v>
      </c>
      <c r="O4" s="1" t="s">
        <v>95</v>
      </c>
      <c r="P4" s="1" t="s">
        <v>96</v>
      </c>
      <c r="Q4" s="1" t="s">
        <v>97</v>
      </c>
      <c r="R4" s="1" t="s">
        <v>98</v>
      </c>
      <c r="S4" s="1" t="s">
        <v>100</v>
      </c>
    </row>
    <row r="5" spans="1:19" x14ac:dyDescent="0.3">
      <c r="A5" s="1" t="str">
        <f>Test!A2</f>
        <v>o8</v>
      </c>
      <c r="B5" s="1">
        <f>$B$2</f>
        <v>-2.8849576573631333</v>
      </c>
      <c r="C5" s="1">
        <f>C$2*Test!O2</f>
        <v>1.4617286342263131E-2</v>
      </c>
      <c r="D5" s="1">
        <f>D$2*Test!P2</f>
        <v>-1.6927944005503919</v>
      </c>
      <c r="E5" s="1">
        <f>E$2*Test!Q2</f>
        <v>-2.2467925979452477</v>
      </c>
      <c r="F5" s="1">
        <f>F$2*Test!R2</f>
        <v>-2.1658498271247515</v>
      </c>
      <c r="G5" s="1">
        <f>G$2*Test!S2</f>
        <v>1.4474504760035536</v>
      </c>
      <c r="H5" s="1">
        <f>H$2*Test!T2</f>
        <v>0.52188459911686369</v>
      </c>
      <c r="I5" s="1">
        <f>I$2*Test!U2</f>
        <v>-1.4234036778942025</v>
      </c>
      <c r="J5" s="1">
        <f>J$2*Test!V2</f>
        <v>4.9476464074184885E-2</v>
      </c>
      <c r="K5" s="1">
        <f>K$2*Test!W2</f>
        <v>3.9465033881814333E-2</v>
      </c>
      <c r="L5" s="1">
        <f>L$2*Test!K2</f>
        <v>0</v>
      </c>
      <c r="N5" s="1" t="str">
        <f t="shared" ref="N5:N28" si="0">A5</f>
        <v>o8</v>
      </c>
      <c r="O5" s="1">
        <f>INDEX(Test!$M$2:$M$25,MATCH(Scoring!$N5,Test!$A$2:$A$25,0))</f>
        <v>0</v>
      </c>
      <c r="P5" s="1">
        <f t="shared" ref="P5:P28" si="1">SUM(B5:L5)</f>
        <v>-8.3409043014590445</v>
      </c>
      <c r="Q5" s="1">
        <f>EXP(P5)</f>
        <v>2.3855651835881492E-4</v>
      </c>
      <c r="R5" s="1">
        <f>Q5/(1+Q5)</f>
        <v>2.3849962271918913E-4</v>
      </c>
      <c r="S5" s="1">
        <f>MATCH(R5,PERCENTILE($R$5:$R$38,{0,0.1,0.2,0.3,0.4,0.5,0.6,0.7,0.8,0.9}))</f>
        <v>2</v>
      </c>
    </row>
    <row r="6" spans="1:19" x14ac:dyDescent="0.3">
      <c r="A6" s="1" t="str">
        <f>Test!A3</f>
        <v>o9</v>
      </c>
      <c r="B6" s="1">
        <f>B5</f>
        <v>-2.8849576573631333</v>
      </c>
      <c r="C6" s="1">
        <f>C$2*Test!O3</f>
        <v>0.18712871548395824</v>
      </c>
      <c r="D6" s="1">
        <f>D$2*Test!P3</f>
        <v>1.2690338035820432</v>
      </c>
      <c r="E6" s="1">
        <f>E$2*Test!Q3</f>
        <v>1.0905942369613377</v>
      </c>
      <c r="F6" s="1">
        <f>F$2*Test!R3</f>
        <v>0.77531212874546962</v>
      </c>
      <c r="G6" s="1">
        <f>G$2*Test!S3</f>
        <v>-0.70840886845401085</v>
      </c>
      <c r="H6" s="1">
        <f>H$2*Test!T3</f>
        <v>-0.2015492718779916</v>
      </c>
      <c r="I6" s="1">
        <f>I$2*Test!U3</f>
        <v>2.6447604578859827</v>
      </c>
      <c r="J6" s="1">
        <f>J$2*Test!V3</f>
        <v>1.6546787352785417</v>
      </c>
      <c r="K6" s="1">
        <f>K$2*Test!W3</f>
        <v>-0.5226450432997034</v>
      </c>
      <c r="L6" s="1">
        <f>L$2*Test!K3</f>
        <v>0</v>
      </c>
      <c r="N6" s="1" t="str">
        <f t="shared" si="0"/>
        <v>o9</v>
      </c>
      <c r="O6" s="1">
        <f>INDEX(Test!$M$2:$M$25,MATCH(Scoring!$N6,Test!$A$2:$A$25,0))</f>
        <v>0</v>
      </c>
      <c r="P6" s="1">
        <f t="shared" si="1"/>
        <v>3.303947236942494</v>
      </c>
      <c r="Q6" s="1">
        <f t="shared" ref="Q6:Q28" si="2">EXP(P6)</f>
        <v>27.219870425464322</v>
      </c>
      <c r="R6" s="1">
        <f t="shared" ref="R6:R28" si="3">Q6/(1+Q6)</f>
        <v>0.96456397620105139</v>
      </c>
      <c r="S6" s="1">
        <f>MATCH(R6,PERCENTILE($R$5:$R$38,{0,0.1,0.2,0.3,0.4,0.5,0.6,0.7,0.8,0.9}))</f>
        <v>7</v>
      </c>
    </row>
    <row r="7" spans="1:19" x14ac:dyDescent="0.3">
      <c r="A7" s="1" t="str">
        <f>Test!A4</f>
        <v>o10</v>
      </c>
      <c r="B7" s="1">
        <f t="shared" ref="B7:B28" si="4">B6</f>
        <v>-2.8849576573631333</v>
      </c>
      <c r="C7" s="1">
        <f>C$2*Test!O4</f>
        <v>-0.28980657381867231</v>
      </c>
      <c r="D7" s="1">
        <f>D$2*Test!P4</f>
        <v>-0.8700550188624866</v>
      </c>
      <c r="E7" s="1">
        <f>E$2*Test!Q4</f>
        <v>-0.1493435270423204</v>
      </c>
      <c r="F7" s="1">
        <f>F$2*Test!R4</f>
        <v>-3.5299481885173036</v>
      </c>
      <c r="G7" s="1">
        <f>G$2*Test!S4</f>
        <v>4.1295288665322625</v>
      </c>
      <c r="H7" s="1">
        <f>H$2*Test!T4</f>
        <v>0.53379297559414529</v>
      </c>
      <c r="I7" s="1">
        <f>I$2*Test!U4</f>
        <v>-2.6669371690708088</v>
      </c>
      <c r="J7" s="1">
        <f>J$2*Test!V4</f>
        <v>-0.62653554932732458</v>
      </c>
      <c r="K7" s="1">
        <f>K$2*Test!W4</f>
        <v>0.25705603150046635</v>
      </c>
      <c r="L7" s="1">
        <f>L$2*Test!K4</f>
        <v>2.5977482365818982</v>
      </c>
      <c r="N7" s="1" t="str">
        <f t="shared" si="0"/>
        <v>o10</v>
      </c>
      <c r="O7" s="1">
        <f>INDEX(Test!$M$2:$M$25,MATCH(Scoring!$N7,Test!$A$2:$A$25,0))</f>
        <v>0</v>
      </c>
      <c r="P7" s="1">
        <f t="shared" si="1"/>
        <v>-3.4994575737932774</v>
      </c>
      <c r="Q7" s="1">
        <f t="shared" si="2"/>
        <v>3.021376771769509E-2</v>
      </c>
      <c r="R7" s="1">
        <f t="shared" si="3"/>
        <v>2.932766835821829E-2</v>
      </c>
      <c r="S7" s="1">
        <f>MATCH(R7,PERCENTILE($R$5:$R$38,{0,0.1,0.2,0.3,0.4,0.5,0.6,0.7,0.8,0.9}))</f>
        <v>3</v>
      </c>
    </row>
    <row r="8" spans="1:19" x14ac:dyDescent="0.3">
      <c r="A8" s="1" t="str">
        <f>Test!A5</f>
        <v>o14</v>
      </c>
      <c r="B8" s="1">
        <f t="shared" si="4"/>
        <v>-2.8849576573631333</v>
      </c>
      <c r="C8" s="1">
        <f>C$2*Test!O5</f>
        <v>8.8389975628332923E-2</v>
      </c>
      <c r="D8" s="1">
        <f>D$2*Test!P5</f>
        <v>4.9426527244046436</v>
      </c>
      <c r="E8" s="1">
        <f>E$2*Test!Q5</f>
        <v>2.1351070272905064</v>
      </c>
      <c r="F8" s="1">
        <f>F$2*Test!R5</f>
        <v>31.572326572148736</v>
      </c>
      <c r="G8" s="1">
        <f>G$2*Test!S5</f>
        <v>-0.33149764860374425</v>
      </c>
      <c r="H8" s="1">
        <f>H$2*Test!T5</f>
        <v>0.40518250963950531</v>
      </c>
      <c r="I8" s="1">
        <f>I$2*Test!U5</f>
        <v>-3.5636268973166256</v>
      </c>
      <c r="J8" s="1">
        <f>J$2*Test!V5</f>
        <v>0.65632122513924651</v>
      </c>
      <c r="K8" s="1">
        <f>K$2*Test!W5</f>
        <v>0.111995366421365</v>
      </c>
      <c r="L8" s="1">
        <f>L$2*Test!K5</f>
        <v>0</v>
      </c>
      <c r="N8" s="1" t="str">
        <f t="shared" si="0"/>
        <v>o14</v>
      </c>
      <c r="O8" s="1">
        <f>INDEX(Test!$M$2:$M$25,MATCH(Scoring!$N8,Test!$A$2:$A$25,0))</f>
        <v>0</v>
      </c>
      <c r="P8" s="1">
        <f t="shared" si="1"/>
        <v>33.131893197388834</v>
      </c>
      <c r="Q8" s="1">
        <f t="shared" si="2"/>
        <v>244905416636180.91</v>
      </c>
      <c r="R8" s="1">
        <f t="shared" si="3"/>
        <v>0.99999999999999589</v>
      </c>
      <c r="S8" s="1">
        <f>MATCH(R8,PERCENTILE($R$5:$R$38,{0,0.1,0.2,0.3,0.4,0.5,0.6,0.7,0.8,0.9}))</f>
        <v>10</v>
      </c>
    </row>
    <row r="9" spans="1:19" x14ac:dyDescent="0.3">
      <c r="A9" s="1" t="str">
        <f>Test!A6</f>
        <v>o16</v>
      </c>
      <c r="B9" s="1">
        <f t="shared" si="4"/>
        <v>-2.8849576573631333</v>
      </c>
      <c r="C9" s="1">
        <f>C$2*Test!O6</f>
        <v>-0.41006635121858742</v>
      </c>
      <c r="D9" s="1">
        <f>D$2*Test!P6</f>
        <v>-0.74475520279469165</v>
      </c>
      <c r="E9" s="1">
        <f>E$2*Test!Q6</f>
        <v>-0.73730314611470715</v>
      </c>
      <c r="F9" s="1">
        <f>F$2*Test!R6</f>
        <v>1.1227817195685512</v>
      </c>
      <c r="G9" s="1">
        <f>G$2*Test!S6</f>
        <v>1.7642743999356616</v>
      </c>
      <c r="H9" s="1">
        <f>H$2*Test!T6</f>
        <v>-2.5838199861581703</v>
      </c>
      <c r="I9" s="1">
        <f>I$2*Test!U6</f>
        <v>-4.5554376575367748</v>
      </c>
      <c r="J9" s="1">
        <f>J$2*Test!V6</f>
        <v>2.6921875203252599</v>
      </c>
      <c r="K9" s="1">
        <f>K$2*Test!W6</f>
        <v>0.45651444598423074</v>
      </c>
      <c r="L9" s="1">
        <f>L$2*Test!K6</f>
        <v>0</v>
      </c>
      <c r="N9" s="1" t="str">
        <f t="shared" si="0"/>
        <v>o16</v>
      </c>
      <c r="O9" s="1">
        <f>INDEX(Test!$M$2:$M$25,MATCH(Scoring!$N9,Test!$A$2:$A$25,0))</f>
        <v>0</v>
      </c>
      <c r="P9" s="1">
        <f t="shared" si="1"/>
        <v>-5.8805819153723622</v>
      </c>
      <c r="Q9" s="1">
        <f t="shared" si="2"/>
        <v>2.7931594196238568E-3</v>
      </c>
      <c r="R9" s="1">
        <f t="shared" si="3"/>
        <v>2.7853794108851169E-3</v>
      </c>
      <c r="S9" s="1">
        <f>MATCH(R9,PERCENTILE($R$5:$R$38,{0,0.1,0.2,0.3,0.4,0.5,0.6,0.7,0.8,0.9}))</f>
        <v>2</v>
      </c>
    </row>
    <row r="10" spans="1:19" x14ac:dyDescent="0.3">
      <c r="A10" s="1" t="str">
        <f>Test!A7</f>
        <v>o17</v>
      </c>
      <c r="B10" s="1">
        <f t="shared" si="4"/>
        <v>-2.8849576573631333</v>
      </c>
      <c r="C10" s="1">
        <f>C$2*Test!O7</f>
        <v>-6.3945480815590539E-2</v>
      </c>
      <c r="D10" s="1">
        <f>D$2*Test!P7</f>
        <v>0.14850503987405464</v>
      </c>
      <c r="E10" s="1">
        <f>E$2*Test!Q7</f>
        <v>4.1027352485415232E-2</v>
      </c>
      <c r="F10" s="1">
        <f>F$2*Test!R7</f>
        <v>-6.6762292899379236</v>
      </c>
      <c r="G10" s="1">
        <f>G$2*Test!S7</f>
        <v>4.3015970321160806</v>
      </c>
      <c r="H10" s="1">
        <f>H$2*Test!T7</f>
        <v>-18.958433061244204</v>
      </c>
      <c r="I10" s="1">
        <f>I$2*Test!U7</f>
        <v>-29.078103705553062</v>
      </c>
      <c r="J10" s="1">
        <f>J$2*Test!V7</f>
        <v>4.5075016335327884</v>
      </c>
      <c r="K10" s="1">
        <f>K$2*Test!W7</f>
        <v>-1.1210202867509966</v>
      </c>
      <c r="L10" s="1">
        <f>L$2*Test!K7</f>
        <v>0</v>
      </c>
      <c r="N10" s="1" t="str">
        <f t="shared" si="0"/>
        <v>o17</v>
      </c>
      <c r="O10" s="1">
        <f>INDEX(Test!$M$2:$M$25,MATCH(Scoring!$N10,Test!$A$2:$A$25,0))</f>
        <v>0</v>
      </c>
      <c r="P10" s="1">
        <f t="shared" si="1"/>
        <v>-49.784058423656575</v>
      </c>
      <c r="Q10" s="1">
        <f t="shared" si="2"/>
        <v>2.3936361757420992E-22</v>
      </c>
      <c r="R10" s="1">
        <f t="shared" si="3"/>
        <v>2.3936361757420992E-22</v>
      </c>
      <c r="S10" s="1">
        <f>MATCH(R10,PERCENTILE($R$5:$R$38,{0,0.1,0.2,0.3,0.4,0.5,0.6,0.7,0.8,0.9}))</f>
        <v>1</v>
      </c>
    </row>
    <row r="11" spans="1:19" x14ac:dyDescent="0.3">
      <c r="A11" s="1" t="str">
        <f>Test!A8</f>
        <v>o20</v>
      </c>
      <c r="B11" s="1">
        <f t="shared" si="4"/>
        <v>-2.8849576573631333</v>
      </c>
      <c r="C11" s="1">
        <f>C$2*Test!O8</f>
        <v>0.19605006395576205</v>
      </c>
      <c r="D11" s="1">
        <f>D$2*Test!P8</f>
        <v>0.81261444678509687</v>
      </c>
      <c r="E11" s="1">
        <f>E$2*Test!Q8</f>
        <v>1.2396900142905818</v>
      </c>
      <c r="F11" s="1">
        <f>F$2*Test!R8</f>
        <v>0.35946948940558687</v>
      </c>
      <c r="G11" s="1">
        <f>G$2*Test!S8</f>
        <v>1.7087391718900906</v>
      </c>
      <c r="H11" s="1">
        <f>H$2*Test!T8</f>
        <v>0.22119809306550403</v>
      </c>
      <c r="I11" s="1">
        <f>I$2*Test!U8</f>
        <v>-0.74131627788315269</v>
      </c>
      <c r="J11" s="1">
        <f>J$2*Test!V8</f>
        <v>0.25175805109587213</v>
      </c>
      <c r="K11" s="1">
        <f>K$2*Test!W8</f>
        <v>-0.14186079746706237</v>
      </c>
      <c r="L11" s="1">
        <f>L$2*Test!K8</f>
        <v>2.5977482365818982</v>
      </c>
      <c r="N11" s="1" t="str">
        <f t="shared" si="0"/>
        <v>o20</v>
      </c>
      <c r="O11" s="1">
        <f>INDEX(Test!$M$2:$M$25,MATCH(Scoring!$N11,Test!$A$2:$A$25,0))</f>
        <v>0</v>
      </c>
      <c r="P11" s="1">
        <f t="shared" si="1"/>
        <v>3.6191328343570439</v>
      </c>
      <c r="Q11" s="1">
        <f t="shared" si="2"/>
        <v>37.305204000471967</v>
      </c>
      <c r="R11" s="1">
        <f t="shared" si="3"/>
        <v>0.9738938865855491</v>
      </c>
      <c r="S11" s="1">
        <f>MATCH(R11,PERCENTILE($R$5:$R$38,{0,0.1,0.2,0.3,0.4,0.5,0.6,0.7,0.8,0.9}))</f>
        <v>7</v>
      </c>
    </row>
    <row r="12" spans="1:19" x14ac:dyDescent="0.3">
      <c r="A12" s="1" t="str">
        <f>Test!A9</f>
        <v>o26</v>
      </c>
      <c r="B12" s="1">
        <f t="shared" si="4"/>
        <v>-2.8849576573631333</v>
      </c>
      <c r="C12" s="1">
        <f>C$2*Test!O9</f>
        <v>0.15737258704261883</v>
      </c>
      <c r="D12" s="1">
        <f>D$2*Test!P9</f>
        <v>-7.2768848303844558E-2</v>
      </c>
      <c r="E12" s="1">
        <f>E$2*Test!Q9</f>
        <v>0.35016944446187059</v>
      </c>
      <c r="F12" s="1">
        <f>F$2*Test!R9</f>
        <v>0.20927295659819029</v>
      </c>
      <c r="G12" s="1">
        <f>G$2*Test!S9</f>
        <v>-0.23772505042843656</v>
      </c>
      <c r="H12" s="1">
        <f>H$2*Test!T9</f>
        <v>0.97142581113424387</v>
      </c>
      <c r="I12" s="1">
        <f>I$2*Test!U9</f>
        <v>4.4625001786637277</v>
      </c>
      <c r="J12" s="1">
        <f>J$2*Test!V9</f>
        <v>-0.13844965548144705</v>
      </c>
      <c r="K12" s="1">
        <f>K$2*Test!W9</f>
        <v>0.22079086523069102</v>
      </c>
      <c r="L12" s="1">
        <f>L$2*Test!K9</f>
        <v>0</v>
      </c>
      <c r="N12" s="1" t="str">
        <f t="shared" si="0"/>
        <v>o26</v>
      </c>
      <c r="O12" s="1">
        <f>INDEX(Test!$M$2:$M$25,MATCH(Scoring!$N12,Test!$A$2:$A$25,0))</f>
        <v>0</v>
      </c>
      <c r="P12" s="1">
        <f t="shared" si="1"/>
        <v>3.0376306315544812</v>
      </c>
      <c r="Q12" s="1">
        <f t="shared" si="2"/>
        <v>20.855769645152087</v>
      </c>
      <c r="R12" s="1">
        <f t="shared" si="3"/>
        <v>0.95424549140863524</v>
      </c>
      <c r="S12" s="1">
        <f>MATCH(R12,PERCENTILE($R$5:$R$38,{0,0.1,0.2,0.3,0.4,0.5,0.6,0.7,0.8,0.9}))</f>
        <v>6</v>
      </c>
    </row>
    <row r="13" spans="1:19" x14ac:dyDescent="0.3">
      <c r="A13" s="1" t="str">
        <f>Test!A10</f>
        <v>o28</v>
      </c>
      <c r="B13" s="1">
        <f t="shared" si="4"/>
        <v>-2.8849576573631333</v>
      </c>
      <c r="C13" s="1">
        <f>C$2*Test!O10</f>
        <v>0.19610496456174234</v>
      </c>
      <c r="D13" s="1">
        <f>D$2*Test!P10</f>
        <v>2.4792182963642801</v>
      </c>
      <c r="E13" s="1">
        <f>E$2*Test!Q10</f>
        <v>2.3456942834052583</v>
      </c>
      <c r="F13" s="1">
        <f>F$2*Test!R10</f>
        <v>5.2262855002243738</v>
      </c>
      <c r="G13" s="1">
        <f>G$2*Test!S10</f>
        <v>-5.3660847156858091</v>
      </c>
      <c r="H13" s="1">
        <f>H$2*Test!T10</f>
        <v>2.7868578050958197</v>
      </c>
      <c r="I13" s="1">
        <f>I$2*Test!U10</f>
        <v>2.4092779031202634</v>
      </c>
      <c r="J13" s="1">
        <f>J$2*Test!V10</f>
        <v>-4.1162191860756581</v>
      </c>
      <c r="K13" s="1">
        <f>K$2*Test!W10</f>
        <v>0.40211669657956778</v>
      </c>
      <c r="L13" s="1">
        <f>L$2*Test!K10</f>
        <v>0</v>
      </c>
      <c r="N13" s="1" t="str">
        <f t="shared" si="0"/>
        <v>o28</v>
      </c>
      <c r="O13" s="1">
        <f>INDEX(Test!$M$2:$M$25,MATCH(Scoring!$N13,Test!$A$2:$A$25,0))</f>
        <v>0</v>
      </c>
      <c r="P13" s="1">
        <f t="shared" si="1"/>
        <v>3.4782938902267047</v>
      </c>
      <c r="Q13" s="1">
        <f t="shared" si="2"/>
        <v>32.404389441987334</v>
      </c>
      <c r="R13" s="1">
        <f t="shared" si="3"/>
        <v>0.97006381446556067</v>
      </c>
      <c r="S13" s="1">
        <f>MATCH(R13,PERCENTILE($R$5:$R$38,{0,0.1,0.2,0.3,0.4,0.5,0.6,0.7,0.8,0.9}))</f>
        <v>7</v>
      </c>
    </row>
    <row r="14" spans="1:19" x14ac:dyDescent="0.3">
      <c r="A14" s="1" t="str">
        <f>Test!A11</f>
        <v>o29</v>
      </c>
      <c r="B14" s="1">
        <f t="shared" si="4"/>
        <v>-2.8849576573631333</v>
      </c>
      <c r="C14" s="1">
        <f>C$2*Test!O11</f>
        <v>0.13640055555813238</v>
      </c>
      <c r="D14" s="1">
        <f>D$2*Test!P11</f>
        <v>0.25422638501670286</v>
      </c>
      <c r="E14" s="1">
        <f>E$2*Test!Q11</f>
        <v>0.40660682910062412</v>
      </c>
      <c r="F14" s="1">
        <f>F$2*Test!R11</f>
        <v>0.44913906123089847</v>
      </c>
      <c r="G14" s="1">
        <f>G$2*Test!S11</f>
        <v>-0.93601226208339927</v>
      </c>
      <c r="H14" s="1">
        <f>H$2*Test!T11</f>
        <v>4.5135723943016481</v>
      </c>
      <c r="I14" s="1">
        <f>I$2*Test!U11</f>
        <v>4.818624042274938</v>
      </c>
      <c r="J14" s="1">
        <f>J$2*Test!V11</f>
        <v>-5.4473625329280511</v>
      </c>
      <c r="K14" s="1">
        <f>K$2*Test!W11</f>
        <v>7.5730200151589669E-2</v>
      </c>
      <c r="L14" s="1">
        <f>L$2*Test!K11</f>
        <v>0</v>
      </c>
      <c r="N14" s="1" t="str">
        <f t="shared" si="0"/>
        <v>o29</v>
      </c>
      <c r="O14" s="1">
        <f>INDEX(Test!$M$2:$M$25,MATCH(Scoring!$N14,Test!$A$2:$A$25,0))</f>
        <v>0</v>
      </c>
      <c r="P14" s="1">
        <f t="shared" si="1"/>
        <v>1.3859670152599506</v>
      </c>
      <c r="Q14" s="1">
        <f t="shared" si="2"/>
        <v>3.9986908308474813</v>
      </c>
      <c r="R14" s="1">
        <f t="shared" si="3"/>
        <v>0.79994761951891724</v>
      </c>
      <c r="S14" s="1">
        <f>MATCH(R14,PERCENTILE($R$5:$R$38,{0,0.1,0.2,0.3,0.4,0.5,0.6,0.7,0.8,0.9}))</f>
        <v>4</v>
      </c>
    </row>
    <row r="15" spans="1:19" x14ac:dyDescent="0.3">
      <c r="A15" s="1" t="str">
        <f>Test!A12</f>
        <v>o30</v>
      </c>
      <c r="B15" s="1">
        <f t="shared" si="4"/>
        <v>-2.8849576573631333</v>
      </c>
      <c r="C15" s="1">
        <f>C$2*Test!O12</f>
        <v>-0.26919139627305805</v>
      </c>
      <c r="D15" s="1">
        <f>D$2*Test!P12</f>
        <v>1.4642310388130997</v>
      </c>
      <c r="E15" s="1">
        <f>E$2*Test!Q12</f>
        <v>1.6684456677402162</v>
      </c>
      <c r="F15" s="1">
        <f>F$2*Test!R12</f>
        <v>0.80109213064524643</v>
      </c>
      <c r="G15" s="1">
        <f>G$2*Test!S12</f>
        <v>-1.7717719234905123</v>
      </c>
      <c r="H15" s="1">
        <f>H$2*Test!T12</f>
        <v>2.7678044027321698</v>
      </c>
      <c r="I15" s="1">
        <f>I$2*Test!U12</f>
        <v>3.4068887262656751</v>
      </c>
      <c r="J15" s="1">
        <f>J$2*Test!V12</f>
        <v>-3.0252036586554603</v>
      </c>
      <c r="K15" s="1">
        <f>K$2*Test!W12</f>
        <v>-0.21439113000661306</v>
      </c>
      <c r="L15" s="1">
        <f>L$2*Test!K12</f>
        <v>0</v>
      </c>
      <c r="N15" s="1" t="str">
        <f t="shared" si="0"/>
        <v>o30</v>
      </c>
      <c r="O15" s="1">
        <f>INDEX(Test!$M$2:$M$25,MATCH(Scoring!$N15,Test!$A$2:$A$25,0))</f>
        <v>0</v>
      </c>
      <c r="P15" s="1">
        <f t="shared" si="1"/>
        <v>1.9429462004076306</v>
      </c>
      <c r="Q15" s="1">
        <f t="shared" si="2"/>
        <v>6.9792830765812939</v>
      </c>
      <c r="R15" s="1">
        <f t="shared" si="3"/>
        <v>0.87467545763165888</v>
      </c>
      <c r="S15" s="1">
        <f>MATCH(R15,PERCENTILE($R$5:$R$38,{0,0.1,0.2,0.3,0.4,0.5,0.6,0.7,0.8,0.9}))</f>
        <v>5</v>
      </c>
    </row>
    <row r="16" spans="1:19" x14ac:dyDescent="0.3">
      <c r="A16" s="1" t="str">
        <f>Test!A13</f>
        <v>o33</v>
      </c>
      <c r="B16" s="1">
        <f t="shared" si="4"/>
        <v>-2.8849576573631333</v>
      </c>
      <c r="C16" s="1">
        <f>C$2*Test!O13</f>
        <v>0.12624394345177115</v>
      </c>
      <c r="D16" s="1">
        <f>D$2*Test!P13</f>
        <v>2.462912894981427</v>
      </c>
      <c r="E16" s="1">
        <f>E$2*Test!Q13</f>
        <v>1.7552076172594939</v>
      </c>
      <c r="F16" s="1">
        <f>F$2*Test!R13</f>
        <v>3.3297740561190334</v>
      </c>
      <c r="G16" s="1">
        <f>G$2*Test!S13</f>
        <v>-3.8256649476021112</v>
      </c>
      <c r="H16" s="1">
        <f>H$2*Test!T13</f>
        <v>3.0601550452494313</v>
      </c>
      <c r="I16" s="1">
        <f>I$2*Test!U13</f>
        <v>3.831453332395002</v>
      </c>
      <c r="J16" s="1">
        <f>J$2*Test!V13</f>
        <v>-4.2702142007115231</v>
      </c>
      <c r="K16" s="1">
        <f>K$2*Test!W13</f>
        <v>-1.1210202867509966</v>
      </c>
      <c r="L16" s="1">
        <f>L$2*Test!K13</f>
        <v>0</v>
      </c>
      <c r="N16" s="1" t="str">
        <f t="shared" si="0"/>
        <v>o33</v>
      </c>
      <c r="O16" s="1">
        <f>INDEX(Test!$M$2:$M$25,MATCH(Scoring!$N16,Test!$A$2:$A$25,0))</f>
        <v>1</v>
      </c>
      <c r="P16" s="1">
        <f t="shared" si="1"/>
        <v>2.4638897970283944</v>
      </c>
      <c r="Q16" s="1">
        <f t="shared" si="2"/>
        <v>11.750429546000449</v>
      </c>
      <c r="R16" s="1">
        <f t="shared" si="3"/>
        <v>0.92157126970567982</v>
      </c>
      <c r="S16" s="1">
        <f>MATCH(R16,PERCENTILE($R$5:$R$38,{0,0.1,0.2,0.3,0.4,0.5,0.6,0.7,0.8,0.9}))</f>
        <v>6</v>
      </c>
    </row>
    <row r="17" spans="1:19" x14ac:dyDescent="0.3">
      <c r="A17" s="1" t="str">
        <f>Test!A14</f>
        <v>o34</v>
      </c>
      <c r="B17" s="1">
        <f t="shared" si="4"/>
        <v>-2.8849576573631333</v>
      </c>
      <c r="C17" s="1">
        <f>C$2*Test!O14</f>
        <v>6.9586518080069553E-3</v>
      </c>
      <c r="D17" s="1">
        <f>D$2*Test!P14</f>
        <v>-0.17965315222159342</v>
      </c>
      <c r="E17" s="1">
        <f>E$2*Test!Q14</f>
        <v>2.5022721020693993E-2</v>
      </c>
      <c r="F17" s="1">
        <f>F$2*Test!R14</f>
        <v>1.8435009031144933</v>
      </c>
      <c r="G17" s="1">
        <f>G$2*Test!S14</f>
        <v>-1.5004686782842811</v>
      </c>
      <c r="H17" s="1">
        <f>H$2*Test!T14</f>
        <v>2.4224614848910035</v>
      </c>
      <c r="I17" s="1">
        <f>I$2*Test!U14</f>
        <v>3.9277343769543847</v>
      </c>
      <c r="J17" s="1">
        <f>J$2*Test!V14</f>
        <v>-2.3713773677014909</v>
      </c>
      <c r="K17" s="1">
        <f>K$2*Test!W14</f>
        <v>0.47464702911911844</v>
      </c>
      <c r="L17" s="1">
        <f>L$2*Test!K14</f>
        <v>0</v>
      </c>
      <c r="N17" s="1" t="str">
        <f t="shared" si="0"/>
        <v>o34</v>
      </c>
      <c r="O17" s="1">
        <f>INDEX(Test!$M$2:$M$25,MATCH(Scoring!$N17,Test!$A$2:$A$25,0))</f>
        <v>1</v>
      </c>
      <c r="P17" s="1">
        <f t="shared" si="1"/>
        <v>1.7638683113372025</v>
      </c>
      <c r="Q17" s="1">
        <f t="shared" si="2"/>
        <v>5.8349652561717553</v>
      </c>
      <c r="R17" s="1">
        <f t="shared" si="3"/>
        <v>0.85369347721306532</v>
      </c>
      <c r="S17" s="1">
        <f>MATCH(R17,PERCENTILE($R$5:$R$38,{0,0.1,0.2,0.3,0.4,0.5,0.6,0.7,0.8,0.9}))</f>
        <v>5</v>
      </c>
    </row>
    <row r="18" spans="1:19" x14ac:dyDescent="0.3">
      <c r="A18" s="1" t="str">
        <f>Test!A15</f>
        <v>o35</v>
      </c>
      <c r="B18" s="1">
        <f t="shared" si="4"/>
        <v>-2.8849576573631333</v>
      </c>
      <c r="C18" s="1">
        <f>C$2*Test!O15</f>
        <v>0.19849314092188677</v>
      </c>
      <c r="D18" s="1">
        <f>D$2*Test!P15</f>
        <v>0.977430882674866</v>
      </c>
      <c r="E18" s="1">
        <f>E$2*Test!Q15</f>
        <v>1.0796436996433707</v>
      </c>
      <c r="F18" s="1">
        <f>F$2*Test!R15</f>
        <v>-1.5751515227255104</v>
      </c>
      <c r="G18" s="1">
        <f>G$2*Test!S15</f>
        <v>0.30670226713305954</v>
      </c>
      <c r="H18" s="1">
        <f>H$2*Test!T15</f>
        <v>2.4956980002262852</v>
      </c>
      <c r="I18" s="1">
        <f>I$2*Test!U15</f>
        <v>3.9381744902198599</v>
      </c>
      <c r="J18" s="1">
        <f>J$2*Test!V15</f>
        <v>-2.086878103374215</v>
      </c>
      <c r="K18" s="1">
        <f>K$2*Test!W15</f>
        <v>0.20265828209580336</v>
      </c>
      <c r="L18" s="1">
        <f>L$2*Test!K15</f>
        <v>2.5977482365818982</v>
      </c>
      <c r="N18" s="1" t="str">
        <f t="shared" si="0"/>
        <v>o35</v>
      </c>
      <c r="O18" s="1">
        <f>INDEX(Test!$M$2:$M$25,MATCH(Scoring!$N18,Test!$A$2:$A$25,0))</f>
        <v>1</v>
      </c>
      <c r="P18" s="1">
        <f t="shared" si="1"/>
        <v>5.2495617160341705</v>
      </c>
      <c r="Q18" s="1">
        <f t="shared" si="2"/>
        <v>190.48276461927028</v>
      </c>
      <c r="R18" s="1">
        <f t="shared" si="3"/>
        <v>0.99477759785854192</v>
      </c>
      <c r="S18" s="1">
        <f>MATCH(R18,PERCENTILE($R$5:$R$38,{0,0.1,0.2,0.3,0.4,0.5,0.6,0.7,0.8,0.9}))</f>
        <v>9</v>
      </c>
    </row>
    <row r="19" spans="1:19" x14ac:dyDescent="0.3">
      <c r="A19" s="1" t="str">
        <f>Test!A16</f>
        <v>o38</v>
      </c>
      <c r="B19" s="1">
        <f t="shared" si="4"/>
        <v>-2.8849576573631333</v>
      </c>
      <c r="C19" s="1">
        <f>C$2*Test!O16</f>
        <v>0.17426824853306572</v>
      </c>
      <c r="D19" s="1">
        <f>D$2*Test!P16</f>
        <v>-2.7125653751249246</v>
      </c>
      <c r="E19" s="1">
        <f>E$2*Test!Q16</f>
        <v>-2.1532918562302976</v>
      </c>
      <c r="F19" s="1">
        <f>F$2*Test!R16</f>
        <v>-0.18303142013754828</v>
      </c>
      <c r="G19" s="1">
        <f>G$2*Test!S16</f>
        <v>-0.97242880506410134</v>
      </c>
      <c r="H19" s="1">
        <f>H$2*Test!T16</f>
        <v>-0.35278565313946814</v>
      </c>
      <c r="I19" s="1">
        <f>I$2*Test!U16</f>
        <v>-4.7561198347509084</v>
      </c>
      <c r="J19" s="1">
        <f>J$2*Test!V16</f>
        <v>1.9992099544638666</v>
      </c>
      <c r="K19" s="1">
        <f>K$2*Test!W16</f>
        <v>0.47464702911911844</v>
      </c>
      <c r="L19" s="1">
        <f>L$2*Test!K16</f>
        <v>0</v>
      </c>
      <c r="N19" s="1" t="str">
        <f t="shared" si="0"/>
        <v>o38</v>
      </c>
      <c r="O19" s="1">
        <f>INDEX(Test!$M$2:$M$25,MATCH(Scoring!$N19,Test!$A$2:$A$25,0))</f>
        <v>1</v>
      </c>
      <c r="P19" s="1">
        <f t="shared" si="1"/>
        <v>-11.367055369694331</v>
      </c>
      <c r="Q19" s="1">
        <f t="shared" si="2"/>
        <v>1.1570458725628125E-5</v>
      </c>
      <c r="R19" s="1">
        <f t="shared" si="3"/>
        <v>1.1570324851661988E-5</v>
      </c>
      <c r="S19" s="1">
        <f>MATCH(R19,PERCENTILE($R$5:$R$38,{0,0.1,0.2,0.3,0.4,0.5,0.6,0.7,0.8,0.9}))</f>
        <v>1</v>
      </c>
    </row>
    <row r="20" spans="1:19" x14ac:dyDescent="0.3">
      <c r="A20" s="1" t="str">
        <f>Test!A17</f>
        <v>o39</v>
      </c>
      <c r="B20" s="1">
        <f t="shared" si="4"/>
        <v>-2.8849576573631333</v>
      </c>
      <c r="C20" s="1">
        <f>C$2*Test!O17</f>
        <v>8.6111600480149195E-2</v>
      </c>
      <c r="D20" s="1">
        <f>D$2*Test!P17</f>
        <v>0.30550447451263235</v>
      </c>
      <c r="E20" s="1">
        <f>E$2*Test!Q17</f>
        <v>0.89348456523793007</v>
      </c>
      <c r="F20" s="1">
        <f>F$2*Test!R17</f>
        <v>-4.964793204739703E-2</v>
      </c>
      <c r="G20" s="1">
        <f>G$2*Test!S17</f>
        <v>-0.40068908026707872</v>
      </c>
      <c r="H20" s="1">
        <f>H$2*Test!T17</f>
        <v>1.5823255244187882</v>
      </c>
      <c r="I20" s="1">
        <f>I$2*Test!U17</f>
        <v>-1.0092791850303506</v>
      </c>
      <c r="J20" s="1">
        <f>J$2*Test!V17</f>
        <v>-0.96976172601573596</v>
      </c>
      <c r="K20" s="1">
        <f>K$2*Test!W17</f>
        <v>-0.21439113000661306</v>
      </c>
      <c r="L20" s="1">
        <f>L$2*Test!K17</f>
        <v>0</v>
      </c>
      <c r="N20" s="1" t="str">
        <f t="shared" si="0"/>
        <v>o39</v>
      </c>
      <c r="O20" s="1">
        <f>INDEX(Test!$M$2:$M$25,MATCH(Scoring!$N20,Test!$A$2:$A$25,0))</f>
        <v>1</v>
      </c>
      <c r="P20" s="1">
        <f t="shared" si="1"/>
        <v>-2.6613005460808092</v>
      </c>
      <c r="Q20" s="1">
        <f t="shared" si="2"/>
        <v>6.9857309989283509E-2</v>
      </c>
      <c r="R20" s="1">
        <f t="shared" si="3"/>
        <v>6.5295913143766107E-2</v>
      </c>
      <c r="S20" s="1">
        <f>MATCH(R20,PERCENTILE($R$5:$R$38,{0,0.1,0.2,0.3,0.4,0.5,0.6,0.7,0.8,0.9}))</f>
        <v>4</v>
      </c>
    </row>
    <row r="21" spans="1:19" x14ac:dyDescent="0.3">
      <c r="A21" s="1" t="str">
        <f>Test!A18</f>
        <v>o42</v>
      </c>
      <c r="B21" s="1">
        <f t="shared" si="4"/>
        <v>-2.8849576573631333</v>
      </c>
      <c r="C21" s="1">
        <f>C$2*Test!O18</f>
        <v>0.20346164576310671</v>
      </c>
      <c r="D21" s="1">
        <f>D$2*Test!P18</f>
        <v>-0.56025239258827153</v>
      </c>
      <c r="E21" s="1">
        <f>E$2*Test!Q18</f>
        <v>-1.3176816239669631</v>
      </c>
      <c r="F21" s="1">
        <f>F$2*Test!R18</f>
        <v>-3.6655734159030877</v>
      </c>
      <c r="G21" s="1">
        <f>G$2*Test!S18</f>
        <v>1.8698823745796977</v>
      </c>
      <c r="H21" s="1">
        <f>H$2*Test!T18</f>
        <v>-4.7005339049949697</v>
      </c>
      <c r="I21" s="1">
        <f>I$2*Test!U18</f>
        <v>-11.513193142683495</v>
      </c>
      <c r="J21" s="1">
        <f>J$2*Test!V18</f>
        <v>4.3874377238166895</v>
      </c>
      <c r="K21" s="1">
        <f>K$2*Test!W18</f>
        <v>0.34771894717490476</v>
      </c>
      <c r="L21" s="1">
        <f>L$2*Test!K18</f>
        <v>0</v>
      </c>
      <c r="N21" s="1" t="str">
        <f t="shared" si="0"/>
        <v>o42</v>
      </c>
      <c r="O21" s="1">
        <f>INDEX(Test!$M$2:$M$25,MATCH(Scoring!$N21,Test!$A$2:$A$25,0))</f>
        <v>1</v>
      </c>
      <c r="P21" s="1">
        <f t="shared" si="1"/>
        <v>-17.833691446165524</v>
      </c>
      <c r="Q21" s="1">
        <f t="shared" si="2"/>
        <v>1.798565311255327E-8</v>
      </c>
      <c r="R21" s="1">
        <f t="shared" si="3"/>
        <v>1.7985652789069558E-8</v>
      </c>
      <c r="S21" s="1">
        <f>MATCH(R21,PERCENTILE($R$5:$R$38,{0,0.1,0.2,0.3,0.4,0.5,0.6,0.7,0.8,0.9}))</f>
        <v>1</v>
      </c>
    </row>
    <row r="22" spans="1:19" x14ac:dyDescent="0.3">
      <c r="A22" s="1" t="str">
        <f>Test!A19</f>
        <v>o44</v>
      </c>
      <c r="B22" s="1">
        <f t="shared" si="4"/>
        <v>-2.8849576573631333</v>
      </c>
      <c r="C22" s="1">
        <f>C$2*Test!O19</f>
        <v>0.13281829101791578</v>
      </c>
      <c r="D22" s="1">
        <f>D$2*Test!P19</f>
        <v>0.33875070836164162</v>
      </c>
      <c r="E22" s="1">
        <f>E$2*Test!Q19</f>
        <v>0.30552494616554321</v>
      </c>
      <c r="F22" s="1">
        <f>F$2*Test!R19</f>
        <v>1.0420791049257707</v>
      </c>
      <c r="G22" s="1">
        <f>G$2*Test!S19</f>
        <v>-1.5004686782842811</v>
      </c>
      <c r="H22" s="1">
        <f>H$2*Test!T19</f>
        <v>3.504932906675899</v>
      </c>
      <c r="I22" s="1">
        <f>I$2*Test!U19</f>
        <v>4.6075017517953283</v>
      </c>
      <c r="J22" s="1">
        <f>J$2*Test!V19</f>
        <v>-4.1710309709460498</v>
      </c>
      <c r="K22" s="1">
        <f>K$2*Test!W19</f>
        <v>-0.55891020956947879</v>
      </c>
      <c r="L22" s="1">
        <f>L$2*Test!K19</f>
        <v>0</v>
      </c>
      <c r="N22" s="1" t="str">
        <f t="shared" si="0"/>
        <v>o44</v>
      </c>
      <c r="O22" s="1">
        <f>INDEX(Test!$M$2:$M$25,MATCH(Scoring!$N22,Test!$A$2:$A$25,0))</f>
        <v>1</v>
      </c>
      <c r="P22" s="1">
        <f t="shared" si="1"/>
        <v>0.81624019277915616</v>
      </c>
      <c r="Q22" s="1">
        <f t="shared" si="2"/>
        <v>2.2619792238181984</v>
      </c>
      <c r="R22" s="1">
        <f t="shared" si="3"/>
        <v>0.69343765505977562</v>
      </c>
      <c r="S22" s="1">
        <f>MATCH(R22,PERCENTILE($R$5:$R$38,{0,0.1,0.2,0.3,0.4,0.5,0.6,0.7,0.8,0.9}))</f>
        <v>4</v>
      </c>
    </row>
    <row r="23" spans="1:19" x14ac:dyDescent="0.3">
      <c r="A23" s="1" t="str">
        <f>Test!A20</f>
        <v>o49</v>
      </c>
      <c r="B23" s="1">
        <f t="shared" si="4"/>
        <v>-2.8849576573631333</v>
      </c>
      <c r="C23" s="1">
        <f>C$2*Test!O20</f>
        <v>0.14890416857015276</v>
      </c>
      <c r="D23" s="1">
        <f>D$2*Test!P20</f>
        <v>0.45689293279299287</v>
      </c>
      <c r="E23" s="1">
        <f>E$2*Test!Q20</f>
        <v>0.2305558829886917</v>
      </c>
      <c r="F23" s="1">
        <f>F$2*Test!R20</f>
        <v>2.6359557441206842</v>
      </c>
      <c r="G23" s="1">
        <f>G$2*Test!S20</f>
        <v>0.87480033763201293</v>
      </c>
      <c r="H23" s="1">
        <f>H$2*Test!T20</f>
        <v>1.318554985447002</v>
      </c>
      <c r="I23" s="1">
        <f>I$2*Test!U20</f>
        <v>3.7270521997402497</v>
      </c>
      <c r="J23" s="1">
        <f>J$2*Test!V20</f>
        <v>-0.6761271642100608</v>
      </c>
      <c r="K23" s="1">
        <f>K$2*Test!W20</f>
        <v>0.25705603150046635</v>
      </c>
      <c r="L23" s="1">
        <f>L$2*Test!K20</f>
        <v>2.5977482365818982</v>
      </c>
      <c r="N23" s="1" t="str">
        <f t="shared" si="0"/>
        <v>o49</v>
      </c>
      <c r="O23" s="1">
        <f>INDEX(Test!$M$2:$M$25,MATCH(Scoring!$N23,Test!$A$2:$A$25,0))</f>
        <v>1</v>
      </c>
      <c r="P23" s="1">
        <f t="shared" si="1"/>
        <v>8.686435697800956</v>
      </c>
      <c r="Q23" s="1">
        <f t="shared" si="2"/>
        <v>5922.0366521970645</v>
      </c>
      <c r="R23" s="1">
        <f t="shared" si="3"/>
        <v>0.99983116768328129</v>
      </c>
      <c r="S23" s="1">
        <f>MATCH(R23,PERCENTILE($R$5:$R$38,{0,0.1,0.2,0.3,0.4,0.5,0.6,0.7,0.8,0.9}))</f>
        <v>10</v>
      </c>
    </row>
    <row r="24" spans="1:19" x14ac:dyDescent="0.3">
      <c r="A24" s="1" t="str">
        <f>Test!A21</f>
        <v>o50</v>
      </c>
      <c r="B24" s="1">
        <f t="shared" si="4"/>
        <v>-2.8849576573631333</v>
      </c>
      <c r="C24" s="1">
        <f>C$2*Test!O21</f>
        <v>0.19080705608464041</v>
      </c>
      <c r="D24" s="1">
        <f>D$2*Test!P21</f>
        <v>0.78645386897819514</v>
      </c>
      <c r="E24" s="1">
        <f>E$2*Test!Q21</f>
        <v>0.22718648689085558</v>
      </c>
      <c r="F24" s="1">
        <f>F$2*Test!R21</f>
        <v>-0.27270099196285996</v>
      </c>
      <c r="G24" s="1">
        <f>G$2*Test!S21</f>
        <v>-0.66926108474975643</v>
      </c>
      <c r="H24" s="1">
        <f>H$2*Test!T21</f>
        <v>3.8931459798352783</v>
      </c>
      <c r="I24" s="1">
        <f>I$2*Test!U21</f>
        <v>4.279218190225385</v>
      </c>
      <c r="J24" s="1">
        <f>J$2*Test!V21</f>
        <v>-4.349821793023283</v>
      </c>
      <c r="K24" s="1">
        <f>K$2*Test!W21</f>
        <v>0.45651444598423074</v>
      </c>
      <c r="L24" s="1">
        <f>L$2*Test!K21</f>
        <v>2.5977482365818982</v>
      </c>
      <c r="N24" s="1" t="str">
        <f t="shared" si="0"/>
        <v>o50</v>
      </c>
      <c r="O24" s="1">
        <f>INDEX(Test!$M$2:$M$25,MATCH(Scoring!$N24,Test!$A$2:$A$25,0))</f>
        <v>1</v>
      </c>
      <c r="P24" s="1">
        <f t="shared" si="1"/>
        <v>4.2543327374814499</v>
      </c>
      <c r="Q24" s="1">
        <f t="shared" si="2"/>
        <v>70.409819676729143</v>
      </c>
      <c r="R24" s="1">
        <f t="shared" si="3"/>
        <v>0.9859963236915178</v>
      </c>
      <c r="S24" s="1">
        <f>MATCH(R24,PERCENTILE($R$5:$R$38,{0,0.1,0.2,0.3,0.4,0.5,0.6,0.7,0.8,0.9}))</f>
        <v>8</v>
      </c>
    </row>
    <row r="25" spans="1:19" x14ac:dyDescent="0.3">
      <c r="A25" s="1" t="str">
        <f>Test!A22</f>
        <v>o56</v>
      </c>
      <c r="B25" s="1">
        <f t="shared" si="4"/>
        <v>-2.8849576573631333</v>
      </c>
      <c r="C25" s="1">
        <f>C$2*Test!O22</f>
        <v>0.17572311459154447</v>
      </c>
      <c r="D25" s="1">
        <f>D$2*Test!P22</f>
        <v>0.26372188346907044</v>
      </c>
      <c r="E25" s="1">
        <f>E$2*Test!Q22</f>
        <v>0.97350772256153573</v>
      </c>
      <c r="F25" s="1">
        <f>F$2*Test!R22</f>
        <v>3.1672479571856553</v>
      </c>
      <c r="G25" s="1">
        <f>G$2*Test!S22</f>
        <v>-1.0698430575374798</v>
      </c>
      <c r="H25" s="1">
        <f>H$2*Test!T22</f>
        <v>0.45400685319635958</v>
      </c>
      <c r="I25" s="1">
        <f>I$2*Test!U22</f>
        <v>1.600749131338459</v>
      </c>
      <c r="J25" s="1">
        <f>J$2*Test!V22</f>
        <v>0.78552043233374336</v>
      </c>
      <c r="K25" s="1">
        <f>K$2*Test!W22</f>
        <v>0.47464702911911844</v>
      </c>
      <c r="L25" s="1">
        <f>L$2*Test!K22</f>
        <v>2.5977482365818982</v>
      </c>
      <c r="N25" s="1" t="str">
        <f t="shared" si="0"/>
        <v>o56</v>
      </c>
      <c r="O25" s="1">
        <f>INDEX(Test!$M$2:$M$25,MATCH(Scoring!$N25,Test!$A$2:$A$25,0))</f>
        <v>1</v>
      </c>
      <c r="P25" s="1">
        <f t="shared" si="1"/>
        <v>6.5380716454767711</v>
      </c>
      <c r="Q25" s="1">
        <f t="shared" si="2"/>
        <v>690.95289040693297</v>
      </c>
      <c r="R25" s="1">
        <f t="shared" si="3"/>
        <v>0.99855481491028686</v>
      </c>
      <c r="S25" s="1">
        <f>MATCH(R25,PERCENTILE($R$5:$R$38,{0,0.1,0.2,0.3,0.4,0.5,0.6,0.7,0.8,0.9}))</f>
        <v>9</v>
      </c>
    </row>
    <row r="26" spans="1:19" x14ac:dyDescent="0.3">
      <c r="A26" s="1" t="str">
        <f>Test!A23</f>
        <v>o57</v>
      </c>
      <c r="B26" s="1">
        <f t="shared" si="4"/>
        <v>-2.8849576573631333</v>
      </c>
      <c r="C26" s="1">
        <f>C$2*Test!O23</f>
        <v>0.20509493879102156</v>
      </c>
      <c r="D26" s="1">
        <f>D$2*Test!P23</f>
        <v>0.89373381866479262</v>
      </c>
      <c r="E26" s="1">
        <f>E$2*Test!Q23</f>
        <v>1.1621939040403533</v>
      </c>
      <c r="F26" s="1">
        <f>F$2*Test!R23</f>
        <v>-0.87236625354463104</v>
      </c>
      <c r="G26" s="1">
        <f>G$2*Test!S23</f>
        <v>0.17742353955156717</v>
      </c>
      <c r="H26" s="1">
        <f>H$2*Test!T23</f>
        <v>-0.54570135207142956</v>
      </c>
      <c r="I26" s="1">
        <f>I$2*Test!U23</f>
        <v>-4.8257205898540763</v>
      </c>
      <c r="J26" s="1">
        <f>J$2*Test!V23</f>
        <v>1.7107955626458484</v>
      </c>
      <c r="K26" s="1">
        <f>K$2*Test!W23</f>
        <v>7.5730200151589669E-2</v>
      </c>
      <c r="L26" s="1">
        <f>L$2*Test!K23</f>
        <v>0</v>
      </c>
      <c r="N26" s="1" t="str">
        <f t="shared" si="0"/>
        <v>o57</v>
      </c>
      <c r="O26" s="1">
        <f>INDEX(Test!$M$2:$M$25,MATCH(Scoring!$N26,Test!$A$2:$A$25,0))</f>
        <v>1</v>
      </c>
      <c r="P26" s="1">
        <f t="shared" si="1"/>
        <v>-4.9037738889880975</v>
      </c>
      <c r="Q26" s="1">
        <f t="shared" si="2"/>
        <v>7.4185334544341905E-3</v>
      </c>
      <c r="R26" s="1">
        <f t="shared" si="3"/>
        <v>7.3639040856197761E-3</v>
      </c>
      <c r="S26" s="1">
        <f>MATCH(R26,PERCENTILE($R$5:$R$38,{0,0.1,0.2,0.3,0.4,0.5,0.6,0.7,0.8,0.9}))</f>
        <v>3</v>
      </c>
    </row>
    <row r="27" spans="1:19" x14ac:dyDescent="0.3">
      <c r="A27" s="1" t="str">
        <f>Test!A24</f>
        <v>o58</v>
      </c>
      <c r="B27" s="1">
        <f t="shared" si="4"/>
        <v>-2.8849576573631333</v>
      </c>
      <c r="C27" s="1">
        <f>C$2*Test!O24</f>
        <v>-0.1419592419136409</v>
      </c>
      <c r="D27" s="1">
        <f>D$2*Test!P24</f>
        <v>0.40149053588845929</v>
      </c>
      <c r="E27" s="1">
        <f>E$2*Test!Q24</f>
        <v>0.7283841564439647</v>
      </c>
      <c r="F27" s="1">
        <f>F$2*Test!R24</f>
        <v>2.1080261399991631</v>
      </c>
      <c r="G27" s="1">
        <f>G$2*Test!S24</f>
        <v>-2.4409259007609134</v>
      </c>
      <c r="H27" s="1">
        <f>H$2*Test!T24</f>
        <v>3.0988572688005971</v>
      </c>
      <c r="I27" s="1">
        <f>I$2*Test!U24</f>
        <v>4.768743501117668</v>
      </c>
      <c r="J27" s="1">
        <f>J$2*Test!V24</f>
        <v>-3.8434653042206084</v>
      </c>
      <c r="K27" s="1">
        <f>K$2*Test!W24</f>
        <v>0.36585153030979234</v>
      </c>
      <c r="L27" s="1">
        <f>L$2*Test!K24</f>
        <v>2.5977482365818982</v>
      </c>
      <c r="N27" s="1" t="str">
        <f t="shared" si="0"/>
        <v>o58</v>
      </c>
      <c r="O27" s="1">
        <f>INDEX(Test!$M$2:$M$25,MATCH(Scoring!$N27,Test!$A$2:$A$25,0))</f>
        <v>1</v>
      </c>
      <c r="P27" s="1">
        <f t="shared" si="1"/>
        <v>4.7577932648832464</v>
      </c>
      <c r="Q27" s="1">
        <f t="shared" si="2"/>
        <v>116.48858261323518</v>
      </c>
      <c r="R27" s="1">
        <f t="shared" si="3"/>
        <v>0.9914885346494311</v>
      </c>
      <c r="S27" s="1">
        <f>MATCH(R27,PERCENTILE($R$5:$R$38,{0,0.1,0.2,0.3,0.4,0.5,0.6,0.7,0.8,0.9}))</f>
        <v>8</v>
      </c>
    </row>
    <row r="28" spans="1:19" x14ac:dyDescent="0.3">
      <c r="A28" s="1" t="str">
        <f>Test!A25</f>
        <v>o59</v>
      </c>
      <c r="B28" s="1">
        <f t="shared" si="4"/>
        <v>-2.8849576573631333</v>
      </c>
      <c r="C28" s="1">
        <f>C$2*Test!O25</f>
        <v>0.19491087638167015</v>
      </c>
      <c r="D28" s="1">
        <f>D$2*Test!P25</f>
        <v>4.1548380737669248</v>
      </c>
      <c r="E28" s="1">
        <f>E$2*Test!Q25</f>
        <v>4.2148667686797943</v>
      </c>
      <c r="F28" s="1">
        <f>F$2*Test!R25</f>
        <v>0.30903035525384842</v>
      </c>
      <c r="G28" s="1">
        <f>G$2*Test!S25</f>
        <v>-1.3721003642773064</v>
      </c>
      <c r="H28" s="1">
        <f>H$2*Test!T25</f>
        <v>0.84698327694665065</v>
      </c>
      <c r="I28" s="1">
        <f>I$2*Test!U25</f>
        <v>5.5807523106546313</v>
      </c>
      <c r="J28" s="1">
        <f>J$2*Test!V25</f>
        <v>0.22565720115758983</v>
      </c>
      <c r="K28" s="1">
        <f>K$2*Test!W25</f>
        <v>0.42024927971445541</v>
      </c>
      <c r="L28" s="1">
        <f>L$2*Test!K25</f>
        <v>2.5977482365818982</v>
      </c>
      <c r="N28" s="1" t="str">
        <f t="shared" si="0"/>
        <v>o59</v>
      </c>
      <c r="O28" s="1">
        <f>INDEX(Test!$M$2:$M$25,MATCH(Scoring!$N28,Test!$A$2:$A$25,0))</f>
        <v>1</v>
      </c>
      <c r="P28" s="1">
        <f t="shared" si="1"/>
        <v>14.287978357497023</v>
      </c>
      <c r="Q28" s="1">
        <f t="shared" si="2"/>
        <v>1603947.5341599167</v>
      </c>
      <c r="R28" s="1">
        <f t="shared" si="3"/>
        <v>0.99999937653859916</v>
      </c>
      <c r="S28" s="1">
        <f>MATCH(R28,PERCENTILE($R$5:$R$38,{0,0.1,0.2,0.3,0.4,0.5,0.6,0.7,0.8,0.9}))</f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U39"/>
  <sheetViews>
    <sheetView tabSelected="1" workbookViewId="0">
      <selection activeCell="C12" sqref="C12"/>
    </sheetView>
  </sheetViews>
  <sheetFormatPr defaultRowHeight="13.8" outlineLevelCol="1" x14ac:dyDescent="0.25"/>
  <cols>
    <col min="1" max="1" width="12.44140625" style="4" customWidth="1"/>
    <col min="2" max="2" width="10.5546875" style="4" customWidth="1"/>
    <col min="3" max="3" width="12" style="4" customWidth="1"/>
    <col min="4" max="4" width="8.88671875" style="4"/>
    <col min="5" max="5" width="12.5546875" style="4" bestFit="1" customWidth="1"/>
    <col min="6" max="6" width="15.5546875" style="4" hidden="1" customWidth="1" outlineLevel="1"/>
    <col min="7" max="7" width="3" style="4" hidden="1" customWidth="1" outlineLevel="1"/>
    <col min="8" max="8" width="10.77734375" style="4" hidden="1" customWidth="1" outlineLevel="1"/>
    <col min="9" max="9" width="15.77734375" style="4" customWidth="1" collapsed="1"/>
    <col min="10" max="15" width="15.77734375" style="4" customWidth="1"/>
    <col min="16" max="17" width="15.77734375" style="4" hidden="1" customWidth="1" outlineLevel="1"/>
    <col min="18" max="18" width="19.109375" style="4" hidden="1" customWidth="1" outlineLevel="1"/>
    <col min="19" max="19" width="8.88671875" style="4" collapsed="1"/>
    <col min="20" max="20" width="17" style="4" bestFit="1" customWidth="1"/>
    <col min="21" max="21" width="8.21875" style="4" customWidth="1"/>
    <col min="22" max="16384" width="8.88671875" style="4"/>
  </cols>
  <sheetData>
    <row r="1" spans="1:21" x14ac:dyDescent="0.25">
      <c r="A1" s="17" t="s">
        <v>106</v>
      </c>
    </row>
    <row r="3" spans="1:21" ht="15" x14ac:dyDescent="0.25">
      <c r="A3" s="37" t="s">
        <v>107</v>
      </c>
      <c r="B3" s="38"/>
      <c r="C3" s="38"/>
    </row>
    <row r="5" spans="1:21" ht="14.4" x14ac:dyDescent="0.3">
      <c r="A5" s="18" t="s">
        <v>108</v>
      </c>
      <c r="B5" t="s">
        <v>110</v>
      </c>
      <c r="C5" t="s">
        <v>111</v>
      </c>
      <c r="E5" s="21" t="s">
        <v>112</v>
      </c>
      <c r="F5" s="27" t="s">
        <v>95</v>
      </c>
      <c r="G5" s="27"/>
      <c r="H5" s="27"/>
      <c r="I5" s="36" t="s">
        <v>114</v>
      </c>
      <c r="J5" s="36"/>
      <c r="K5" s="36" t="s">
        <v>125</v>
      </c>
      <c r="L5" s="36"/>
      <c r="M5" s="36" t="s">
        <v>117</v>
      </c>
      <c r="N5" s="36"/>
      <c r="O5" s="36"/>
      <c r="P5" s="26" t="s">
        <v>119</v>
      </c>
      <c r="Q5" s="26" t="s">
        <v>121</v>
      </c>
      <c r="R5" s="26" t="s">
        <v>123</v>
      </c>
    </row>
    <row r="6" spans="1:21" ht="14.4" x14ac:dyDescent="0.3">
      <c r="A6" s="19">
        <v>1</v>
      </c>
      <c r="B6" s="20">
        <v>2.3399825113794439E-10</v>
      </c>
      <c r="C6" s="20">
        <v>8.3130119396414242E-6</v>
      </c>
      <c r="E6" s="21" t="s">
        <v>113</v>
      </c>
      <c r="F6" s="27">
        <v>0</v>
      </c>
      <c r="G6" s="27">
        <v>1</v>
      </c>
      <c r="H6" s="27" t="s">
        <v>109</v>
      </c>
      <c r="I6" s="26" t="s">
        <v>115</v>
      </c>
      <c r="J6" s="26" t="s">
        <v>116</v>
      </c>
      <c r="K6" s="26" t="s">
        <v>115</v>
      </c>
      <c r="L6" s="26" t="s">
        <v>116</v>
      </c>
      <c r="M6" s="26" t="s">
        <v>131</v>
      </c>
      <c r="N6" s="26" t="s">
        <v>132</v>
      </c>
      <c r="O6" s="26" t="s">
        <v>118</v>
      </c>
      <c r="P6" s="26" t="s">
        <v>120</v>
      </c>
      <c r="Q6" s="26" t="s">
        <v>122</v>
      </c>
      <c r="R6" s="26" t="s">
        <v>124</v>
      </c>
    </row>
    <row r="7" spans="1:21" ht="14.4" x14ac:dyDescent="0.3">
      <c r="A7" s="19">
        <v>2</v>
      </c>
      <c r="B7" s="20">
        <v>1.3776375601007609E-5</v>
      </c>
      <c r="C7" s="20">
        <v>2.4002127156139593E-5</v>
      </c>
      <c r="E7" s="39">
        <v>0</v>
      </c>
      <c r="F7" s="40">
        <f>COUNTIFS(Estimation!$T$5:$T$38,"="&amp;Validation!$E7,Estimation!$O$5:$O$38,"="&amp;Validation!F$6)</f>
        <v>0</v>
      </c>
      <c r="G7" s="40">
        <f>COUNTIFS(Estimation!$T$5:$T$38,"="&amp;Validation!$E7,Estimation!$O$5:$O$38,"="&amp;Validation!G$6)</f>
        <v>0</v>
      </c>
      <c r="H7" s="40">
        <f>SUM(F7:G7)</f>
        <v>0</v>
      </c>
      <c r="I7" s="41">
        <f>H7/$H$18</f>
        <v>0</v>
      </c>
      <c r="J7" s="41">
        <f>SUM($H$7:H7)/$H$18</f>
        <v>0</v>
      </c>
      <c r="K7" s="42">
        <f t="shared" ref="K7:K18" si="0">IF(ISERROR(G7/H7),0,G7/H7)</f>
        <v>0</v>
      </c>
      <c r="L7" s="42">
        <f>IFERROR(SUM($G$7:G7)/SUM($H$7:H7),0)</f>
        <v>0</v>
      </c>
      <c r="M7" s="41">
        <f>SUM($F$7:F7)/$F$18</f>
        <v>0</v>
      </c>
      <c r="N7" s="41">
        <f>SUM($G$7:G7)/$G$18</f>
        <v>0</v>
      </c>
      <c r="O7" s="41">
        <f t="shared" ref="O7:O17" si="1">ABS(M7-N7)</f>
        <v>0</v>
      </c>
      <c r="P7" s="32">
        <f t="shared" ref="P7:P17" si="2">1-M7</f>
        <v>1</v>
      </c>
      <c r="Q7" s="32">
        <f t="shared" ref="Q7:Q17" si="3">1-N7</f>
        <v>1</v>
      </c>
      <c r="R7" s="29">
        <f t="shared" ref="R7:R17" si="4">(P7-P8)*Q7</f>
        <v>0.21052631578947367</v>
      </c>
    </row>
    <row r="8" spans="1:21" ht="14.4" x14ac:dyDescent="0.3">
      <c r="A8" s="19">
        <v>3</v>
      </c>
      <c r="B8" s="20">
        <v>1.188383665684512E-3</v>
      </c>
      <c r="C8" s="20">
        <v>6.6255671270898063E-3</v>
      </c>
      <c r="E8" s="39">
        <v>1</v>
      </c>
      <c r="F8" s="40">
        <f>COUNTIFS(Estimation!$T$5:$T$38,"="&amp;Validation!$E8,Estimation!$O$5:$O$38,"="&amp;Validation!F$6)</f>
        <v>4</v>
      </c>
      <c r="G8" s="40">
        <f>COUNTIFS(Estimation!$T$5:$T$38,"="&amp;Validation!$E8,Estimation!$O$5:$O$38,"="&amp;Validation!G$6)</f>
        <v>0</v>
      </c>
      <c r="H8" s="40">
        <f t="shared" ref="H8:H17" si="5">SUM(F8:G8)</f>
        <v>4</v>
      </c>
      <c r="I8" s="41">
        <f t="shared" ref="I8:I17" si="6">H8/$H$18</f>
        <v>0.11764705882352941</v>
      </c>
      <c r="J8" s="41">
        <f>SUM($H$7:H8)/$H$18</f>
        <v>0.11764705882352941</v>
      </c>
      <c r="K8" s="42">
        <f t="shared" si="0"/>
        <v>0</v>
      </c>
      <c r="L8" s="42">
        <f>IFERROR(SUM($G$7:G8)/SUM($H$7:H8),0)</f>
        <v>0</v>
      </c>
      <c r="M8" s="41">
        <f>SUM($F$7:F8)/$F$18</f>
        <v>0.21052631578947367</v>
      </c>
      <c r="N8" s="41">
        <f>SUM($G$7:G8)/$G$18</f>
        <v>0</v>
      </c>
      <c r="O8" s="41">
        <f t="shared" si="1"/>
        <v>0.21052631578947367</v>
      </c>
      <c r="P8" s="32">
        <f t="shared" si="2"/>
        <v>0.78947368421052633</v>
      </c>
      <c r="Q8" s="32">
        <f t="shared" si="3"/>
        <v>1</v>
      </c>
      <c r="R8" s="29">
        <f t="shared" si="4"/>
        <v>0.15789473684210531</v>
      </c>
    </row>
    <row r="9" spans="1:21" ht="14.4" x14ac:dyDescent="0.3">
      <c r="A9" s="19">
        <v>4</v>
      </c>
      <c r="B9" s="20">
        <v>2.0755824676171972E-2</v>
      </c>
      <c r="C9" s="20">
        <v>0.1246225893844066</v>
      </c>
      <c r="E9" s="39">
        <v>2</v>
      </c>
      <c r="F9" s="40">
        <f>COUNTIFS(Estimation!$T$5:$T$38,"="&amp;Validation!$E9,Estimation!$O$5:$O$38,"="&amp;Validation!F$6)</f>
        <v>3</v>
      </c>
      <c r="G9" s="40">
        <f>COUNTIFS(Estimation!$T$5:$T$38,"="&amp;Validation!$E9,Estimation!$O$5:$O$38,"="&amp;Validation!G$6)</f>
        <v>0</v>
      </c>
      <c r="H9" s="40">
        <f t="shared" si="5"/>
        <v>3</v>
      </c>
      <c r="I9" s="41">
        <f t="shared" si="6"/>
        <v>8.8235294117647065E-2</v>
      </c>
      <c r="J9" s="41">
        <f>SUM($H$7:H9)/$H$18</f>
        <v>0.20588235294117646</v>
      </c>
      <c r="K9" s="42">
        <f t="shared" si="0"/>
        <v>0</v>
      </c>
      <c r="L9" s="42">
        <f>IFERROR(SUM($G$7:G9)/SUM($H$7:H9),0)</f>
        <v>0</v>
      </c>
      <c r="M9" s="41">
        <f>SUM($F$7:F9)/$F$18</f>
        <v>0.36842105263157893</v>
      </c>
      <c r="N9" s="41">
        <f>SUM($G$7:G9)/$G$18</f>
        <v>0</v>
      </c>
      <c r="O9" s="41">
        <f t="shared" si="1"/>
        <v>0.36842105263157893</v>
      </c>
      <c r="P9" s="32">
        <f t="shared" si="2"/>
        <v>0.63157894736842102</v>
      </c>
      <c r="Q9" s="32">
        <f t="shared" si="3"/>
        <v>1</v>
      </c>
      <c r="R9" s="29">
        <f t="shared" si="4"/>
        <v>0.1578947368421052</v>
      </c>
    </row>
    <row r="10" spans="1:21" ht="14.4" x14ac:dyDescent="0.3">
      <c r="A10" s="19">
        <v>5</v>
      </c>
      <c r="B10" s="20">
        <v>0.23894904174615253</v>
      </c>
      <c r="C10" s="20">
        <v>0.45930740708315376</v>
      </c>
      <c r="E10" s="39">
        <v>3</v>
      </c>
      <c r="F10" s="40">
        <f>COUNTIFS(Estimation!$T$5:$T$38,"="&amp;Validation!$E10,Estimation!$O$5:$O$38,"="&amp;Validation!F$6)</f>
        <v>3</v>
      </c>
      <c r="G10" s="40">
        <f>COUNTIFS(Estimation!$T$5:$T$38,"="&amp;Validation!$E10,Estimation!$O$5:$O$38,"="&amp;Validation!G$6)</f>
        <v>0</v>
      </c>
      <c r="H10" s="40">
        <f t="shared" si="5"/>
        <v>3</v>
      </c>
      <c r="I10" s="41">
        <f t="shared" si="6"/>
        <v>8.8235294117647065E-2</v>
      </c>
      <c r="J10" s="41">
        <f>SUM($H$7:H10)/$H$18</f>
        <v>0.29411764705882354</v>
      </c>
      <c r="K10" s="42">
        <f t="shared" si="0"/>
        <v>0</v>
      </c>
      <c r="L10" s="42">
        <f>IFERROR(SUM($G$7:G10)/SUM($H$7:H10),0)</f>
        <v>0</v>
      </c>
      <c r="M10" s="41">
        <f>SUM($F$7:F10)/$F$18</f>
        <v>0.52631578947368418</v>
      </c>
      <c r="N10" s="41">
        <f>SUM($G$7:G10)/$G$18</f>
        <v>0</v>
      </c>
      <c r="O10" s="41">
        <f t="shared" si="1"/>
        <v>0.52631578947368418</v>
      </c>
      <c r="P10" s="32">
        <f t="shared" si="2"/>
        <v>0.47368421052631582</v>
      </c>
      <c r="Q10" s="32">
        <f t="shared" si="3"/>
        <v>1</v>
      </c>
      <c r="R10" s="29">
        <f t="shared" si="4"/>
        <v>0.21052631578947367</v>
      </c>
    </row>
    <row r="11" spans="1:21" ht="14.4" x14ac:dyDescent="0.3">
      <c r="A11" s="19">
        <v>6</v>
      </c>
      <c r="B11" s="20">
        <v>0.49308949674000768</v>
      </c>
      <c r="C11" s="20">
        <v>0.62478015895297434</v>
      </c>
      <c r="E11" s="39">
        <v>4</v>
      </c>
      <c r="F11" s="40">
        <f>COUNTIFS(Estimation!$T$5:$T$38,"="&amp;Validation!$E11,Estimation!$O$5:$O$38,"="&amp;Validation!F$6)</f>
        <v>4</v>
      </c>
      <c r="G11" s="40">
        <f>COUNTIFS(Estimation!$T$5:$T$38,"="&amp;Validation!$E11,Estimation!$O$5:$O$38,"="&amp;Validation!G$6)</f>
        <v>0</v>
      </c>
      <c r="H11" s="40">
        <f t="shared" si="5"/>
        <v>4</v>
      </c>
      <c r="I11" s="41">
        <f t="shared" si="6"/>
        <v>0.11764705882352941</v>
      </c>
      <c r="J11" s="41">
        <f>SUM($H$7:H11)/$H$18</f>
        <v>0.41176470588235292</v>
      </c>
      <c r="K11" s="42">
        <f t="shared" si="0"/>
        <v>0</v>
      </c>
      <c r="L11" s="42">
        <f>IFERROR(SUM($G$7:G11)/SUM($H$7:H11),0)</f>
        <v>0</v>
      </c>
      <c r="M11" s="41">
        <f>SUM($F$7:F11)/$F$18</f>
        <v>0.73684210526315785</v>
      </c>
      <c r="N11" s="41">
        <f>SUM($G$7:G11)/$G$18</f>
        <v>0</v>
      </c>
      <c r="O11" s="41">
        <f t="shared" si="1"/>
        <v>0.73684210526315785</v>
      </c>
      <c r="P11" s="32">
        <f t="shared" si="2"/>
        <v>0.26315789473684215</v>
      </c>
      <c r="Q11" s="32">
        <f t="shared" si="3"/>
        <v>1</v>
      </c>
      <c r="R11" s="29">
        <f t="shared" si="4"/>
        <v>0.10526315789473684</v>
      </c>
    </row>
    <row r="12" spans="1:21" ht="14.4" x14ac:dyDescent="0.3">
      <c r="A12" s="19">
        <v>7</v>
      </c>
      <c r="B12" s="20">
        <v>0.6277179576409806</v>
      </c>
      <c r="C12" s="20">
        <v>0.82471896807220157</v>
      </c>
      <c r="E12" s="39">
        <v>5</v>
      </c>
      <c r="F12" s="40">
        <f>COUNTIFS(Estimation!$T$5:$T$38,"="&amp;Validation!$E12,Estimation!$O$5:$O$38,"="&amp;Validation!F$6)</f>
        <v>2</v>
      </c>
      <c r="G12" s="40">
        <f>COUNTIFS(Estimation!$T$5:$T$38,"="&amp;Validation!$E12,Estimation!$O$5:$O$38,"="&amp;Validation!G$6)</f>
        <v>1</v>
      </c>
      <c r="H12" s="40">
        <f t="shared" si="5"/>
        <v>3</v>
      </c>
      <c r="I12" s="41">
        <f t="shared" si="6"/>
        <v>8.8235294117647065E-2</v>
      </c>
      <c r="J12" s="41">
        <f>SUM($H$7:H12)/$H$18</f>
        <v>0.5</v>
      </c>
      <c r="K12" s="42">
        <f t="shared" si="0"/>
        <v>0.33333333333333331</v>
      </c>
      <c r="L12" s="42">
        <f>IFERROR(SUM($G$7:G12)/SUM($H$7:H12),0)</f>
        <v>5.8823529411764705E-2</v>
      </c>
      <c r="M12" s="41">
        <f>SUM($F$7:F12)/$F$18</f>
        <v>0.84210526315789469</v>
      </c>
      <c r="N12" s="41">
        <f>SUM($G$7:G12)/$G$18</f>
        <v>6.6666666666666666E-2</v>
      </c>
      <c r="O12" s="41">
        <f t="shared" si="1"/>
        <v>0.77543859649122804</v>
      </c>
      <c r="P12" s="32">
        <f t="shared" si="2"/>
        <v>0.15789473684210531</v>
      </c>
      <c r="Q12" s="32">
        <f t="shared" si="3"/>
        <v>0.93333333333333335</v>
      </c>
      <c r="R12" s="29">
        <f t="shared" si="4"/>
        <v>4.9122807017543908E-2</v>
      </c>
    </row>
    <row r="13" spans="1:21" ht="14.4" x14ac:dyDescent="0.3">
      <c r="A13" s="19">
        <v>8</v>
      </c>
      <c r="B13" s="20">
        <v>0.882847989406089</v>
      </c>
      <c r="C13" s="20">
        <v>0.94618483590711711</v>
      </c>
      <c r="E13" s="43">
        <v>6</v>
      </c>
      <c r="F13" s="44">
        <f>COUNTIFS(Estimation!$T$5:$T$38,"="&amp;Validation!$E13,Estimation!$O$5:$O$38,"="&amp;Validation!F$6)</f>
        <v>1</v>
      </c>
      <c r="G13" s="44">
        <f>COUNTIFS(Estimation!$T$5:$T$38,"="&amp;Validation!$E13,Estimation!$O$5:$O$38,"="&amp;Validation!G$6)</f>
        <v>2</v>
      </c>
      <c r="H13" s="44">
        <f t="shared" si="5"/>
        <v>3</v>
      </c>
      <c r="I13" s="45">
        <f t="shared" si="6"/>
        <v>8.8235294117647065E-2</v>
      </c>
      <c r="J13" s="45">
        <f>SUM($H$7:H13)/$H$18</f>
        <v>0.58823529411764708</v>
      </c>
      <c r="K13" s="46">
        <f t="shared" si="0"/>
        <v>0.66666666666666663</v>
      </c>
      <c r="L13" s="46">
        <f>IFERROR(SUM($G$7:G13)/SUM($H$7:H13),0)</f>
        <v>0.15</v>
      </c>
      <c r="M13" s="45">
        <f>SUM($F$7:F13)/$F$18</f>
        <v>0.89473684210526316</v>
      </c>
      <c r="N13" s="45">
        <f>SUM($G$7:G13)/$G$18</f>
        <v>0.2</v>
      </c>
      <c r="O13" s="45">
        <f t="shared" si="1"/>
        <v>0.6947368421052631</v>
      </c>
      <c r="P13" s="32">
        <f t="shared" si="2"/>
        <v>0.10526315789473684</v>
      </c>
      <c r="Q13" s="32">
        <f t="shared" si="3"/>
        <v>0.8</v>
      </c>
      <c r="R13" s="29">
        <f t="shared" si="4"/>
        <v>4.2105263157894694E-2</v>
      </c>
    </row>
    <row r="14" spans="1:21" ht="15.6" x14ac:dyDescent="0.3">
      <c r="A14" s="19">
        <v>9</v>
      </c>
      <c r="B14" s="20">
        <v>0.95359021055788029</v>
      </c>
      <c r="C14" s="20">
        <v>0.97780046331974091</v>
      </c>
      <c r="E14" s="43">
        <v>7</v>
      </c>
      <c r="F14" s="44">
        <f>COUNTIFS(Estimation!$T$5:$T$38,"="&amp;Validation!$E14,Estimation!$O$5:$O$38,"="&amp;Validation!F$6)</f>
        <v>1</v>
      </c>
      <c r="G14" s="44">
        <f>COUNTIFS(Estimation!$T$5:$T$38,"="&amp;Validation!$E14,Estimation!$O$5:$O$38,"="&amp;Validation!G$6)</f>
        <v>3</v>
      </c>
      <c r="H14" s="44">
        <f t="shared" si="5"/>
        <v>4</v>
      </c>
      <c r="I14" s="45">
        <f t="shared" si="6"/>
        <v>0.11764705882352941</v>
      </c>
      <c r="J14" s="45">
        <f>SUM($H$7:H14)/$H$18</f>
        <v>0.70588235294117652</v>
      </c>
      <c r="K14" s="46">
        <f t="shared" si="0"/>
        <v>0.75</v>
      </c>
      <c r="L14" s="46">
        <f>IFERROR(SUM($G$7:G14)/SUM($H$7:H14),0)</f>
        <v>0.25</v>
      </c>
      <c r="M14" s="45">
        <f>SUM($F$7:F14)/$F$18</f>
        <v>0.94736842105263153</v>
      </c>
      <c r="N14" s="45">
        <f>SUM($G$7:G14)/$G$18</f>
        <v>0.4</v>
      </c>
      <c r="O14" s="45">
        <f t="shared" si="1"/>
        <v>0.5473684210526315</v>
      </c>
      <c r="P14" s="32">
        <f t="shared" si="2"/>
        <v>5.2631578947368474E-2</v>
      </c>
      <c r="Q14" s="32">
        <f t="shared" si="3"/>
        <v>0.6</v>
      </c>
      <c r="R14" s="29">
        <f t="shared" si="4"/>
        <v>3.1578947368421081E-2</v>
      </c>
      <c r="T14" s="33" t="s">
        <v>126</v>
      </c>
      <c r="U14" s="34">
        <f>SUM(R7:R17)</f>
        <v>0.96491228070175428</v>
      </c>
    </row>
    <row r="15" spans="1:21" ht="15.6" x14ac:dyDescent="0.3">
      <c r="A15" s="19">
        <v>10</v>
      </c>
      <c r="B15" s="20">
        <v>0.98332760080163473</v>
      </c>
      <c r="C15" s="20">
        <v>0.99795760184316462</v>
      </c>
      <c r="E15" s="23">
        <v>8</v>
      </c>
      <c r="F15" s="24">
        <f>COUNTIFS(Estimation!$T$5:$T$38,"="&amp;Validation!$E15,Estimation!$O$5:$O$38,"="&amp;Validation!F$6)</f>
        <v>1</v>
      </c>
      <c r="G15" s="24">
        <f>COUNTIFS(Estimation!$T$5:$T$38,"="&amp;Validation!$E15,Estimation!$O$5:$O$38,"="&amp;Validation!G$6)</f>
        <v>2</v>
      </c>
      <c r="H15" s="24">
        <f t="shared" si="5"/>
        <v>3</v>
      </c>
      <c r="I15" s="28">
        <f t="shared" si="6"/>
        <v>8.8235294117647065E-2</v>
      </c>
      <c r="J15" s="28">
        <f>SUM($H$7:H15)/$H$18</f>
        <v>0.79411764705882348</v>
      </c>
      <c r="K15" s="29">
        <f t="shared" si="0"/>
        <v>0.66666666666666663</v>
      </c>
      <c r="L15" s="29">
        <f>IFERROR(SUM($G$7:G15)/SUM($H$7:H15),0)</f>
        <v>0.29629629629629628</v>
      </c>
      <c r="M15" s="28">
        <f>SUM($F$7:F15)/$F$18</f>
        <v>1</v>
      </c>
      <c r="N15" s="28">
        <f>SUM($G$7:G15)/$G$18</f>
        <v>0.53333333333333333</v>
      </c>
      <c r="O15" s="28">
        <f t="shared" si="1"/>
        <v>0.46666666666666667</v>
      </c>
      <c r="P15" s="32">
        <f t="shared" si="2"/>
        <v>0</v>
      </c>
      <c r="Q15" s="32">
        <f t="shared" si="3"/>
        <v>0.46666666666666667</v>
      </c>
      <c r="R15" s="29">
        <f t="shared" si="4"/>
        <v>0</v>
      </c>
      <c r="T15" s="33" t="s">
        <v>127</v>
      </c>
      <c r="U15" s="35">
        <f>2*U14-1</f>
        <v>0.92982456140350855</v>
      </c>
    </row>
    <row r="16" spans="1:21" ht="15.6" x14ac:dyDescent="0.3">
      <c r="A16" s="19" t="s">
        <v>109</v>
      </c>
      <c r="B16" s="20">
        <v>2.3399825113794439E-10</v>
      </c>
      <c r="C16" s="20">
        <v>0.99795760184316462</v>
      </c>
      <c r="E16" s="23">
        <v>9</v>
      </c>
      <c r="F16" s="24">
        <f>COUNTIFS(Estimation!$T$5:$T$38,"="&amp;Validation!$E16,Estimation!$O$5:$O$38,"="&amp;Validation!F$6)</f>
        <v>0</v>
      </c>
      <c r="G16" s="24">
        <f>COUNTIFS(Estimation!$T$5:$T$38,"="&amp;Validation!$E16,Estimation!$O$5:$O$38,"="&amp;Validation!G$6)</f>
        <v>3</v>
      </c>
      <c r="H16" s="24">
        <f t="shared" si="5"/>
        <v>3</v>
      </c>
      <c r="I16" s="28">
        <f t="shared" si="6"/>
        <v>8.8235294117647065E-2</v>
      </c>
      <c r="J16" s="28">
        <f>SUM($H$7:H16)/$H$18</f>
        <v>0.88235294117647056</v>
      </c>
      <c r="K16" s="29">
        <f t="shared" si="0"/>
        <v>1</v>
      </c>
      <c r="L16" s="29">
        <f>IFERROR(SUM($G$7:G16)/SUM($H$7:H16),0)</f>
        <v>0.36666666666666664</v>
      </c>
      <c r="M16" s="28">
        <f>SUM($F$7:F16)/$F$18</f>
        <v>1</v>
      </c>
      <c r="N16" s="28">
        <f>SUM($G$7:G16)/$G$18</f>
        <v>0.73333333333333328</v>
      </c>
      <c r="O16" s="28">
        <f t="shared" si="1"/>
        <v>0.26666666666666672</v>
      </c>
      <c r="P16" s="32">
        <f t="shared" si="2"/>
        <v>0</v>
      </c>
      <c r="Q16" s="32">
        <f t="shared" si="3"/>
        <v>0.26666666666666672</v>
      </c>
      <c r="R16" s="29">
        <f t="shared" si="4"/>
        <v>0</v>
      </c>
      <c r="T16" s="33" t="s">
        <v>128</v>
      </c>
      <c r="U16" s="34">
        <f>MAX(O7:O17)</f>
        <v>0.77543859649122804</v>
      </c>
    </row>
    <row r="17" spans="1:21" ht="15.6" x14ac:dyDescent="0.3">
      <c r="A17" s="1"/>
      <c r="B17" s="1"/>
      <c r="C17" s="1"/>
      <c r="E17" s="23">
        <v>10</v>
      </c>
      <c r="F17" s="24">
        <f>COUNTIFS(Estimation!$T$5:$T$38,"="&amp;Validation!$E17,Estimation!$O$5:$O$38,"="&amp;Validation!F$6)</f>
        <v>0</v>
      </c>
      <c r="G17" s="24">
        <f>COUNTIFS(Estimation!$T$5:$T$38,"="&amp;Validation!$E17,Estimation!$O$5:$O$38,"="&amp;Validation!G$6)</f>
        <v>4</v>
      </c>
      <c r="H17" s="24">
        <f t="shared" si="5"/>
        <v>4</v>
      </c>
      <c r="I17" s="28">
        <f t="shared" si="6"/>
        <v>0.11764705882352941</v>
      </c>
      <c r="J17" s="28">
        <f>SUM($H$7:H17)/$H$18</f>
        <v>1</v>
      </c>
      <c r="K17" s="29">
        <f t="shared" si="0"/>
        <v>1</v>
      </c>
      <c r="L17" s="29">
        <f>IFERROR(SUM($G$7:G17)/SUM($H$7:H17),0)</f>
        <v>0.44117647058823528</v>
      </c>
      <c r="M17" s="28">
        <f>SUM($F$7:F17)/$F$18</f>
        <v>1</v>
      </c>
      <c r="N17" s="28">
        <f>SUM($G$7:G17)/$G$18</f>
        <v>1</v>
      </c>
      <c r="O17" s="28">
        <f t="shared" si="1"/>
        <v>0</v>
      </c>
      <c r="P17" s="32">
        <f t="shared" si="2"/>
        <v>0</v>
      </c>
      <c r="Q17" s="32">
        <f t="shared" si="3"/>
        <v>0</v>
      </c>
      <c r="R17" s="29">
        <f t="shared" si="4"/>
        <v>0</v>
      </c>
      <c r="T17" s="33" t="s">
        <v>129</v>
      </c>
      <c r="U17" s="35">
        <f>INDEX($C$6:$C$15,MATCH(INDEX($E$7:$E$17,MATCH($U$16,$O$7:$O$17,0)),$A$6:$A$15,0))</f>
        <v>0.45930740708315376</v>
      </c>
    </row>
    <row r="18" spans="1:21" ht="14.4" x14ac:dyDescent="0.3">
      <c r="A18" s="1"/>
      <c r="B18" s="1"/>
      <c r="C18" s="1"/>
      <c r="E18" s="22" t="s">
        <v>109</v>
      </c>
      <c r="F18" s="25">
        <f t="shared" ref="F18:G18" si="7">SUM(F7:F17)</f>
        <v>19</v>
      </c>
      <c r="G18" s="25">
        <f t="shared" si="7"/>
        <v>15</v>
      </c>
      <c r="H18" s="25">
        <f>SUM(F18:G18)</f>
        <v>34</v>
      </c>
      <c r="I18" s="25"/>
      <c r="J18" s="25"/>
      <c r="K18" s="31">
        <f t="shared" si="0"/>
        <v>0.44117647058823528</v>
      </c>
      <c r="L18" s="31"/>
      <c r="M18" s="30"/>
      <c r="N18" s="25"/>
      <c r="O18" s="25"/>
      <c r="P18" s="25"/>
      <c r="Q18" s="25"/>
      <c r="R18" s="25"/>
    </row>
    <row r="19" spans="1:21" ht="14.4" x14ac:dyDescent="0.3">
      <c r="A19" s="1"/>
      <c r="B19" s="1"/>
      <c r="C19" s="1"/>
      <c r="E19"/>
      <c r="F19"/>
      <c r="G19"/>
    </row>
    <row r="22" spans="1:21" x14ac:dyDescent="0.25">
      <c r="A22" s="17" t="s">
        <v>130</v>
      </c>
    </row>
    <row r="24" spans="1:21" ht="15" x14ac:dyDescent="0.25">
      <c r="A24" s="37" t="s">
        <v>107</v>
      </c>
      <c r="B24" s="38"/>
      <c r="C24" s="38"/>
    </row>
    <row r="26" spans="1:21" ht="14.4" x14ac:dyDescent="0.3">
      <c r="A26" s="18" t="s">
        <v>108</v>
      </c>
      <c r="B26" t="s">
        <v>110</v>
      </c>
      <c r="C26" t="s">
        <v>111</v>
      </c>
      <c r="E26" s="21" t="s">
        <v>112</v>
      </c>
      <c r="F26" s="27" t="s">
        <v>95</v>
      </c>
      <c r="G26" s="27"/>
      <c r="H26" s="27"/>
      <c r="I26" s="36" t="s">
        <v>114</v>
      </c>
      <c r="J26" s="36"/>
      <c r="K26" s="36" t="s">
        <v>125</v>
      </c>
      <c r="L26" s="36"/>
      <c r="M26" s="36" t="s">
        <v>117</v>
      </c>
      <c r="N26" s="36"/>
      <c r="O26" s="36"/>
      <c r="P26" s="26" t="s">
        <v>119</v>
      </c>
      <c r="Q26" s="26" t="s">
        <v>121</v>
      </c>
      <c r="R26" s="26" t="s">
        <v>123</v>
      </c>
    </row>
    <row r="27" spans="1:21" ht="14.4" x14ac:dyDescent="0.3">
      <c r="A27" s="19">
        <v>1</v>
      </c>
      <c r="B27" s="20">
        <v>2.3936361757420992E-22</v>
      </c>
      <c r="C27" s="20">
        <v>1.1570324851661988E-5</v>
      </c>
      <c r="E27" s="21" t="s">
        <v>113</v>
      </c>
      <c r="F27" s="27">
        <v>0</v>
      </c>
      <c r="G27" s="27">
        <v>1</v>
      </c>
      <c r="H27" s="27" t="s">
        <v>109</v>
      </c>
      <c r="I27" s="26" t="s">
        <v>115</v>
      </c>
      <c r="J27" s="26" t="s">
        <v>116</v>
      </c>
      <c r="K27" s="26" t="s">
        <v>115</v>
      </c>
      <c r="L27" s="26" t="s">
        <v>116</v>
      </c>
      <c r="M27" s="26">
        <v>0</v>
      </c>
      <c r="N27" s="26">
        <v>1</v>
      </c>
      <c r="O27" s="26" t="s">
        <v>118</v>
      </c>
      <c r="P27" s="26" t="s">
        <v>120</v>
      </c>
      <c r="Q27" s="26" t="s">
        <v>122</v>
      </c>
      <c r="R27" s="26" t="s">
        <v>124</v>
      </c>
    </row>
    <row r="28" spans="1:21" ht="14.4" x14ac:dyDescent="0.3">
      <c r="A28" s="19">
        <v>2</v>
      </c>
      <c r="B28" s="20">
        <v>2.3849962271918913E-4</v>
      </c>
      <c r="C28" s="20">
        <v>2.7853794108851169E-3</v>
      </c>
      <c r="E28" s="23">
        <v>0</v>
      </c>
      <c r="F28" s="24">
        <f>COUNTIFS(Scoring!$S$5:$S$28,"="&amp;Validation!$E28,Scoring!$O$5:$O$28,"="&amp;Validation!F$27)</f>
        <v>0</v>
      </c>
      <c r="G28" s="24">
        <f>COUNTIFS(Scoring!$S$5:$S$28,"="&amp;Validation!$E28,Scoring!$O$5:$O$28,"="&amp;Validation!G$27)</f>
        <v>0</v>
      </c>
      <c r="H28" s="24">
        <f>SUM(F28:G28)</f>
        <v>0</v>
      </c>
      <c r="I28" s="28">
        <f>H28/$H$39</f>
        <v>0</v>
      </c>
      <c r="J28" s="28">
        <f>SUM($H$28:H28)/$H$39</f>
        <v>0</v>
      </c>
      <c r="K28" s="29">
        <f t="shared" ref="K28:K39" si="8">IF(ISERROR(G28/H28),0,G28/H28)</f>
        <v>0</v>
      </c>
      <c r="L28" s="29">
        <f>IFERROR(SUM($G$28:G28)/SUM($H$28:H28),0)</f>
        <v>0</v>
      </c>
      <c r="M28" s="28">
        <f>SUM($F$28:F28)/$F$39</f>
        <v>0</v>
      </c>
      <c r="N28" s="28">
        <f>SUM($G$28:G28)/$G$39</f>
        <v>0</v>
      </c>
      <c r="O28" s="28">
        <f t="shared" ref="O28:O38" si="9">ABS(M28-N28)</f>
        <v>0</v>
      </c>
      <c r="P28" s="32">
        <f t="shared" ref="P28:P38" si="10">1-M28</f>
        <v>1</v>
      </c>
      <c r="Q28" s="32">
        <f t="shared" ref="Q28:Q38" si="11">1-N28</f>
        <v>1</v>
      </c>
      <c r="R28" s="29">
        <f t="shared" ref="R28:R38" si="12">(P28-P29)*Q28</f>
        <v>9.0909090909090939E-2</v>
      </c>
    </row>
    <row r="29" spans="1:21" ht="14.4" x14ac:dyDescent="0.3">
      <c r="A29" s="19">
        <v>3</v>
      </c>
      <c r="B29" s="20">
        <v>7.3639040856197761E-3</v>
      </c>
      <c r="C29" s="20">
        <v>2.932766835821829E-2</v>
      </c>
      <c r="E29" s="23">
        <v>1</v>
      </c>
      <c r="F29" s="24">
        <f>COUNTIFS(Scoring!$S$5:$S$28,"="&amp;Validation!$E29,Scoring!$O$5:$O$28,"="&amp;Validation!F$27)</f>
        <v>1</v>
      </c>
      <c r="G29" s="24">
        <f>COUNTIFS(Scoring!$S$5:$S$28,"="&amp;Validation!$E29,Scoring!$O$5:$O$28,"="&amp;Validation!G$27)</f>
        <v>2</v>
      </c>
      <c r="H29" s="24">
        <f t="shared" ref="H29:H38" si="13">SUM(F29:G29)</f>
        <v>3</v>
      </c>
      <c r="I29" s="28">
        <f t="shared" ref="I29:I38" si="14">H29/$H$39</f>
        <v>0.125</v>
      </c>
      <c r="J29" s="28">
        <f>SUM($H$28:H29)/$H$39</f>
        <v>0.125</v>
      </c>
      <c r="K29" s="29">
        <f t="shared" si="8"/>
        <v>0.66666666666666663</v>
      </c>
      <c r="L29" s="29">
        <f>IFERROR(SUM($G$28:G29)/SUM($H$28:H29),0)</f>
        <v>0.66666666666666663</v>
      </c>
      <c r="M29" s="28">
        <f>SUM($F$28:F29)/$F$39</f>
        <v>9.0909090909090912E-2</v>
      </c>
      <c r="N29" s="28">
        <f>SUM($G$28:G29)/$G$39</f>
        <v>0.15384615384615385</v>
      </c>
      <c r="O29" s="28">
        <f t="shared" si="9"/>
        <v>6.2937062937062943E-2</v>
      </c>
      <c r="P29" s="32">
        <f t="shared" si="10"/>
        <v>0.90909090909090906</v>
      </c>
      <c r="Q29" s="32">
        <f t="shared" si="11"/>
        <v>0.84615384615384615</v>
      </c>
      <c r="R29" s="29">
        <f t="shared" si="12"/>
        <v>0.1538461538461538</v>
      </c>
    </row>
    <row r="30" spans="1:21" ht="14.4" x14ac:dyDescent="0.3">
      <c r="A30" s="19">
        <v>4</v>
      </c>
      <c r="B30" s="20">
        <v>6.5295913143766107E-2</v>
      </c>
      <c r="C30" s="20">
        <v>0.79994761951891724</v>
      </c>
      <c r="E30" s="23">
        <v>2</v>
      </c>
      <c r="F30" s="24">
        <f>COUNTIFS(Scoring!$S$5:$S$28,"="&amp;Validation!$E30,Scoring!$O$5:$O$28,"="&amp;Validation!F$27)</f>
        <v>2</v>
      </c>
      <c r="G30" s="24">
        <f>COUNTIFS(Scoring!$S$5:$S$28,"="&amp;Validation!$E30,Scoring!$O$5:$O$28,"="&amp;Validation!G$27)</f>
        <v>0</v>
      </c>
      <c r="H30" s="24">
        <f t="shared" si="13"/>
        <v>2</v>
      </c>
      <c r="I30" s="28">
        <f t="shared" si="14"/>
        <v>8.3333333333333329E-2</v>
      </c>
      <c r="J30" s="28">
        <f>SUM($H$28:H30)/$H$39</f>
        <v>0.20833333333333334</v>
      </c>
      <c r="K30" s="29">
        <f t="shared" si="8"/>
        <v>0</v>
      </c>
      <c r="L30" s="29">
        <f>IFERROR(SUM($G$28:G30)/SUM($H$28:H30),0)</f>
        <v>0.4</v>
      </c>
      <c r="M30" s="28">
        <f>SUM($F$28:F30)/$F$39</f>
        <v>0.27272727272727271</v>
      </c>
      <c r="N30" s="28">
        <f>SUM($G$28:G30)/$G$39</f>
        <v>0.15384615384615385</v>
      </c>
      <c r="O30" s="28">
        <f t="shared" si="9"/>
        <v>0.11888111888111885</v>
      </c>
      <c r="P30" s="32">
        <f t="shared" si="10"/>
        <v>0.72727272727272729</v>
      </c>
      <c r="Q30" s="32">
        <f t="shared" si="11"/>
        <v>0.84615384615384615</v>
      </c>
      <c r="R30" s="29">
        <f t="shared" si="12"/>
        <v>7.6923076923076941E-2</v>
      </c>
    </row>
    <row r="31" spans="1:21" ht="14.4" x14ac:dyDescent="0.3">
      <c r="A31" s="19">
        <v>5</v>
      </c>
      <c r="B31" s="20">
        <v>0.85369347721306532</v>
      </c>
      <c r="C31" s="20">
        <v>0.87467545763165888</v>
      </c>
      <c r="E31" s="23">
        <v>3</v>
      </c>
      <c r="F31" s="24">
        <f>COUNTIFS(Scoring!$S$5:$S$28,"="&amp;Validation!$E31,Scoring!$O$5:$O$28,"="&amp;Validation!F$27)</f>
        <v>1</v>
      </c>
      <c r="G31" s="24">
        <f>COUNTIFS(Scoring!$S$5:$S$28,"="&amp;Validation!$E31,Scoring!$O$5:$O$28,"="&amp;Validation!G$27)</f>
        <v>1</v>
      </c>
      <c r="H31" s="24">
        <f t="shared" si="13"/>
        <v>2</v>
      </c>
      <c r="I31" s="28">
        <f t="shared" si="14"/>
        <v>8.3333333333333329E-2</v>
      </c>
      <c r="J31" s="28">
        <f>SUM($H$28:H31)/$H$39</f>
        <v>0.29166666666666669</v>
      </c>
      <c r="K31" s="29">
        <f t="shared" si="8"/>
        <v>0.5</v>
      </c>
      <c r="L31" s="29">
        <f>IFERROR(SUM($G$28:G31)/SUM($H$28:H31),0)</f>
        <v>0.42857142857142855</v>
      </c>
      <c r="M31" s="28">
        <f>SUM($F$28:F31)/$F$39</f>
        <v>0.36363636363636365</v>
      </c>
      <c r="N31" s="28">
        <f>SUM($G$28:G31)/$G$39</f>
        <v>0.23076923076923078</v>
      </c>
      <c r="O31" s="28">
        <f t="shared" si="9"/>
        <v>0.13286713286713286</v>
      </c>
      <c r="P31" s="32">
        <f t="shared" si="10"/>
        <v>0.63636363636363635</v>
      </c>
      <c r="Q31" s="32">
        <f t="shared" si="11"/>
        <v>0.76923076923076916</v>
      </c>
      <c r="R31" s="29">
        <f t="shared" si="12"/>
        <v>6.9930069930069949E-2</v>
      </c>
    </row>
    <row r="32" spans="1:21" ht="14.4" x14ac:dyDescent="0.3">
      <c r="A32" s="19">
        <v>6</v>
      </c>
      <c r="B32" s="20">
        <v>0.92157126970567982</v>
      </c>
      <c r="C32" s="20">
        <v>0.95424549140863524</v>
      </c>
      <c r="E32" s="23">
        <v>4</v>
      </c>
      <c r="F32" s="24">
        <f>COUNTIFS(Scoring!$S$5:$S$28,"="&amp;Validation!$E32,Scoring!$O$5:$O$28,"="&amp;Validation!F$27)</f>
        <v>1</v>
      </c>
      <c r="G32" s="24">
        <f>COUNTIFS(Scoring!$S$5:$S$28,"="&amp;Validation!$E32,Scoring!$O$5:$O$28,"="&amp;Validation!G$27)</f>
        <v>2</v>
      </c>
      <c r="H32" s="24">
        <f t="shared" si="13"/>
        <v>3</v>
      </c>
      <c r="I32" s="28">
        <f t="shared" si="14"/>
        <v>0.125</v>
      </c>
      <c r="J32" s="28">
        <f>SUM($H$28:H32)/$H$39</f>
        <v>0.41666666666666669</v>
      </c>
      <c r="K32" s="29">
        <f t="shared" si="8"/>
        <v>0.66666666666666663</v>
      </c>
      <c r="L32" s="29">
        <f>IFERROR(SUM($G$28:G32)/SUM($H$28:H32),0)</f>
        <v>0.5</v>
      </c>
      <c r="M32" s="28">
        <f>SUM($F$28:F32)/$F$39</f>
        <v>0.45454545454545453</v>
      </c>
      <c r="N32" s="28">
        <f>SUM($G$28:G32)/$G$39</f>
        <v>0.38461538461538464</v>
      </c>
      <c r="O32" s="28">
        <f t="shared" si="9"/>
        <v>6.9930069930069894E-2</v>
      </c>
      <c r="P32" s="32">
        <f t="shared" si="10"/>
        <v>0.54545454545454541</v>
      </c>
      <c r="Q32" s="32">
        <f t="shared" si="11"/>
        <v>0.61538461538461542</v>
      </c>
      <c r="R32" s="29">
        <f t="shared" si="12"/>
        <v>5.5944055944055895E-2</v>
      </c>
    </row>
    <row r="33" spans="1:21" ht="14.4" x14ac:dyDescent="0.3">
      <c r="A33" s="19">
        <v>7</v>
      </c>
      <c r="B33" s="20">
        <v>0.96456397620105139</v>
      </c>
      <c r="C33" s="20">
        <v>0.9738938865855491</v>
      </c>
      <c r="E33" s="23">
        <v>5</v>
      </c>
      <c r="F33" s="24">
        <f>COUNTIFS(Scoring!$S$5:$S$28,"="&amp;Validation!$E33,Scoring!$O$5:$O$28,"="&amp;Validation!F$27)</f>
        <v>1</v>
      </c>
      <c r="G33" s="24">
        <f>COUNTIFS(Scoring!$S$5:$S$28,"="&amp;Validation!$E33,Scoring!$O$5:$O$28,"="&amp;Validation!G$27)</f>
        <v>1</v>
      </c>
      <c r="H33" s="24">
        <f t="shared" si="13"/>
        <v>2</v>
      </c>
      <c r="I33" s="28">
        <f t="shared" si="14"/>
        <v>8.3333333333333329E-2</v>
      </c>
      <c r="J33" s="28">
        <f>SUM($H$28:H33)/$H$39</f>
        <v>0.5</v>
      </c>
      <c r="K33" s="29">
        <f t="shared" si="8"/>
        <v>0.5</v>
      </c>
      <c r="L33" s="29">
        <f>IFERROR(SUM($G$28:G33)/SUM($H$28:H33),0)</f>
        <v>0.5</v>
      </c>
      <c r="M33" s="28">
        <f>SUM($F$28:F33)/$F$39</f>
        <v>0.54545454545454541</v>
      </c>
      <c r="N33" s="28">
        <f>SUM($G$28:G33)/$G$39</f>
        <v>0.46153846153846156</v>
      </c>
      <c r="O33" s="28">
        <f t="shared" si="9"/>
        <v>8.391608391608385E-2</v>
      </c>
      <c r="P33" s="32">
        <f t="shared" si="10"/>
        <v>0.45454545454545459</v>
      </c>
      <c r="Q33" s="32">
        <f t="shared" si="11"/>
        <v>0.53846153846153844</v>
      </c>
      <c r="R33" s="29">
        <f t="shared" si="12"/>
        <v>4.8951048951048966E-2</v>
      </c>
    </row>
    <row r="34" spans="1:21" ht="14.4" x14ac:dyDescent="0.3">
      <c r="A34" s="19">
        <v>8</v>
      </c>
      <c r="B34" s="20">
        <v>0.9859963236915178</v>
      </c>
      <c r="C34" s="20">
        <v>0.9914885346494311</v>
      </c>
      <c r="E34" s="23">
        <v>6</v>
      </c>
      <c r="F34" s="24">
        <f>COUNTIFS(Scoring!$S$5:$S$28,"="&amp;Validation!$E34,Scoring!$O$5:$O$28,"="&amp;Validation!F$27)</f>
        <v>1</v>
      </c>
      <c r="G34" s="24">
        <f>COUNTIFS(Scoring!$S$5:$S$28,"="&amp;Validation!$E34,Scoring!$O$5:$O$28,"="&amp;Validation!G$27)</f>
        <v>1</v>
      </c>
      <c r="H34" s="24">
        <f t="shared" si="13"/>
        <v>2</v>
      </c>
      <c r="I34" s="28">
        <f t="shared" si="14"/>
        <v>8.3333333333333329E-2</v>
      </c>
      <c r="J34" s="28">
        <f>SUM($H$28:H34)/$H$39</f>
        <v>0.58333333333333337</v>
      </c>
      <c r="K34" s="29">
        <f t="shared" si="8"/>
        <v>0.5</v>
      </c>
      <c r="L34" s="29">
        <f>IFERROR(SUM($G$28:G34)/SUM($H$28:H34),0)</f>
        <v>0.5</v>
      </c>
      <c r="M34" s="28">
        <f>SUM($F$28:F34)/$F$39</f>
        <v>0.63636363636363635</v>
      </c>
      <c r="N34" s="28">
        <f>SUM($G$28:G34)/$G$39</f>
        <v>0.53846153846153844</v>
      </c>
      <c r="O34" s="28">
        <f t="shared" si="9"/>
        <v>9.7902097902097918E-2</v>
      </c>
      <c r="P34" s="32">
        <f t="shared" si="10"/>
        <v>0.36363636363636365</v>
      </c>
      <c r="Q34" s="32">
        <f t="shared" si="11"/>
        <v>0.46153846153846156</v>
      </c>
      <c r="R34" s="29">
        <f t="shared" si="12"/>
        <v>0.12587412587412586</v>
      </c>
    </row>
    <row r="35" spans="1:21" ht="14.4" x14ac:dyDescent="0.3">
      <c r="A35" s="19">
        <v>9</v>
      </c>
      <c r="B35" s="20">
        <v>0.99477759785854192</v>
      </c>
      <c r="C35" s="20">
        <v>0.99855481491028686</v>
      </c>
      <c r="E35" s="23">
        <v>7</v>
      </c>
      <c r="F35" s="24">
        <f>COUNTIFS(Scoring!$S$5:$S$28,"="&amp;Validation!$E35,Scoring!$O$5:$O$28,"="&amp;Validation!F$27)</f>
        <v>3</v>
      </c>
      <c r="G35" s="24">
        <f>COUNTIFS(Scoring!$S$5:$S$28,"="&amp;Validation!$E35,Scoring!$O$5:$O$28,"="&amp;Validation!G$27)</f>
        <v>0</v>
      </c>
      <c r="H35" s="24">
        <f t="shared" si="13"/>
        <v>3</v>
      </c>
      <c r="I35" s="28">
        <f t="shared" si="14"/>
        <v>0.125</v>
      </c>
      <c r="J35" s="28">
        <f>SUM($H$28:H35)/$H$39</f>
        <v>0.70833333333333337</v>
      </c>
      <c r="K35" s="29">
        <f t="shared" si="8"/>
        <v>0</v>
      </c>
      <c r="L35" s="29">
        <f>IFERROR(SUM($G$28:G35)/SUM($H$28:H35),0)</f>
        <v>0.41176470588235292</v>
      </c>
      <c r="M35" s="28">
        <f>SUM($F$28:F35)/$F$39</f>
        <v>0.90909090909090906</v>
      </c>
      <c r="N35" s="28">
        <f>SUM($G$28:G35)/$G$39</f>
        <v>0.53846153846153844</v>
      </c>
      <c r="O35" s="28">
        <f t="shared" si="9"/>
        <v>0.37062937062937062</v>
      </c>
      <c r="P35" s="32">
        <f t="shared" si="10"/>
        <v>9.0909090909090939E-2</v>
      </c>
      <c r="Q35" s="32">
        <f t="shared" si="11"/>
        <v>0.46153846153846156</v>
      </c>
      <c r="R35" s="29">
        <f t="shared" si="12"/>
        <v>0</v>
      </c>
    </row>
    <row r="36" spans="1:21" ht="15.6" x14ac:dyDescent="0.3">
      <c r="A36" s="19">
        <v>10</v>
      </c>
      <c r="B36" s="20">
        <v>0.99983116768328129</v>
      </c>
      <c r="C36" s="20">
        <v>0.99999999999999589</v>
      </c>
      <c r="E36" s="23">
        <v>8</v>
      </c>
      <c r="F36" s="24">
        <f>COUNTIFS(Scoring!$S$5:$S$28,"="&amp;Validation!$E36,Scoring!$O$5:$O$28,"="&amp;Validation!F$27)</f>
        <v>0</v>
      </c>
      <c r="G36" s="24">
        <f>COUNTIFS(Scoring!$S$5:$S$28,"="&amp;Validation!$E36,Scoring!$O$5:$O$28,"="&amp;Validation!G$27)</f>
        <v>2</v>
      </c>
      <c r="H36" s="24">
        <f t="shared" si="13"/>
        <v>2</v>
      </c>
      <c r="I36" s="28">
        <f t="shared" si="14"/>
        <v>8.3333333333333329E-2</v>
      </c>
      <c r="J36" s="28">
        <f>SUM($H$28:H36)/$H$39</f>
        <v>0.79166666666666663</v>
      </c>
      <c r="K36" s="29">
        <f t="shared" si="8"/>
        <v>1</v>
      </c>
      <c r="L36" s="29">
        <f>IFERROR(SUM($G$28:G36)/SUM($H$28:H36),0)</f>
        <v>0.47368421052631576</v>
      </c>
      <c r="M36" s="28">
        <f>SUM($F$28:F36)/$F$39</f>
        <v>0.90909090909090906</v>
      </c>
      <c r="N36" s="28">
        <f>SUM($G$28:G36)/$G$39</f>
        <v>0.69230769230769229</v>
      </c>
      <c r="O36" s="28">
        <f t="shared" si="9"/>
        <v>0.21678321678321677</v>
      </c>
      <c r="P36" s="32">
        <f t="shared" si="10"/>
        <v>9.0909090909090939E-2</v>
      </c>
      <c r="Q36" s="32">
        <f t="shared" si="11"/>
        <v>0.30769230769230771</v>
      </c>
      <c r="R36" s="29">
        <f t="shared" si="12"/>
        <v>0</v>
      </c>
      <c r="T36" s="33" t="s">
        <v>126</v>
      </c>
      <c r="U36" s="34">
        <f>SUM(R28:R38)</f>
        <v>0.63636363636363624</v>
      </c>
    </row>
    <row r="37" spans="1:21" ht="15.6" x14ac:dyDescent="0.3">
      <c r="A37" s="19" t="s">
        <v>109</v>
      </c>
      <c r="B37" s="20">
        <v>2.3936361757420992E-22</v>
      </c>
      <c r="C37" s="20">
        <v>0.99999999999999589</v>
      </c>
      <c r="E37" s="23">
        <v>9</v>
      </c>
      <c r="F37" s="24">
        <f>COUNTIFS(Scoring!$S$5:$S$28,"="&amp;Validation!$E37,Scoring!$O$5:$O$28,"="&amp;Validation!F$27)</f>
        <v>0</v>
      </c>
      <c r="G37" s="24">
        <f>COUNTIFS(Scoring!$S$5:$S$28,"="&amp;Validation!$E37,Scoring!$O$5:$O$28,"="&amp;Validation!G$27)</f>
        <v>2</v>
      </c>
      <c r="H37" s="24">
        <f t="shared" si="13"/>
        <v>2</v>
      </c>
      <c r="I37" s="28">
        <f t="shared" si="14"/>
        <v>8.3333333333333329E-2</v>
      </c>
      <c r="J37" s="28">
        <f>SUM($H$28:H37)/$H$39</f>
        <v>0.875</v>
      </c>
      <c r="K37" s="29">
        <f t="shared" si="8"/>
        <v>1</v>
      </c>
      <c r="L37" s="29">
        <f>IFERROR(SUM($G$28:G37)/SUM($H$28:H37),0)</f>
        <v>0.52380952380952384</v>
      </c>
      <c r="M37" s="28">
        <f>SUM($F$28:F37)/$F$39</f>
        <v>0.90909090909090906</v>
      </c>
      <c r="N37" s="28">
        <f>SUM($G$28:G37)/$G$39</f>
        <v>0.84615384615384615</v>
      </c>
      <c r="O37" s="28">
        <f t="shared" si="9"/>
        <v>6.2937062937062915E-2</v>
      </c>
      <c r="P37" s="32">
        <f t="shared" si="10"/>
        <v>9.0909090909090939E-2</v>
      </c>
      <c r="Q37" s="32">
        <f t="shared" si="11"/>
        <v>0.15384615384615385</v>
      </c>
      <c r="R37" s="29">
        <f t="shared" si="12"/>
        <v>1.3986013986013991E-2</v>
      </c>
      <c r="T37" s="33" t="s">
        <v>127</v>
      </c>
      <c r="U37" s="35">
        <f>2*U36-1</f>
        <v>0.27272727272727249</v>
      </c>
    </row>
    <row r="38" spans="1:21" ht="15.6" x14ac:dyDescent="0.3">
      <c r="E38" s="23">
        <v>10</v>
      </c>
      <c r="F38" s="24">
        <f>COUNTIFS(Scoring!$S$5:$S$28,"="&amp;Validation!$E38,Scoring!$O$5:$O$28,"="&amp;Validation!F$27)</f>
        <v>1</v>
      </c>
      <c r="G38" s="24">
        <f>COUNTIFS(Scoring!$S$5:$S$28,"="&amp;Validation!$E38,Scoring!$O$5:$O$28,"="&amp;Validation!G$27)</f>
        <v>2</v>
      </c>
      <c r="H38" s="24">
        <f t="shared" si="13"/>
        <v>3</v>
      </c>
      <c r="I38" s="28">
        <f t="shared" si="14"/>
        <v>0.125</v>
      </c>
      <c r="J38" s="28">
        <f>SUM($H$28:H38)/$H$39</f>
        <v>1</v>
      </c>
      <c r="K38" s="29">
        <f t="shared" si="8"/>
        <v>0.66666666666666663</v>
      </c>
      <c r="L38" s="29">
        <f>IFERROR(SUM($G$28:G38)/SUM($H$28:H38),0)</f>
        <v>0.54166666666666663</v>
      </c>
      <c r="M38" s="28">
        <f>SUM($F$28:F38)/$F$39</f>
        <v>1</v>
      </c>
      <c r="N38" s="28">
        <f>SUM($G$28:G38)/$G$39</f>
        <v>1</v>
      </c>
      <c r="O38" s="28">
        <f t="shared" si="9"/>
        <v>0</v>
      </c>
      <c r="P38" s="32">
        <f t="shared" si="10"/>
        <v>0</v>
      </c>
      <c r="Q38" s="32">
        <f t="shared" si="11"/>
        <v>0</v>
      </c>
      <c r="R38" s="29">
        <f t="shared" si="12"/>
        <v>0</v>
      </c>
      <c r="T38" s="33" t="s">
        <v>128</v>
      </c>
      <c r="U38" s="34">
        <f>MAX(O28:O38)</f>
        <v>0.37062937062937062</v>
      </c>
    </row>
    <row r="39" spans="1:21" ht="14.4" x14ac:dyDescent="0.3">
      <c r="E39" s="22" t="s">
        <v>109</v>
      </c>
      <c r="F39" s="25">
        <f t="shared" ref="F39" si="15">SUM(F28:F38)</f>
        <v>11</v>
      </c>
      <c r="G39" s="25">
        <f t="shared" ref="G39" si="16">SUM(G28:G38)</f>
        <v>13</v>
      </c>
      <c r="H39" s="25">
        <f>SUM(F39:G39)</f>
        <v>24</v>
      </c>
      <c r="I39" s="25"/>
      <c r="J39" s="25"/>
      <c r="K39" s="31">
        <f t="shared" si="8"/>
        <v>0.54166666666666663</v>
      </c>
      <c r="L39" s="31"/>
      <c r="M39" s="30"/>
      <c r="N39" s="25"/>
      <c r="O39" s="25"/>
      <c r="P39" s="25"/>
      <c r="Q39" s="25"/>
      <c r="R39" s="25"/>
    </row>
  </sheetData>
  <mergeCells count="8">
    <mergeCell ref="I26:J26"/>
    <mergeCell ref="K26:L26"/>
    <mergeCell ref="M26:O26"/>
    <mergeCell ref="A3:C3"/>
    <mergeCell ref="I5:J5"/>
    <mergeCell ref="K5:L5"/>
    <mergeCell ref="M5:O5"/>
    <mergeCell ref="A24:C24"/>
  </mergeCell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Original_Data</vt:lpstr>
      <vt:lpstr>Training</vt:lpstr>
      <vt:lpstr>Estimation</vt:lpstr>
      <vt:lpstr>Coefficient_Interpretation</vt:lpstr>
      <vt:lpstr>Test</vt:lpstr>
      <vt:lpstr>Scoring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SPARTA-USER</dc:creator>
  <cp:lastModifiedBy>TAYCO</cp:lastModifiedBy>
  <dcterms:created xsi:type="dcterms:W3CDTF">2021-01-23T15:55:00Z</dcterms:created>
  <dcterms:modified xsi:type="dcterms:W3CDTF">2022-06-25T04:17:09Z</dcterms:modified>
</cp:coreProperties>
</file>