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pfer\Desktop\"/>
    </mc:Choice>
  </mc:AlternateContent>
  <xr:revisionPtr revIDLastSave="0" documentId="13_ncr:1_{1550D06F-E253-4E49-AEF2-30366A913C89}" xr6:coauthVersionLast="36" xr6:coauthVersionMax="36" xr10:uidLastSave="{00000000-0000-0000-0000-000000000000}"/>
  <bookViews>
    <workbookView xWindow="0" yWindow="0" windowWidth="21570" windowHeight="8115" xr2:uid="{CB9DF4B2-D32C-4CCB-89A1-D8B6BF30B92A}"/>
  </bookViews>
  <sheets>
    <sheet name="Sankey" sheetId="3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2" i="3" l="1"/>
  <c r="O81" i="3"/>
  <c r="O80" i="3"/>
  <c r="O79" i="3"/>
  <c r="O77" i="3"/>
  <c r="O76" i="3"/>
  <c r="O74" i="3"/>
  <c r="O73" i="3"/>
  <c r="O70" i="3"/>
  <c r="O69" i="3"/>
  <c r="O67" i="3"/>
  <c r="O66" i="3"/>
  <c r="O65" i="3"/>
  <c r="O64" i="3"/>
  <c r="O61" i="3"/>
  <c r="O60" i="3"/>
  <c r="O59" i="3"/>
  <c r="O56" i="3"/>
  <c r="O55" i="3"/>
  <c r="O54" i="3"/>
  <c r="O51" i="3"/>
  <c r="O50" i="3"/>
  <c r="O49" i="3"/>
  <c r="O46" i="3"/>
  <c r="O45" i="3"/>
  <c r="O44" i="3"/>
  <c r="O41" i="3"/>
  <c r="O40" i="3"/>
  <c r="O39" i="3"/>
  <c r="O36" i="3"/>
  <c r="O35" i="3"/>
  <c r="O34" i="3"/>
  <c r="O31" i="3"/>
  <c r="O30" i="3"/>
  <c r="O29" i="3"/>
  <c r="O26" i="3"/>
  <c r="O25" i="3"/>
  <c r="O24" i="3"/>
  <c r="O23" i="3"/>
  <c r="O22" i="3"/>
  <c r="O21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F43" i="3"/>
  <c r="E43" i="3"/>
  <c r="F42" i="3"/>
  <c r="E42" i="3"/>
  <c r="F23" i="3"/>
  <c r="E23" i="3"/>
  <c r="N82" i="3"/>
  <c r="N81" i="3"/>
  <c r="N79" i="3"/>
  <c r="N77" i="3"/>
  <c r="N76" i="3"/>
  <c r="N74" i="3"/>
  <c r="N73" i="3"/>
  <c r="N66" i="3"/>
  <c r="N65" i="3"/>
  <c r="N64" i="3"/>
  <c r="N61" i="3"/>
  <c r="N60" i="3"/>
  <c r="N59" i="3"/>
  <c r="N56" i="3"/>
  <c r="N55" i="3"/>
  <c r="N54" i="3"/>
  <c r="N51" i="3"/>
  <c r="N50" i="3"/>
  <c r="N45" i="3"/>
  <c r="N39" i="3"/>
  <c r="N36" i="3"/>
  <c r="N26" i="3"/>
  <c r="N24" i="3"/>
  <c r="N14" i="3"/>
  <c r="N13" i="3"/>
  <c r="N12" i="3"/>
  <c r="N11" i="3"/>
  <c r="N5" i="3"/>
  <c r="N4" i="3"/>
  <c r="N3" i="3"/>
  <c r="N2" i="3"/>
  <c r="N80" i="3"/>
  <c r="N70" i="3"/>
  <c r="N69" i="3"/>
  <c r="N67" i="3"/>
  <c r="N49" i="3"/>
  <c r="N46" i="3"/>
  <c r="N44" i="3"/>
  <c r="N41" i="3"/>
  <c r="N40" i="3"/>
  <c r="N35" i="3"/>
  <c r="N34" i="3"/>
  <c r="N31" i="3"/>
  <c r="N30" i="3"/>
  <c r="N29" i="3"/>
  <c r="N25" i="3"/>
  <c r="N23" i="3"/>
  <c r="N21" i="3"/>
  <c r="N10" i="3"/>
  <c r="N8" i="3"/>
  <c r="N7" i="3"/>
  <c r="D2" i="3"/>
  <c r="N22" i="3" l="1"/>
  <c r="N9" i="3"/>
  <c r="N6" i="3"/>
  <c r="M82" i="3"/>
  <c r="M81" i="3"/>
  <c r="D80" i="3"/>
  <c r="M80" i="3" s="1"/>
  <c r="M79" i="3"/>
  <c r="D78" i="3"/>
  <c r="D77" i="3"/>
  <c r="M77" i="3" s="1"/>
  <c r="M76" i="3"/>
  <c r="D75" i="3"/>
  <c r="M74" i="3"/>
  <c r="M73" i="3"/>
  <c r="D70" i="3"/>
  <c r="M70" i="3" s="1"/>
  <c r="D69" i="3"/>
  <c r="M69" i="3" s="1"/>
  <c r="D68" i="3"/>
  <c r="D67" i="3"/>
  <c r="M67" i="3" s="1"/>
  <c r="D66" i="3"/>
  <c r="M66" i="3" s="1"/>
  <c r="D65" i="3"/>
  <c r="M65" i="3" s="1"/>
  <c r="D64" i="3"/>
  <c r="M64" i="3" s="1"/>
  <c r="M61" i="3"/>
  <c r="M60" i="3"/>
  <c r="M59" i="3"/>
  <c r="D57" i="3"/>
  <c r="M56" i="3"/>
  <c r="M55" i="3"/>
  <c r="M54" i="3"/>
  <c r="D53" i="3"/>
  <c r="D52" i="3"/>
  <c r="M51" i="3"/>
  <c r="M50" i="3"/>
  <c r="D49" i="3"/>
  <c r="M49" i="3" s="1"/>
  <c r="D48" i="3"/>
  <c r="D47" i="3"/>
  <c r="D46" i="3"/>
  <c r="M46" i="3" s="1"/>
  <c r="M45" i="3"/>
  <c r="D44" i="3"/>
  <c r="M44" i="3" s="1"/>
  <c r="D43" i="3"/>
  <c r="D42" i="3"/>
  <c r="D41" i="3"/>
  <c r="M41" i="3" s="1"/>
  <c r="D40" i="3"/>
  <c r="M40" i="3" s="1"/>
  <c r="D39" i="3"/>
  <c r="M39" i="3" s="1"/>
  <c r="D36" i="3"/>
  <c r="M36" i="3" s="1"/>
  <c r="D35" i="3"/>
  <c r="M35" i="3" s="1"/>
  <c r="D34" i="3"/>
  <c r="M34" i="3" s="1"/>
  <c r="D31" i="3"/>
  <c r="M31" i="3" s="1"/>
  <c r="D30" i="3"/>
  <c r="M30" i="3" s="1"/>
  <c r="D29" i="3"/>
  <c r="M29" i="3" s="1"/>
  <c r="M26" i="3"/>
  <c r="D25" i="3"/>
  <c r="M25" i="3" s="1"/>
  <c r="D24" i="3"/>
  <c r="M24" i="3" s="1"/>
  <c r="D22" i="3"/>
  <c r="D23" i="3" s="1"/>
  <c r="M23" i="3" s="1"/>
  <c r="D21" i="3"/>
  <c r="M21" i="3" s="1"/>
  <c r="D18" i="3"/>
  <c r="D15" i="3"/>
  <c r="M14" i="3"/>
  <c r="M13" i="3"/>
  <c r="M12" i="3"/>
  <c r="M11" i="3"/>
  <c r="D9" i="3"/>
  <c r="M9" i="3" s="1"/>
  <c r="D8" i="3"/>
  <c r="M8" i="3" s="1"/>
  <c r="D6" i="3"/>
  <c r="D7" i="3" s="1"/>
  <c r="M7" i="3" s="1"/>
  <c r="D5" i="3"/>
  <c r="M5" i="3" s="1"/>
  <c r="M4" i="3"/>
  <c r="D3" i="3"/>
  <c r="M3" i="3" s="1"/>
  <c r="M2" i="3"/>
  <c r="D10" i="3" l="1"/>
  <c r="M10" i="3" s="1"/>
  <c r="M22" i="3"/>
  <c r="M6" i="3"/>
</calcChain>
</file>

<file path=xl/sharedStrings.xml><?xml version="1.0" encoding="utf-8"?>
<sst xmlns="http://schemas.openxmlformats.org/spreadsheetml/2006/main" count="399" uniqueCount="84">
  <si>
    <t>Source</t>
  </si>
  <si>
    <t>Target</t>
  </si>
  <si>
    <t>Label</t>
  </si>
  <si>
    <t>Materials</t>
  </si>
  <si>
    <t>Nutrition</t>
  </si>
  <si>
    <t>Industry</t>
  </si>
  <si>
    <t>Residential</t>
  </si>
  <si>
    <t>Imported</t>
  </si>
  <si>
    <t>Processed</t>
  </si>
  <si>
    <t>Domestic extraction</t>
  </si>
  <si>
    <t>Re/Upcycled</t>
  </si>
  <si>
    <t>Fossil fuels</t>
  </si>
  <si>
    <t>Forest biomass</t>
  </si>
  <si>
    <t>Agriculture biomass</t>
  </si>
  <si>
    <t>3rd gen. Biomass</t>
  </si>
  <si>
    <t>Ores</t>
  </si>
  <si>
    <t>Minerals</t>
  </si>
  <si>
    <t>Livestock</t>
  </si>
  <si>
    <t>Emitted/Dispersed</t>
  </si>
  <si>
    <t>Catabolism</t>
  </si>
  <si>
    <t>Transportation</t>
  </si>
  <si>
    <t>Hydrogen</t>
  </si>
  <si>
    <t>Fuel independent</t>
  </si>
  <si>
    <t>Solar/Wind/Geo/Env</t>
  </si>
  <si>
    <t>Consumables</t>
  </si>
  <si>
    <t>Building stock</t>
  </si>
  <si>
    <t>Infrastructure</t>
  </si>
  <si>
    <t>Long-life products</t>
  </si>
  <si>
    <t>Carbon Capture</t>
  </si>
  <si>
    <t>Greenhouse gases</t>
  </si>
  <si>
    <t>Exported</t>
  </si>
  <si>
    <t>Miscellaneous</t>
  </si>
  <si>
    <t>Ores/Minerals</t>
  </si>
  <si>
    <t>Fossil based</t>
  </si>
  <si>
    <t>Bio based</t>
  </si>
  <si>
    <t>Dummy value</t>
  </si>
  <si>
    <t>Eurostat ENV_AC</t>
  </si>
  <si>
    <t>Eurostat DataM Biomassflows</t>
  </si>
  <si>
    <t>Eurostat NRG_BAL</t>
  </si>
  <si>
    <t>Eurostat NRG_BAL (other sectors!)</t>
  </si>
  <si>
    <t>Dummy</t>
  </si>
  <si>
    <t>Eurostat NRG_BAL (DataM$Heat&amp;Power*0.5)</t>
  </si>
  <si>
    <t>Eurostat DataM Biomassflows (Wood Pulp)</t>
  </si>
  <si>
    <t>Dummy (straw for insolation)</t>
  </si>
  <si>
    <t>Eurostat DataM Biomassflows (Solid wood products)</t>
  </si>
  <si>
    <t xml:space="preserve">ENV_AC Dummy share between material use for buildings/infra/long-lived </t>
  </si>
  <si>
    <t>Eurostat ENV_AC$Material - $accumulation (Material Use = NRG_BAL*0.5)</t>
  </si>
  <si>
    <t>ENV_AC Material accumulation Dummy share for buildings/infra/long-lived</t>
  </si>
  <si>
    <t>Dummy (wooden bridges ??)</t>
  </si>
  <si>
    <t>ENV_AC Dissipative flows Total</t>
  </si>
  <si>
    <t>ENV_AC Dummy share Emissions</t>
  </si>
  <si>
    <t xml:space="preserve">ENV_AC w/o Biomass </t>
  </si>
  <si>
    <t>Eurostat DataM Biomassflows (ENV_AC * 0.2)</t>
  </si>
  <si>
    <t>Dummy Value</t>
  </si>
  <si>
    <t>ENV_AC (not in dataset but in Sankey) Dummy share</t>
  </si>
  <si>
    <t>ENV_AC (not in dataset but in Sankey)</t>
  </si>
  <si>
    <t>Datasource</t>
  </si>
  <si>
    <t>Food</t>
  </si>
  <si>
    <t>Eurostat ENV_AC (NRG_BAL * 0.5!)</t>
  </si>
  <si>
    <t>Mass_2017</t>
  </si>
  <si>
    <t>Mass_medium</t>
  </si>
  <si>
    <t>Mass_long</t>
  </si>
  <si>
    <t>Value_2017</t>
  </si>
  <si>
    <t>Value_medium</t>
  </si>
  <si>
    <t>Value_long</t>
  </si>
  <si>
    <t>Energy_2017</t>
  </si>
  <si>
    <t>Energy_medium</t>
  </si>
  <si>
    <t>Energy_long</t>
  </si>
  <si>
    <t>Carbon_2017</t>
  </si>
  <si>
    <t>Carbon_medium</t>
  </si>
  <si>
    <t>Carbon_long</t>
  </si>
  <si>
    <t>Linkfarbe</t>
  </si>
  <si>
    <t>dimgray</t>
  </si>
  <si>
    <t>lightcyan</t>
  </si>
  <si>
    <t>blue</t>
  </si>
  <si>
    <t>purple</t>
  </si>
  <si>
    <t>peru</t>
  </si>
  <si>
    <t>gold</t>
  </si>
  <si>
    <t>gainsboro</t>
  </si>
  <si>
    <t>forestgreen</t>
  </si>
  <si>
    <t>firebrick</t>
  </si>
  <si>
    <t>Eurostat ENV_AC (directly from Sankey but not in the dataset)</t>
  </si>
  <si>
    <t>Assumptions_mediumterm</t>
  </si>
  <si>
    <t>Assumptions_longterm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</si>
</sst>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" fontId="0" fillId="0" borderId="0" xfId="0" applyNumberFormat="1"/>
    <xf numFmtId="1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uwienacat-my.sharepoint.com/personal/fabian_schipfer_tuwien_ac_at/Documents/T40_Synergies/Sankey/ENV_A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uwienacat-my.sharepoint.com/personal/fabian_schipfer_tuwien_ac_at/Documents/T40_Synergies/Sankey/DataM_Biomassflows_Sanke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hipfer/OneDrive%20-%20TU%20Wien/T40_Synergies/Sankey/NRG_B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ructure"/>
      <sheetName val="Sheet 1"/>
    </sheetNames>
    <sheetDataSet>
      <sheetData sheetId="0"/>
      <sheetData sheetId="1"/>
      <sheetData sheetId="2">
        <row r="12">
          <cell r="F12">
            <v>29532</v>
          </cell>
          <cell r="H12">
            <v>739409</v>
          </cell>
          <cell r="P12">
            <v>2600335</v>
          </cell>
          <cell r="X12">
            <v>259982</v>
          </cell>
        </row>
        <row r="13">
          <cell r="F13">
            <v>7979</v>
          </cell>
          <cell r="H13">
            <v>191890</v>
          </cell>
        </row>
        <row r="14">
          <cell r="B14">
            <v>6633</v>
          </cell>
          <cell r="D14">
            <v>239166</v>
          </cell>
          <cell r="N14">
            <v>316986</v>
          </cell>
          <cell r="Z14">
            <v>407537</v>
          </cell>
        </row>
        <row r="15">
          <cell r="B15">
            <v>1068</v>
          </cell>
          <cell r="D15">
            <v>95703</v>
          </cell>
          <cell r="N15">
            <v>2225354</v>
          </cell>
          <cell r="Z15">
            <v>3576498</v>
          </cell>
        </row>
        <row r="16">
          <cell r="B16">
            <v>1085</v>
          </cell>
          <cell r="D16">
            <v>1099022</v>
          </cell>
          <cell r="F16">
            <v>3618</v>
          </cell>
          <cell r="H16">
            <v>271496</v>
          </cell>
          <cell r="J16">
            <v>1703093</v>
          </cell>
          <cell r="N16">
            <v>31043</v>
          </cell>
          <cell r="Z16">
            <v>93226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4"/>
      <sheetName val="Tabelle1"/>
    </sheetNames>
    <sheetDataSet>
      <sheetData sheetId="0">
        <row r="2">
          <cell r="F2">
            <v>5079.3084667163703</v>
          </cell>
        </row>
        <row r="3">
          <cell r="F3">
            <v>29904.1921437725</v>
          </cell>
        </row>
        <row r="4">
          <cell r="F4">
            <v>1534.57205749999</v>
          </cell>
        </row>
        <row r="5">
          <cell r="F5">
            <v>174.942207</v>
          </cell>
        </row>
        <row r="6">
          <cell r="F6">
            <v>5632.0818122330002</v>
          </cell>
        </row>
        <row r="7">
          <cell r="F7">
            <v>10073.4875646</v>
          </cell>
        </row>
        <row r="8">
          <cell r="F8">
            <v>8201.4983863636407</v>
          </cell>
        </row>
        <row r="9">
          <cell r="F9">
            <v>99029.749197900004</v>
          </cell>
        </row>
        <row r="10">
          <cell r="F10">
            <v>518247.74307748798</v>
          </cell>
        </row>
        <row r="11">
          <cell r="F11">
            <v>116060.094</v>
          </cell>
        </row>
        <row r="12">
          <cell r="F12">
            <v>1288.19440249999</v>
          </cell>
        </row>
        <row r="13">
          <cell r="F13">
            <v>314.288557499999</v>
          </cell>
        </row>
        <row r="14">
          <cell r="F14">
            <v>16888.505005244999</v>
          </cell>
        </row>
        <row r="15">
          <cell r="F15">
            <v>100661.847604016</v>
          </cell>
        </row>
        <row r="16">
          <cell r="F16">
            <v>248714.73463166101</v>
          </cell>
        </row>
        <row r="17">
          <cell r="F17">
            <v>513311.479819662</v>
          </cell>
        </row>
        <row r="18">
          <cell r="F18">
            <v>110118.099462282</v>
          </cell>
        </row>
        <row r="19">
          <cell r="F19">
            <v>2915.7905000000001</v>
          </cell>
        </row>
        <row r="20">
          <cell r="F20">
            <v>365.11113759736003</v>
          </cell>
        </row>
        <row r="21">
          <cell r="F21">
            <v>1108.1093129999999</v>
          </cell>
        </row>
        <row r="22">
          <cell r="F22">
            <v>78468.094898103504</v>
          </cell>
        </row>
        <row r="23">
          <cell r="F23">
            <v>140111.22090750301</v>
          </cell>
        </row>
        <row r="25">
          <cell r="F25">
            <v>15048.639645735</v>
          </cell>
        </row>
        <row r="26">
          <cell r="F26">
            <v>5066.9096961525001</v>
          </cell>
        </row>
        <row r="27">
          <cell r="F27">
            <v>17285.734458286999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ructure"/>
      <sheetName val="Sheet 1"/>
      <sheetName val="Tabelle1"/>
      <sheetName val="Selected"/>
      <sheetName val="Converted"/>
    </sheetNames>
    <sheetDataSet>
      <sheetData sheetId="0"/>
      <sheetData sheetId="1"/>
      <sheetData sheetId="2"/>
      <sheetData sheetId="3"/>
      <sheetData sheetId="4">
        <row r="59">
          <cell r="W59">
            <v>232302.61354234227</v>
          </cell>
          <cell r="Y59">
            <v>519752.35803386965</v>
          </cell>
          <cell r="AA59">
            <v>359319.5283401034</v>
          </cell>
        </row>
        <row r="84">
          <cell r="W84">
            <v>55071.986307692307</v>
          </cell>
          <cell r="AA84">
            <v>119062.39338461538</v>
          </cell>
        </row>
        <row r="87">
          <cell r="W87">
            <v>742.96851562738232</v>
          </cell>
          <cell r="AA87">
            <v>2125.1503964781218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AC232-66B7-46BF-981D-44049C7D69A8}">
  <dimension ref="A1:S82"/>
  <sheetViews>
    <sheetView tabSelected="1" zoomScale="115" zoomScaleNormal="115" workbookViewId="0">
      <selection activeCell="O2" sqref="O2"/>
    </sheetView>
  </sheetViews>
  <sheetFormatPr baseColWidth="10" defaultRowHeight="15" x14ac:dyDescent="0.25"/>
  <cols>
    <col min="1" max="1" width="24.42578125" customWidth="1"/>
    <col min="2" max="2" width="22" customWidth="1"/>
    <col min="3" max="3" width="18.85546875" customWidth="1"/>
    <col min="4" max="15" width="19" customWidth="1"/>
    <col min="16" max="16" width="15.5703125" customWidth="1"/>
    <col min="17" max="17" width="70.7109375" customWidth="1"/>
    <col min="18" max="18" width="34.85546875" customWidth="1"/>
    <col min="19" max="19" width="35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56</v>
      </c>
      <c r="R1" t="s">
        <v>82</v>
      </c>
      <c r="S1" t="s">
        <v>83</v>
      </c>
    </row>
    <row r="2" spans="1:19" x14ac:dyDescent="0.25">
      <c r="A2" t="s">
        <v>7</v>
      </c>
      <c r="B2" t="s">
        <v>8</v>
      </c>
      <c r="C2" t="s">
        <v>11</v>
      </c>
      <c r="D2" s="1">
        <f>SUM('[1]Sheet 1'!$B$16,'[1]Sheet 1'!$D$16)</f>
        <v>1100107</v>
      </c>
      <c r="E2" s="1">
        <v>200000</v>
      </c>
      <c r="F2" s="1">
        <v>0</v>
      </c>
      <c r="I2" s="1"/>
      <c r="J2" s="1"/>
      <c r="M2" s="2">
        <f>D2*0.76</f>
        <v>836081.32000000007</v>
      </c>
      <c r="N2" s="2">
        <f>E2*0.76</f>
        <v>152000</v>
      </c>
      <c r="O2" s="2">
        <f>F2*0.76</f>
        <v>0</v>
      </c>
      <c r="P2" t="s">
        <v>72</v>
      </c>
      <c r="Q2" t="s">
        <v>58</v>
      </c>
      <c r="R2" s="2"/>
    </row>
    <row r="3" spans="1:19" x14ac:dyDescent="0.25">
      <c r="A3" t="s">
        <v>9</v>
      </c>
      <c r="B3" t="s">
        <v>8</v>
      </c>
      <c r="C3" t="s">
        <v>11</v>
      </c>
      <c r="D3" s="1">
        <f>'[1]Sheet 1'!$J$16-'[1]Sheet 1'!$D$16-'[1]Sheet 1'!$B$16</f>
        <v>602986</v>
      </c>
      <c r="E3" s="1">
        <v>100000</v>
      </c>
      <c r="F3" s="1">
        <v>0</v>
      </c>
      <c r="M3" s="2">
        <f>D3*0.76</f>
        <v>458269.36</v>
      </c>
      <c r="N3" s="2">
        <f>E3*0.76</f>
        <v>76000</v>
      </c>
      <c r="O3" s="2">
        <f>F3*0.76</f>
        <v>0</v>
      </c>
      <c r="P3" t="s">
        <v>72</v>
      </c>
      <c r="Q3" t="s">
        <v>36</v>
      </c>
      <c r="R3" s="2"/>
    </row>
    <row r="4" spans="1:19" x14ac:dyDescent="0.25">
      <c r="A4" t="s">
        <v>10</v>
      </c>
      <c r="B4" t="s">
        <v>8</v>
      </c>
      <c r="C4" t="s">
        <v>11</v>
      </c>
      <c r="D4">
        <v>0</v>
      </c>
      <c r="E4">
        <v>0</v>
      </c>
      <c r="F4">
        <v>0</v>
      </c>
      <c r="M4" s="2">
        <f>D4*0.76</f>
        <v>0</v>
      </c>
      <c r="N4" s="2">
        <f>E4*0.76</f>
        <v>0</v>
      </c>
      <c r="O4" s="2">
        <f>F4*0.76</f>
        <v>0</v>
      </c>
      <c r="P4" t="s">
        <v>72</v>
      </c>
      <c r="Q4" t="s">
        <v>36</v>
      </c>
      <c r="R4" s="2"/>
    </row>
    <row r="5" spans="1:19" x14ac:dyDescent="0.25">
      <c r="A5" t="s">
        <v>8</v>
      </c>
      <c r="B5" t="s">
        <v>30</v>
      </c>
      <c r="C5" t="s">
        <v>11</v>
      </c>
      <c r="D5" s="1">
        <f>'[1]Sheet 1'!$F$16+'[1]Sheet 1'!$H$16</f>
        <v>275114</v>
      </c>
      <c r="E5" s="1">
        <v>0</v>
      </c>
      <c r="F5" s="1">
        <v>0</v>
      </c>
      <c r="M5" s="2">
        <f>D5*0.76</f>
        <v>209086.64</v>
      </c>
      <c r="N5" s="2">
        <f>E5*0.76</f>
        <v>0</v>
      </c>
      <c r="O5" s="2">
        <f>F5*0.76</f>
        <v>0</v>
      </c>
      <c r="P5" t="s">
        <v>72</v>
      </c>
      <c r="Q5" t="s">
        <v>36</v>
      </c>
      <c r="R5" s="2"/>
    </row>
    <row r="6" spans="1:19" x14ac:dyDescent="0.25">
      <c r="A6" t="s">
        <v>7</v>
      </c>
      <c r="B6" t="s">
        <v>8</v>
      </c>
      <c r="C6" t="s">
        <v>12</v>
      </c>
      <c r="D6" s="2">
        <f>SUM([2]Tabelle4!$F$6:$F$8)</f>
        <v>23907.067763196639</v>
      </c>
      <c r="E6" s="2">
        <v>40000</v>
      </c>
      <c r="F6" s="2">
        <v>40000</v>
      </c>
      <c r="M6" s="2">
        <f t="shared" ref="M6:O14" si="0">D6*0.5</f>
        <v>11953.53388159832</v>
      </c>
      <c r="N6" s="2">
        <f t="shared" si="0"/>
        <v>20000</v>
      </c>
      <c r="O6" s="2">
        <f t="shared" si="0"/>
        <v>20000</v>
      </c>
      <c r="P6" t="s">
        <v>76</v>
      </c>
      <c r="Q6" t="s">
        <v>37</v>
      </c>
    </row>
    <row r="7" spans="1:19" x14ac:dyDescent="0.25">
      <c r="A7" t="s">
        <v>9</v>
      </c>
      <c r="B7" t="s">
        <v>8</v>
      </c>
      <c r="C7" t="s">
        <v>12</v>
      </c>
      <c r="D7" s="2">
        <f>SUM([2]Tabelle4!$F$15:$F$16)-D6</f>
        <v>325469.51447248034</v>
      </c>
      <c r="E7" s="2">
        <v>400000</v>
      </c>
      <c r="F7" s="2">
        <v>400000</v>
      </c>
      <c r="M7" s="2">
        <f t="shared" si="0"/>
        <v>162734.75723624017</v>
      </c>
      <c r="N7" s="2">
        <f t="shared" si="0"/>
        <v>200000</v>
      </c>
      <c r="O7" s="2">
        <f t="shared" si="0"/>
        <v>200000</v>
      </c>
      <c r="P7" t="s">
        <v>76</v>
      </c>
      <c r="Q7" t="s">
        <v>37</v>
      </c>
    </row>
    <row r="8" spans="1:19" x14ac:dyDescent="0.25">
      <c r="A8" t="s">
        <v>10</v>
      </c>
      <c r="B8" t="s">
        <v>8</v>
      </c>
      <c r="C8" t="s">
        <v>12</v>
      </c>
      <c r="D8" s="2">
        <f>[2]Tabelle4!$F$14</f>
        <v>16888.505005244999</v>
      </c>
      <c r="E8" s="2">
        <v>40000</v>
      </c>
      <c r="F8" s="2">
        <v>100000</v>
      </c>
      <c r="M8" s="2">
        <f t="shared" si="0"/>
        <v>8444.2525026224994</v>
      </c>
      <c r="N8" s="2">
        <f t="shared" si="0"/>
        <v>20000</v>
      </c>
      <c r="O8" s="2">
        <f t="shared" si="0"/>
        <v>50000</v>
      </c>
      <c r="P8" t="s">
        <v>76</v>
      </c>
      <c r="Q8" t="s">
        <v>37</v>
      </c>
    </row>
    <row r="9" spans="1:19" x14ac:dyDescent="0.25">
      <c r="A9" t="s">
        <v>7</v>
      </c>
      <c r="B9" t="s">
        <v>8</v>
      </c>
      <c r="C9" t="s">
        <v>13</v>
      </c>
      <c r="D9" s="2">
        <f>SUM([2]Tabelle4!$F$2:$F$5)</f>
        <v>36693.014874988854</v>
      </c>
      <c r="E9" s="2">
        <v>30000</v>
      </c>
      <c r="F9" s="2">
        <v>30000</v>
      </c>
      <c r="M9" s="2">
        <f t="shared" si="0"/>
        <v>18346.507437494427</v>
      </c>
      <c r="N9" s="2">
        <f t="shared" si="0"/>
        <v>15000</v>
      </c>
      <c r="O9" s="2">
        <f t="shared" si="0"/>
        <v>15000</v>
      </c>
      <c r="P9" t="s">
        <v>79</v>
      </c>
      <c r="Q9" t="s">
        <v>37</v>
      </c>
    </row>
    <row r="10" spans="1:19" x14ac:dyDescent="0.25">
      <c r="A10" t="s">
        <v>9</v>
      </c>
      <c r="B10" t="s">
        <v>8</v>
      </c>
      <c r="C10" t="s">
        <v>13</v>
      </c>
      <c r="D10" s="2">
        <f>SUM([2]Tabelle4!$F$9:$F$13)-D9</f>
        <v>698247.05436039914</v>
      </c>
      <c r="E10" s="2">
        <v>700000</v>
      </c>
      <c r="F10" s="2">
        <v>700000</v>
      </c>
      <c r="M10" s="2">
        <f t="shared" si="0"/>
        <v>349123.52718019957</v>
      </c>
      <c r="N10" s="2">
        <f t="shared" si="0"/>
        <v>350000</v>
      </c>
      <c r="O10" s="2">
        <f t="shared" si="0"/>
        <v>350000</v>
      </c>
      <c r="P10" t="s">
        <v>79</v>
      </c>
      <c r="Q10" t="s">
        <v>37</v>
      </c>
    </row>
    <row r="11" spans="1:19" x14ac:dyDescent="0.25">
      <c r="A11" t="s">
        <v>10</v>
      </c>
      <c r="B11" t="s">
        <v>8</v>
      </c>
      <c r="C11" t="s">
        <v>13</v>
      </c>
      <c r="D11">
        <v>0</v>
      </c>
      <c r="E11">
        <v>10000</v>
      </c>
      <c r="F11" s="2">
        <v>40000</v>
      </c>
      <c r="M11" s="2">
        <f t="shared" si="0"/>
        <v>0</v>
      </c>
      <c r="N11" s="2">
        <f t="shared" si="0"/>
        <v>5000</v>
      </c>
      <c r="O11" s="2">
        <f t="shared" si="0"/>
        <v>20000</v>
      </c>
      <c r="P11" t="s">
        <v>79</v>
      </c>
      <c r="Q11" t="s">
        <v>37</v>
      </c>
    </row>
    <row r="12" spans="1:19" x14ac:dyDescent="0.25">
      <c r="A12" t="s">
        <v>7</v>
      </c>
      <c r="B12" t="s">
        <v>8</v>
      </c>
      <c r="C12" t="s">
        <v>14</v>
      </c>
      <c r="D12">
        <v>0</v>
      </c>
      <c r="E12">
        <v>1000</v>
      </c>
      <c r="F12" s="2">
        <v>10000</v>
      </c>
      <c r="M12" s="2">
        <f t="shared" si="0"/>
        <v>0</v>
      </c>
      <c r="N12" s="2">
        <f t="shared" si="0"/>
        <v>500</v>
      </c>
      <c r="O12" s="2">
        <f t="shared" si="0"/>
        <v>5000</v>
      </c>
      <c r="P12" t="s">
        <v>73</v>
      </c>
    </row>
    <row r="13" spans="1:19" x14ac:dyDescent="0.25">
      <c r="A13" t="s">
        <v>9</v>
      </c>
      <c r="B13" t="s">
        <v>8</v>
      </c>
      <c r="C13" t="s">
        <v>14</v>
      </c>
      <c r="D13">
        <v>10</v>
      </c>
      <c r="E13">
        <v>10000</v>
      </c>
      <c r="F13" s="2">
        <v>100000</v>
      </c>
      <c r="M13" s="2">
        <f t="shared" si="0"/>
        <v>5</v>
      </c>
      <c r="N13" s="2">
        <f t="shared" si="0"/>
        <v>5000</v>
      </c>
      <c r="O13" s="2">
        <f t="shared" si="0"/>
        <v>50000</v>
      </c>
      <c r="P13" t="s">
        <v>73</v>
      </c>
      <c r="Q13" t="s">
        <v>35</v>
      </c>
    </row>
    <row r="14" spans="1:19" x14ac:dyDescent="0.25">
      <c r="A14" t="s">
        <v>10</v>
      </c>
      <c r="B14" t="s">
        <v>8</v>
      </c>
      <c r="C14" t="s">
        <v>14</v>
      </c>
      <c r="D14">
        <v>0</v>
      </c>
      <c r="E14">
        <v>100</v>
      </c>
      <c r="F14" s="2">
        <v>10000</v>
      </c>
      <c r="M14" s="2">
        <f t="shared" si="0"/>
        <v>0</v>
      </c>
      <c r="N14" s="2">
        <f t="shared" si="0"/>
        <v>50</v>
      </c>
      <c r="O14" s="2">
        <f t="shared" si="0"/>
        <v>5000</v>
      </c>
      <c r="P14" t="s">
        <v>73</v>
      </c>
    </row>
    <row r="15" spans="1:19" x14ac:dyDescent="0.25">
      <c r="A15" t="s">
        <v>7</v>
      </c>
      <c r="B15" t="s">
        <v>8</v>
      </c>
      <c r="C15" t="s">
        <v>15</v>
      </c>
      <c r="D15" s="1">
        <f>'[1]Sheet 1'!$B$14+'[1]Sheet 1'!$D$14</f>
        <v>245799</v>
      </c>
      <c r="E15" s="1">
        <v>150000</v>
      </c>
      <c r="F15" s="1">
        <v>50000</v>
      </c>
      <c r="M15">
        <v>0</v>
      </c>
      <c r="N15">
        <v>0</v>
      </c>
      <c r="O15">
        <v>0</v>
      </c>
      <c r="P15" t="s">
        <v>77</v>
      </c>
      <c r="Q15" t="s">
        <v>36</v>
      </c>
    </row>
    <row r="16" spans="1:19" x14ac:dyDescent="0.25">
      <c r="A16" t="s">
        <v>9</v>
      </c>
      <c r="B16" t="s">
        <v>8</v>
      </c>
      <c r="C16" t="s">
        <v>15</v>
      </c>
      <c r="D16" s="1">
        <v>210000</v>
      </c>
      <c r="E16" s="1">
        <v>100000</v>
      </c>
      <c r="F16" s="1">
        <v>50000</v>
      </c>
      <c r="M16">
        <v>0</v>
      </c>
      <c r="N16">
        <v>0</v>
      </c>
      <c r="O16">
        <v>0</v>
      </c>
      <c r="P16" t="s">
        <v>77</v>
      </c>
      <c r="Q16" t="s">
        <v>81</v>
      </c>
    </row>
    <row r="17" spans="1:17" x14ac:dyDescent="0.25">
      <c r="A17" t="s">
        <v>10</v>
      </c>
      <c r="B17" t="s">
        <v>8</v>
      </c>
      <c r="C17" t="s">
        <v>15</v>
      </c>
      <c r="D17">
        <v>80000</v>
      </c>
      <c r="E17">
        <v>150000</v>
      </c>
      <c r="F17" s="2">
        <v>250000</v>
      </c>
      <c r="M17">
        <v>0</v>
      </c>
      <c r="N17">
        <v>0</v>
      </c>
      <c r="O17">
        <v>0</v>
      </c>
      <c r="P17" t="s">
        <v>77</v>
      </c>
      <c r="Q17" t="s">
        <v>36</v>
      </c>
    </row>
    <row r="18" spans="1:17" x14ac:dyDescent="0.25">
      <c r="A18" t="s">
        <v>7</v>
      </c>
      <c r="B18" t="s">
        <v>8</v>
      </c>
      <c r="C18" t="s">
        <v>16</v>
      </c>
      <c r="D18" s="1">
        <f>'[1]Sheet 1'!$B$15+'[1]Sheet 1'!$D$15</f>
        <v>96771</v>
      </c>
      <c r="E18" s="1">
        <v>10000</v>
      </c>
      <c r="F18" s="1">
        <v>10000</v>
      </c>
      <c r="M18">
        <v>0</v>
      </c>
      <c r="N18">
        <v>0</v>
      </c>
      <c r="O18">
        <v>0</v>
      </c>
      <c r="P18" t="s">
        <v>80</v>
      </c>
      <c r="Q18" t="s">
        <v>36</v>
      </c>
    </row>
    <row r="19" spans="1:17" x14ac:dyDescent="0.25">
      <c r="A19" t="s">
        <v>9</v>
      </c>
      <c r="B19" t="s">
        <v>8</v>
      </c>
      <c r="C19" t="s">
        <v>16</v>
      </c>
      <c r="D19" s="1">
        <v>2930000</v>
      </c>
      <c r="E19" s="1">
        <v>2000000</v>
      </c>
      <c r="F19" s="1">
        <v>1500000</v>
      </c>
      <c r="M19">
        <v>0</v>
      </c>
      <c r="N19">
        <v>0</v>
      </c>
      <c r="O19">
        <v>0</v>
      </c>
      <c r="P19" t="s">
        <v>80</v>
      </c>
      <c r="Q19" t="s">
        <v>36</v>
      </c>
    </row>
    <row r="20" spans="1:17" x14ac:dyDescent="0.25">
      <c r="A20" t="s">
        <v>10</v>
      </c>
      <c r="B20" t="s">
        <v>8</v>
      </c>
      <c r="C20" t="s">
        <v>16</v>
      </c>
      <c r="D20" s="1">
        <v>670000</v>
      </c>
      <c r="E20" s="1">
        <v>100000</v>
      </c>
      <c r="F20" s="1">
        <v>150000</v>
      </c>
      <c r="M20">
        <v>0</v>
      </c>
      <c r="N20">
        <v>0</v>
      </c>
      <c r="O20">
        <v>0</v>
      </c>
      <c r="P20" t="s">
        <v>80</v>
      </c>
      <c r="Q20" t="s">
        <v>36</v>
      </c>
    </row>
    <row r="21" spans="1:17" x14ac:dyDescent="0.25">
      <c r="A21" t="s">
        <v>8</v>
      </c>
      <c r="B21" t="s">
        <v>4</v>
      </c>
      <c r="C21" t="s">
        <v>12</v>
      </c>
      <c r="D21">
        <f>0</f>
        <v>0</v>
      </c>
      <c r="E21">
        <v>10000</v>
      </c>
      <c r="F21" s="1">
        <v>100000</v>
      </c>
      <c r="M21">
        <f>0.5*D21</f>
        <v>0</v>
      </c>
      <c r="N21">
        <f>0.5*E21</f>
        <v>5000</v>
      </c>
      <c r="O21">
        <f>0.5*F21</f>
        <v>50000</v>
      </c>
      <c r="P21" t="s">
        <v>76</v>
      </c>
    </row>
    <row r="22" spans="1:17" x14ac:dyDescent="0.25">
      <c r="A22" t="s">
        <v>8</v>
      </c>
      <c r="B22" t="s">
        <v>4</v>
      </c>
      <c r="C22" t="s">
        <v>13</v>
      </c>
      <c r="D22" s="2">
        <f>SUM([2]Tabelle4!$F$17:$F$20)</f>
        <v>626710.48091954133</v>
      </c>
      <c r="E22" s="2">
        <v>600000</v>
      </c>
      <c r="F22" s="2">
        <v>600000</v>
      </c>
      <c r="M22" s="2">
        <f>0.5*D22</f>
        <v>313355.24045977066</v>
      </c>
      <c r="N22" s="2">
        <f>0.5*E22</f>
        <v>300000</v>
      </c>
      <c r="O22" s="2">
        <f>0.5*F22</f>
        <v>300000</v>
      </c>
      <c r="P22" t="s">
        <v>79</v>
      </c>
      <c r="Q22" t="s">
        <v>37</v>
      </c>
    </row>
    <row r="23" spans="1:17" x14ac:dyDescent="0.25">
      <c r="A23" t="s">
        <v>4</v>
      </c>
      <c r="B23" t="s">
        <v>18</v>
      </c>
      <c r="C23" t="s">
        <v>19</v>
      </c>
      <c r="D23" s="2">
        <f>D22*0.7</f>
        <v>438697.33664367889</v>
      </c>
      <c r="E23" s="2">
        <f>(E22+E21)*0.7</f>
        <v>427000</v>
      </c>
      <c r="F23" s="2">
        <f>(F22+F21)*0.7</f>
        <v>489999.99999999994</v>
      </c>
      <c r="M23" s="2">
        <f>0.5*D23</f>
        <v>219348.66832183945</v>
      </c>
      <c r="N23" s="2">
        <f>0.5*E23</f>
        <v>213500</v>
      </c>
      <c r="O23" s="2">
        <f>0.5*F23</f>
        <v>244999.99999999997</v>
      </c>
      <c r="P23" t="s">
        <v>79</v>
      </c>
      <c r="Q23" t="s">
        <v>35</v>
      </c>
    </row>
    <row r="24" spans="1:17" x14ac:dyDescent="0.25">
      <c r="A24" t="s">
        <v>8</v>
      </c>
      <c r="B24" t="s">
        <v>20</v>
      </c>
      <c r="C24" t="s">
        <v>11</v>
      </c>
      <c r="D24" s="3">
        <f>[3]Selected!$Y$59</f>
        <v>519752.35803386965</v>
      </c>
      <c r="E24" s="3">
        <v>200000</v>
      </c>
      <c r="F24" s="3">
        <v>0</v>
      </c>
      <c r="M24" s="2">
        <f>0.76*D24</f>
        <v>395011.79210574093</v>
      </c>
      <c r="N24" s="2">
        <f>0.76*E24</f>
        <v>152000</v>
      </c>
      <c r="O24" s="2">
        <f>0.76*F24</f>
        <v>0</v>
      </c>
      <c r="P24" t="s">
        <v>72</v>
      </c>
      <c r="Q24" t="s">
        <v>38</v>
      </c>
    </row>
    <row r="25" spans="1:17" x14ac:dyDescent="0.25">
      <c r="A25" t="s">
        <v>8</v>
      </c>
      <c r="B25" t="s">
        <v>20</v>
      </c>
      <c r="C25" t="s">
        <v>13</v>
      </c>
      <c r="D25" s="2">
        <f>[2]Tabelle4!$F$25</f>
        <v>15048.639645735</v>
      </c>
      <c r="E25" s="2">
        <v>15000</v>
      </c>
      <c r="F25" s="2">
        <v>1000</v>
      </c>
      <c r="M25" s="2">
        <f>0.5*D25</f>
        <v>7524.3198228675001</v>
      </c>
      <c r="N25" s="2">
        <f>0.5*E25</f>
        <v>7500</v>
      </c>
      <c r="O25" s="2">
        <f>0.5*F25</f>
        <v>500</v>
      </c>
      <c r="P25" t="s">
        <v>79</v>
      </c>
      <c r="Q25" t="s">
        <v>36</v>
      </c>
    </row>
    <row r="26" spans="1:17" x14ac:dyDescent="0.25">
      <c r="A26" t="s">
        <v>8</v>
      </c>
      <c r="B26" t="s">
        <v>20</v>
      </c>
      <c r="C26" t="s">
        <v>12</v>
      </c>
      <c r="D26">
        <v>10</v>
      </c>
      <c r="E26">
        <v>2000</v>
      </c>
      <c r="F26" s="2">
        <v>10000</v>
      </c>
      <c r="M26" s="2">
        <f>0.5*D26</f>
        <v>5</v>
      </c>
      <c r="N26" s="2">
        <f>0.5*E26</f>
        <v>1000</v>
      </c>
      <c r="O26" s="2">
        <f>0.5*F26</f>
        <v>5000</v>
      </c>
      <c r="P26" t="s">
        <v>76</v>
      </c>
      <c r="Q26" t="s">
        <v>35</v>
      </c>
    </row>
    <row r="27" spans="1:17" x14ac:dyDescent="0.25">
      <c r="A27" t="s">
        <v>8</v>
      </c>
      <c r="B27" t="s">
        <v>20</v>
      </c>
      <c r="C27" t="s">
        <v>21</v>
      </c>
      <c r="D27">
        <v>0</v>
      </c>
      <c r="E27">
        <v>1000</v>
      </c>
      <c r="F27" s="2">
        <v>300000</v>
      </c>
      <c r="M27">
        <v>0</v>
      </c>
      <c r="N27">
        <v>0</v>
      </c>
      <c r="O27">
        <v>0</v>
      </c>
      <c r="P27" t="s">
        <v>74</v>
      </c>
    </row>
    <row r="28" spans="1:17" x14ac:dyDescent="0.25">
      <c r="A28" t="s">
        <v>23</v>
      </c>
      <c r="B28" t="s">
        <v>20</v>
      </c>
      <c r="C28" t="s">
        <v>22</v>
      </c>
      <c r="D28">
        <v>0</v>
      </c>
      <c r="E28">
        <v>0</v>
      </c>
      <c r="F28" s="2">
        <v>0</v>
      </c>
      <c r="M28">
        <v>0</v>
      </c>
      <c r="N28">
        <v>0</v>
      </c>
      <c r="O28">
        <v>0</v>
      </c>
      <c r="P28" t="s">
        <v>75</v>
      </c>
    </row>
    <row r="29" spans="1:17" x14ac:dyDescent="0.25">
      <c r="A29" t="s">
        <v>8</v>
      </c>
      <c r="B29" t="s">
        <v>6</v>
      </c>
      <c r="C29" t="s">
        <v>11</v>
      </c>
      <c r="D29" s="3">
        <f>[3]Selected!$AA$59</f>
        <v>359319.5283401034</v>
      </c>
      <c r="E29" s="3">
        <v>100000</v>
      </c>
      <c r="F29" s="3">
        <v>0</v>
      </c>
      <c r="M29" s="2">
        <f>0.76*D29</f>
        <v>273082.84153847856</v>
      </c>
      <c r="N29" s="2">
        <f>0.76*E29</f>
        <v>76000</v>
      </c>
      <c r="O29" s="2">
        <f>0.76*F29</f>
        <v>0</v>
      </c>
      <c r="P29" t="s">
        <v>72</v>
      </c>
      <c r="Q29" t="s">
        <v>39</v>
      </c>
    </row>
    <row r="30" spans="1:17" x14ac:dyDescent="0.25">
      <c r="A30" t="s">
        <v>8</v>
      </c>
      <c r="B30" t="s">
        <v>6</v>
      </c>
      <c r="C30" t="s">
        <v>13</v>
      </c>
      <c r="D30" s="1">
        <f>[3]Selected!$AA$87</f>
        <v>2125.1503964781218</v>
      </c>
      <c r="E30" s="1">
        <v>1000</v>
      </c>
      <c r="F30" s="1">
        <v>0</v>
      </c>
      <c r="M30" s="2">
        <f>0.5*D30</f>
        <v>1062.5751982390609</v>
      </c>
      <c r="N30" s="2">
        <f>0.5*E30</f>
        <v>500</v>
      </c>
      <c r="O30" s="2">
        <f>0.5*F30</f>
        <v>0</v>
      </c>
      <c r="P30" t="s">
        <v>79</v>
      </c>
      <c r="Q30" t="s">
        <v>39</v>
      </c>
    </row>
    <row r="31" spans="1:17" x14ac:dyDescent="0.25">
      <c r="A31" t="s">
        <v>8</v>
      </c>
      <c r="B31" t="s">
        <v>6</v>
      </c>
      <c r="C31" t="s">
        <v>12</v>
      </c>
      <c r="D31" s="2">
        <f>[3]Selected!$AA$84</f>
        <v>119062.39338461538</v>
      </c>
      <c r="E31" s="2">
        <v>150000</v>
      </c>
      <c r="F31" s="2">
        <v>50000</v>
      </c>
      <c r="M31" s="2">
        <f>0.5*D31</f>
        <v>59531.196692307691</v>
      </c>
      <c r="N31" s="2">
        <f>0.5*E31</f>
        <v>75000</v>
      </c>
      <c r="O31" s="2">
        <f>0.5*F31</f>
        <v>25000</v>
      </c>
      <c r="P31" t="s">
        <v>76</v>
      </c>
      <c r="Q31" t="s">
        <v>41</v>
      </c>
    </row>
    <row r="32" spans="1:17" x14ac:dyDescent="0.25">
      <c r="A32" t="s">
        <v>8</v>
      </c>
      <c r="B32" t="s">
        <v>6</v>
      </c>
      <c r="C32" t="s">
        <v>21</v>
      </c>
      <c r="D32">
        <v>0</v>
      </c>
      <c r="E32">
        <v>1000</v>
      </c>
      <c r="F32" s="2">
        <v>200000</v>
      </c>
      <c r="M32">
        <v>0</v>
      </c>
      <c r="N32">
        <v>0</v>
      </c>
      <c r="O32">
        <v>0</v>
      </c>
      <c r="P32" t="s">
        <v>74</v>
      </c>
    </row>
    <row r="33" spans="1:17" x14ac:dyDescent="0.25">
      <c r="A33" t="s">
        <v>23</v>
      </c>
      <c r="B33" t="s">
        <v>6</v>
      </c>
      <c r="C33" t="s">
        <v>22</v>
      </c>
      <c r="D33" s="2">
        <v>0</v>
      </c>
      <c r="E33" s="2">
        <v>0</v>
      </c>
      <c r="F33" s="2">
        <v>0</v>
      </c>
      <c r="M33">
        <v>0</v>
      </c>
      <c r="N33">
        <v>0</v>
      </c>
      <c r="O33">
        <v>0</v>
      </c>
      <c r="P33" t="s">
        <v>75</v>
      </c>
    </row>
    <row r="34" spans="1:17" x14ac:dyDescent="0.25">
      <c r="A34" t="s">
        <v>8</v>
      </c>
      <c r="B34" t="s">
        <v>5</v>
      </c>
      <c r="C34" t="s">
        <v>11</v>
      </c>
      <c r="D34" s="1">
        <f>[3]Selected!$W$59</f>
        <v>232302.61354234227</v>
      </c>
      <c r="E34" s="1">
        <v>100000</v>
      </c>
      <c r="F34" s="1">
        <v>0</v>
      </c>
      <c r="M34" s="2">
        <f>0.76*D34</f>
        <v>176549.98629218014</v>
      </c>
      <c r="N34" s="2">
        <f>0.76*E34</f>
        <v>76000</v>
      </c>
      <c r="O34" s="2">
        <f>0.76*F34</f>
        <v>0</v>
      </c>
      <c r="P34" t="s">
        <v>72</v>
      </c>
      <c r="Q34" t="s">
        <v>38</v>
      </c>
    </row>
    <row r="35" spans="1:17" x14ac:dyDescent="0.25">
      <c r="A35" t="s">
        <v>8</v>
      </c>
      <c r="B35" t="s">
        <v>5</v>
      </c>
      <c r="C35" t="s">
        <v>13</v>
      </c>
      <c r="D35" s="1">
        <f>[3]Selected!$W$87</f>
        <v>742.96851562738232</v>
      </c>
      <c r="E35" s="1">
        <v>1000</v>
      </c>
      <c r="F35" s="1">
        <v>10000</v>
      </c>
      <c r="M35" s="2">
        <f>0.5*D35</f>
        <v>371.48425781369116</v>
      </c>
      <c r="N35" s="2">
        <f>0.5*E35</f>
        <v>500</v>
      </c>
      <c r="O35" s="2">
        <f>0.5*F35</f>
        <v>5000</v>
      </c>
      <c r="P35" t="s">
        <v>79</v>
      </c>
      <c r="Q35" t="s">
        <v>38</v>
      </c>
    </row>
    <row r="36" spans="1:17" x14ac:dyDescent="0.25">
      <c r="A36" t="s">
        <v>8</v>
      </c>
      <c r="B36" t="s">
        <v>5</v>
      </c>
      <c r="C36" t="s">
        <v>12</v>
      </c>
      <c r="D36" s="1">
        <f>[3]Selected!$W$84</f>
        <v>55071.986307692307</v>
      </c>
      <c r="E36" s="1">
        <v>150000</v>
      </c>
      <c r="F36" s="1">
        <v>100000</v>
      </c>
      <c r="M36">
        <f>0.5*D36</f>
        <v>27535.993153846153</v>
      </c>
      <c r="N36">
        <f>0.5*E36</f>
        <v>75000</v>
      </c>
      <c r="O36">
        <f>0.5*F36</f>
        <v>50000</v>
      </c>
      <c r="P36" t="s">
        <v>76</v>
      </c>
      <c r="Q36" t="s">
        <v>38</v>
      </c>
    </row>
    <row r="37" spans="1:17" x14ac:dyDescent="0.25">
      <c r="A37" t="s">
        <v>8</v>
      </c>
      <c r="B37" t="s">
        <v>5</v>
      </c>
      <c r="C37" t="s">
        <v>21</v>
      </c>
      <c r="D37">
        <v>10</v>
      </c>
      <c r="E37">
        <v>1000</v>
      </c>
      <c r="F37" s="1">
        <v>100000</v>
      </c>
      <c r="M37">
        <v>0</v>
      </c>
      <c r="N37">
        <v>0</v>
      </c>
      <c r="O37">
        <v>0</v>
      </c>
      <c r="P37" t="s">
        <v>74</v>
      </c>
      <c r="Q37" t="s">
        <v>40</v>
      </c>
    </row>
    <row r="38" spans="1:17" x14ac:dyDescent="0.25">
      <c r="A38" t="s">
        <v>23</v>
      </c>
      <c r="B38" t="s">
        <v>5</v>
      </c>
      <c r="C38" t="s">
        <v>22</v>
      </c>
      <c r="D38">
        <v>0</v>
      </c>
      <c r="E38">
        <v>0</v>
      </c>
      <c r="F38" s="1">
        <v>0</v>
      </c>
      <c r="M38">
        <v>0</v>
      </c>
      <c r="N38">
        <v>0</v>
      </c>
      <c r="O38">
        <v>0</v>
      </c>
      <c r="P38" t="s">
        <v>75</v>
      </c>
    </row>
    <row r="39" spans="1:17" x14ac:dyDescent="0.25">
      <c r="A39" t="s">
        <v>8</v>
      </c>
      <c r="B39" t="s">
        <v>24</v>
      </c>
      <c r="C39" t="s">
        <v>11</v>
      </c>
      <c r="D39" s="1">
        <f>'[1]Sheet 1'!$Z$16-'[1]Sheet 1'!$N$16</f>
        <v>62183</v>
      </c>
      <c r="E39" s="1">
        <v>40000</v>
      </c>
      <c r="F39" s="1">
        <v>0</v>
      </c>
      <c r="M39">
        <f>0.76*D39</f>
        <v>47259.08</v>
      </c>
      <c r="N39">
        <f>0.76*E39</f>
        <v>30400</v>
      </c>
      <c r="O39">
        <f>0.76*F39</f>
        <v>0</v>
      </c>
      <c r="P39" t="s">
        <v>72</v>
      </c>
      <c r="Q39" t="s">
        <v>46</v>
      </c>
    </row>
    <row r="40" spans="1:17" x14ac:dyDescent="0.25">
      <c r="A40" t="s">
        <v>8</v>
      </c>
      <c r="B40" t="s">
        <v>24</v>
      </c>
      <c r="C40" t="s">
        <v>13</v>
      </c>
      <c r="D40" s="2">
        <f>[2]Tabelle4!$F$21</f>
        <v>1108.1093129999999</v>
      </c>
      <c r="E40" s="2">
        <v>10000</v>
      </c>
      <c r="F40" s="2">
        <v>10000</v>
      </c>
      <c r="M40">
        <f>0.5*D40</f>
        <v>554.05465649999996</v>
      </c>
      <c r="N40">
        <f>0.5*E40</f>
        <v>5000</v>
      </c>
      <c r="O40">
        <f>0.5*F40</f>
        <v>5000</v>
      </c>
      <c r="P40" t="s">
        <v>79</v>
      </c>
      <c r="Q40" t="s">
        <v>37</v>
      </c>
    </row>
    <row r="41" spans="1:17" x14ac:dyDescent="0.25">
      <c r="A41" t="s">
        <v>8</v>
      </c>
      <c r="B41" t="s">
        <v>24</v>
      </c>
      <c r="C41" t="s">
        <v>12</v>
      </c>
      <c r="D41" s="2">
        <f>[2]Tabelle4!$F$22</f>
        <v>78468.094898103504</v>
      </c>
      <c r="E41" s="2">
        <v>100000</v>
      </c>
      <c r="F41" s="2">
        <v>200000</v>
      </c>
      <c r="M41">
        <f>0.5*D41</f>
        <v>39234.047449051752</v>
      </c>
      <c r="N41">
        <f>0.5*E41</f>
        <v>50000</v>
      </c>
      <c r="O41">
        <f>0.5*F41</f>
        <v>100000</v>
      </c>
      <c r="P41" t="s">
        <v>76</v>
      </c>
      <c r="Q41" t="s">
        <v>42</v>
      </c>
    </row>
    <row r="42" spans="1:17" x14ac:dyDescent="0.25">
      <c r="A42" t="s">
        <v>8</v>
      </c>
      <c r="B42" t="s">
        <v>24</v>
      </c>
      <c r="C42" t="s">
        <v>15</v>
      </c>
      <c r="D42" s="1">
        <f>'[1]Sheet 1'!$Z$14-'[1]Sheet 1'!$N$14</f>
        <v>90551</v>
      </c>
      <c r="E42" s="1">
        <f>0.2*SUM(E15:E17)</f>
        <v>80000</v>
      </c>
      <c r="F42" s="1">
        <f>0.2*SUM(F15:F17)</f>
        <v>70000</v>
      </c>
      <c r="M42">
        <v>0</v>
      </c>
      <c r="N42">
        <v>0</v>
      </c>
      <c r="O42">
        <v>0</v>
      </c>
      <c r="P42" t="s">
        <v>77</v>
      </c>
      <c r="Q42" t="s">
        <v>36</v>
      </c>
    </row>
    <row r="43" spans="1:17" x14ac:dyDescent="0.25">
      <c r="A43" t="s">
        <v>8</v>
      </c>
      <c r="B43" t="s">
        <v>24</v>
      </c>
      <c r="C43" t="s">
        <v>16</v>
      </c>
      <c r="D43" s="1">
        <f>'[1]Sheet 1'!$Z$15-'[1]Sheet 1'!$N$15</f>
        <v>1351144</v>
      </c>
      <c r="E43" s="1">
        <f>0.3*SUM(E18:E20)</f>
        <v>633000</v>
      </c>
      <c r="F43" s="1">
        <f>0.3*SUM(F18:F20)</f>
        <v>498000</v>
      </c>
      <c r="M43">
        <v>0</v>
      </c>
      <c r="N43">
        <v>0</v>
      </c>
      <c r="O43">
        <v>0</v>
      </c>
      <c r="P43" t="s">
        <v>80</v>
      </c>
      <c r="Q43" t="s">
        <v>36</v>
      </c>
    </row>
    <row r="44" spans="1:17" x14ac:dyDescent="0.25">
      <c r="A44" t="s">
        <v>8</v>
      </c>
      <c r="B44" t="s">
        <v>25</v>
      </c>
      <c r="C44" t="s">
        <v>11</v>
      </c>
      <c r="D44" s="1">
        <f>'[1]Sheet 1'!$N$16*0.1</f>
        <v>3104.3</v>
      </c>
      <c r="E44" s="1">
        <v>0</v>
      </c>
      <c r="F44" s="1">
        <v>0</v>
      </c>
      <c r="M44">
        <f>0.76*D44</f>
        <v>2359.268</v>
      </c>
      <c r="N44">
        <f>0.76*E44</f>
        <v>0</v>
      </c>
      <c r="O44">
        <f>0.76*F44</f>
        <v>0</v>
      </c>
      <c r="P44" t="s">
        <v>72</v>
      </c>
      <c r="Q44" t="s">
        <v>47</v>
      </c>
    </row>
    <row r="45" spans="1:17" x14ac:dyDescent="0.25">
      <c r="A45" t="s">
        <v>8</v>
      </c>
      <c r="B45" t="s">
        <v>25</v>
      </c>
      <c r="C45" t="s">
        <v>13</v>
      </c>
      <c r="D45">
        <v>10</v>
      </c>
      <c r="E45">
        <v>1000</v>
      </c>
      <c r="F45" s="1">
        <v>1000</v>
      </c>
      <c r="M45">
        <f>0.5*D45</f>
        <v>5</v>
      </c>
      <c r="N45">
        <f>0.5*E45</f>
        <v>500</v>
      </c>
      <c r="O45">
        <f>0.5*F45</f>
        <v>500</v>
      </c>
      <c r="P45" t="s">
        <v>79</v>
      </c>
      <c r="Q45" t="s">
        <v>43</v>
      </c>
    </row>
    <row r="46" spans="1:17" x14ac:dyDescent="0.25">
      <c r="A46" t="s">
        <v>8</v>
      </c>
      <c r="B46" t="s">
        <v>25</v>
      </c>
      <c r="C46" t="s">
        <v>12</v>
      </c>
      <c r="D46" s="2">
        <f>[2]Tabelle4!$F$23</f>
        <v>140111.22090750301</v>
      </c>
      <c r="E46" s="2">
        <v>300000</v>
      </c>
      <c r="F46" s="2">
        <v>1000000</v>
      </c>
      <c r="M46">
        <f>0.5*D46</f>
        <v>70055.610453751506</v>
      </c>
      <c r="N46">
        <f>0.5*E46</f>
        <v>150000</v>
      </c>
      <c r="O46">
        <f>0.5*F46</f>
        <v>500000</v>
      </c>
      <c r="P46" t="s">
        <v>76</v>
      </c>
      <c r="Q46" t="s">
        <v>44</v>
      </c>
    </row>
    <row r="47" spans="1:17" x14ac:dyDescent="0.25">
      <c r="A47" t="s">
        <v>8</v>
      </c>
      <c r="B47" t="s">
        <v>25</v>
      </c>
      <c r="C47" t="s">
        <v>15</v>
      </c>
      <c r="D47" s="2">
        <f>0.3*'[1]Sheet 1'!$Z$14</f>
        <v>122261.09999999999</v>
      </c>
      <c r="E47" s="2">
        <v>50000</v>
      </c>
      <c r="F47" s="2">
        <v>20000</v>
      </c>
      <c r="M47">
        <v>0</v>
      </c>
      <c r="N47">
        <v>0</v>
      </c>
      <c r="O47">
        <v>0</v>
      </c>
      <c r="P47" t="s">
        <v>77</v>
      </c>
      <c r="Q47" t="s">
        <v>45</v>
      </c>
    </row>
    <row r="48" spans="1:17" x14ac:dyDescent="0.25">
      <c r="A48" t="s">
        <v>8</v>
      </c>
      <c r="B48" t="s">
        <v>25</v>
      </c>
      <c r="C48" t="s">
        <v>16</v>
      </c>
      <c r="D48" s="2">
        <f>0.7*'[1]Sheet 1'!$N$15</f>
        <v>1557747.7999999998</v>
      </c>
      <c r="E48" s="2">
        <v>1000000</v>
      </c>
      <c r="F48" s="2">
        <v>200000</v>
      </c>
      <c r="M48">
        <v>0</v>
      </c>
      <c r="N48">
        <v>0</v>
      </c>
      <c r="O48">
        <v>0</v>
      </c>
      <c r="P48" t="s">
        <v>80</v>
      </c>
      <c r="Q48" t="s">
        <v>45</v>
      </c>
    </row>
    <row r="49" spans="1:17" x14ac:dyDescent="0.25">
      <c r="A49" t="s">
        <v>8</v>
      </c>
      <c r="B49" t="s">
        <v>26</v>
      </c>
      <c r="C49" t="s">
        <v>11</v>
      </c>
      <c r="D49" s="2">
        <f>0.9*'[1]Sheet 1'!$N$16</f>
        <v>27938.7</v>
      </c>
      <c r="E49" s="2">
        <v>10000</v>
      </c>
      <c r="F49" s="2">
        <v>0</v>
      </c>
      <c r="M49">
        <f>0.76*D49</f>
        <v>21233.412</v>
      </c>
      <c r="N49">
        <f>0.76*E49</f>
        <v>7600</v>
      </c>
      <c r="O49">
        <f>0.76*F49</f>
        <v>0</v>
      </c>
      <c r="P49" t="s">
        <v>72</v>
      </c>
      <c r="Q49" t="s">
        <v>47</v>
      </c>
    </row>
    <row r="50" spans="1:17" x14ac:dyDescent="0.25">
      <c r="A50" t="s">
        <v>8</v>
      </c>
      <c r="B50" t="s">
        <v>26</v>
      </c>
      <c r="C50" t="s">
        <v>13</v>
      </c>
      <c r="D50" s="2">
        <v>0</v>
      </c>
      <c r="E50" s="2">
        <v>1000</v>
      </c>
      <c r="F50" s="2">
        <v>10000</v>
      </c>
      <c r="M50">
        <f>0.5*D50</f>
        <v>0</v>
      </c>
      <c r="N50">
        <f>0.5*E50</f>
        <v>500</v>
      </c>
      <c r="O50">
        <f>0.5*F50</f>
        <v>5000</v>
      </c>
      <c r="P50" t="s">
        <v>79</v>
      </c>
    </row>
    <row r="51" spans="1:17" x14ac:dyDescent="0.25">
      <c r="A51" t="s">
        <v>8</v>
      </c>
      <c r="B51" t="s">
        <v>26</v>
      </c>
      <c r="C51" t="s">
        <v>12</v>
      </c>
      <c r="D51" s="2">
        <v>10</v>
      </c>
      <c r="E51" s="2">
        <v>1000</v>
      </c>
      <c r="F51" s="2">
        <v>10000</v>
      </c>
      <c r="M51">
        <f>0.5*D51</f>
        <v>5</v>
      </c>
      <c r="N51">
        <f>0.5*E51</f>
        <v>500</v>
      </c>
      <c r="O51">
        <f>0.5*F51</f>
        <v>5000</v>
      </c>
      <c r="P51" t="s">
        <v>76</v>
      </c>
      <c r="Q51" t="s">
        <v>48</v>
      </c>
    </row>
    <row r="52" spans="1:17" x14ac:dyDescent="0.25">
      <c r="A52" t="s">
        <v>8</v>
      </c>
      <c r="B52" t="s">
        <v>26</v>
      </c>
      <c r="C52" t="s">
        <v>15</v>
      </c>
      <c r="D52" s="2">
        <f>0.4*'[1]Sheet 1'!$N$14</f>
        <v>126794.40000000001</v>
      </c>
      <c r="E52" s="2">
        <v>100000</v>
      </c>
      <c r="F52" s="2">
        <v>80000</v>
      </c>
      <c r="M52">
        <v>0</v>
      </c>
      <c r="N52">
        <v>0</v>
      </c>
      <c r="O52">
        <v>0</v>
      </c>
      <c r="P52" t="s">
        <v>77</v>
      </c>
      <c r="Q52" t="s">
        <v>47</v>
      </c>
    </row>
    <row r="53" spans="1:17" x14ac:dyDescent="0.25">
      <c r="A53" t="s">
        <v>8</v>
      </c>
      <c r="B53" t="s">
        <v>26</v>
      </c>
      <c r="C53" t="s">
        <v>16</v>
      </c>
      <c r="D53" s="2">
        <f>0.3*'[1]Sheet 1'!$N$15</f>
        <v>667606.19999999995</v>
      </c>
      <c r="E53" s="2">
        <v>500000</v>
      </c>
      <c r="F53" s="2">
        <v>300000</v>
      </c>
      <c r="M53">
        <v>0</v>
      </c>
      <c r="N53">
        <v>0</v>
      </c>
      <c r="O53">
        <v>0</v>
      </c>
      <c r="P53" t="s">
        <v>80</v>
      </c>
      <c r="Q53" t="s">
        <v>47</v>
      </c>
    </row>
    <row r="54" spans="1:17" x14ac:dyDescent="0.25">
      <c r="A54" t="s">
        <v>8</v>
      </c>
      <c r="B54" t="s">
        <v>27</v>
      </c>
      <c r="C54" t="s">
        <v>11</v>
      </c>
      <c r="D54">
        <v>0</v>
      </c>
      <c r="E54">
        <v>0</v>
      </c>
      <c r="F54" s="2">
        <v>0</v>
      </c>
      <c r="M54">
        <f>0.76*D54</f>
        <v>0</v>
      </c>
      <c r="N54">
        <f>0.76*E54</f>
        <v>0</v>
      </c>
      <c r="O54">
        <f>0.76*F54</f>
        <v>0</v>
      </c>
      <c r="P54" t="s">
        <v>72</v>
      </c>
    </row>
    <row r="55" spans="1:17" x14ac:dyDescent="0.25">
      <c r="A55" t="s">
        <v>8</v>
      </c>
      <c r="B55" t="s">
        <v>27</v>
      </c>
      <c r="C55" t="s">
        <v>13</v>
      </c>
      <c r="D55" s="2">
        <v>0</v>
      </c>
      <c r="E55" s="2">
        <v>1000</v>
      </c>
      <c r="F55" s="2">
        <v>10000</v>
      </c>
      <c r="M55">
        <f>0.5*D55</f>
        <v>0</v>
      </c>
      <c r="N55">
        <f>0.5*E55</f>
        <v>500</v>
      </c>
      <c r="O55">
        <f>0.5*F55</f>
        <v>5000</v>
      </c>
      <c r="P55" t="s">
        <v>79</v>
      </c>
    </row>
    <row r="56" spans="1:17" x14ac:dyDescent="0.25">
      <c r="A56" t="s">
        <v>8</v>
      </c>
      <c r="B56" t="s">
        <v>27</v>
      </c>
      <c r="C56" t="s">
        <v>12</v>
      </c>
      <c r="D56" s="2">
        <v>0</v>
      </c>
      <c r="E56" s="2">
        <v>1000</v>
      </c>
      <c r="F56" s="2">
        <v>10000</v>
      </c>
      <c r="M56">
        <f>0.5*D56</f>
        <v>0</v>
      </c>
      <c r="N56">
        <f>0.5*E56</f>
        <v>500</v>
      </c>
      <c r="O56">
        <f>0.5*F56</f>
        <v>5000</v>
      </c>
      <c r="P56" t="s">
        <v>76</v>
      </c>
    </row>
    <row r="57" spans="1:17" x14ac:dyDescent="0.25">
      <c r="A57" t="s">
        <v>8</v>
      </c>
      <c r="B57" t="s">
        <v>27</v>
      </c>
      <c r="C57" t="s">
        <v>15</v>
      </c>
      <c r="D57" s="2">
        <f>0.3*'[1]Sheet 1'!$N$14</f>
        <v>95095.8</v>
      </c>
      <c r="E57" s="2">
        <v>40000</v>
      </c>
      <c r="F57" s="2">
        <v>30000</v>
      </c>
      <c r="M57">
        <v>0</v>
      </c>
      <c r="N57">
        <v>0</v>
      </c>
      <c r="O57">
        <v>0</v>
      </c>
      <c r="P57" t="s">
        <v>77</v>
      </c>
      <c r="Q57" t="s">
        <v>47</v>
      </c>
    </row>
    <row r="58" spans="1:17" x14ac:dyDescent="0.25">
      <c r="A58" t="s">
        <v>8</v>
      </c>
      <c r="B58" t="s">
        <v>27</v>
      </c>
      <c r="C58" t="s">
        <v>16</v>
      </c>
      <c r="D58" s="2">
        <v>0</v>
      </c>
      <c r="E58" s="2">
        <v>0</v>
      </c>
      <c r="F58" s="2"/>
      <c r="M58">
        <v>0</v>
      </c>
      <c r="N58">
        <v>0</v>
      </c>
      <c r="O58">
        <v>0</v>
      </c>
      <c r="P58" t="s">
        <v>78</v>
      </c>
    </row>
    <row r="59" spans="1:17" x14ac:dyDescent="0.25">
      <c r="A59" t="s">
        <v>5</v>
      </c>
      <c r="B59" t="s">
        <v>28</v>
      </c>
      <c r="C59" t="s">
        <v>11</v>
      </c>
      <c r="D59">
        <v>0</v>
      </c>
      <c r="E59">
        <v>10000</v>
      </c>
      <c r="F59" s="2">
        <v>0</v>
      </c>
      <c r="M59">
        <f>0.76*D59</f>
        <v>0</v>
      </c>
      <c r="N59">
        <f>0.76*E59</f>
        <v>7600</v>
      </c>
      <c r="O59">
        <f>0.76*F59</f>
        <v>0</v>
      </c>
      <c r="P59" t="s">
        <v>72</v>
      </c>
    </row>
    <row r="60" spans="1:17" x14ac:dyDescent="0.25">
      <c r="A60" t="s">
        <v>5</v>
      </c>
      <c r="B60" t="s">
        <v>28</v>
      </c>
      <c r="C60" t="s">
        <v>13</v>
      </c>
      <c r="D60">
        <v>0</v>
      </c>
      <c r="E60">
        <v>10000</v>
      </c>
      <c r="F60" s="2">
        <v>10000</v>
      </c>
      <c r="M60">
        <f>0.5*D60</f>
        <v>0</v>
      </c>
      <c r="N60">
        <f>0.5*E60</f>
        <v>5000</v>
      </c>
      <c r="O60">
        <f>0.5*F60</f>
        <v>5000</v>
      </c>
      <c r="P60" t="s">
        <v>79</v>
      </c>
    </row>
    <row r="61" spans="1:17" x14ac:dyDescent="0.25">
      <c r="A61" t="s">
        <v>5</v>
      </c>
      <c r="B61" t="s">
        <v>28</v>
      </c>
      <c r="C61" t="s">
        <v>12</v>
      </c>
      <c r="D61">
        <v>0</v>
      </c>
      <c r="E61">
        <v>100000</v>
      </c>
      <c r="F61" s="2">
        <v>100000</v>
      </c>
      <c r="M61">
        <f>0.5*D61</f>
        <v>0</v>
      </c>
      <c r="N61">
        <f>0.5*E61</f>
        <v>50000</v>
      </c>
      <c r="O61">
        <f>0.5*F61</f>
        <v>50000</v>
      </c>
      <c r="P61" t="s">
        <v>76</v>
      </c>
    </row>
    <row r="62" spans="1:17" x14ac:dyDescent="0.25">
      <c r="A62" t="s">
        <v>5</v>
      </c>
      <c r="B62" t="s">
        <v>28</v>
      </c>
      <c r="C62" t="s">
        <v>15</v>
      </c>
      <c r="D62">
        <v>0</v>
      </c>
      <c r="E62">
        <v>0</v>
      </c>
      <c r="F62" s="2">
        <v>0</v>
      </c>
      <c r="M62">
        <v>0</v>
      </c>
      <c r="N62">
        <v>0</v>
      </c>
      <c r="O62">
        <v>0</v>
      </c>
      <c r="P62" t="s">
        <v>77</v>
      </c>
    </row>
    <row r="63" spans="1:17" x14ac:dyDescent="0.25">
      <c r="A63" t="s">
        <v>5</v>
      </c>
      <c r="B63" t="s">
        <v>28</v>
      </c>
      <c r="C63" t="s">
        <v>16</v>
      </c>
      <c r="D63">
        <v>0</v>
      </c>
      <c r="E63">
        <v>0</v>
      </c>
      <c r="F63" s="2">
        <v>0</v>
      </c>
      <c r="M63">
        <v>0</v>
      </c>
      <c r="N63">
        <v>0</v>
      </c>
      <c r="O63">
        <v>0</v>
      </c>
      <c r="P63" t="s">
        <v>80</v>
      </c>
    </row>
    <row r="64" spans="1:17" x14ac:dyDescent="0.25">
      <c r="A64" t="s">
        <v>24</v>
      </c>
      <c r="B64" t="s">
        <v>18</v>
      </c>
      <c r="C64" t="s">
        <v>3</v>
      </c>
      <c r="D64" s="1">
        <f>'[1]Sheet 1'!$X$12</f>
        <v>259982</v>
      </c>
      <c r="E64" s="1">
        <v>150000</v>
      </c>
      <c r="F64" s="1">
        <v>50000</v>
      </c>
      <c r="M64" s="2">
        <f>0.76*D64</f>
        <v>197586.32</v>
      </c>
      <c r="N64" s="2">
        <f>0.76*E64</f>
        <v>114000</v>
      </c>
      <c r="O64" s="2">
        <f>0.76*F64</f>
        <v>38000</v>
      </c>
      <c r="P64" t="s">
        <v>78</v>
      </c>
      <c r="Q64" t="s">
        <v>49</v>
      </c>
    </row>
    <row r="65" spans="1:17" x14ac:dyDescent="0.25">
      <c r="A65" t="s">
        <v>20</v>
      </c>
      <c r="B65" t="s">
        <v>18</v>
      </c>
      <c r="C65" t="s">
        <v>29</v>
      </c>
      <c r="D65" s="2">
        <f>0.3*'[1]Sheet 1'!$P$12</f>
        <v>780100.5</v>
      </c>
      <c r="E65" s="2">
        <v>300000</v>
      </c>
      <c r="F65" s="2">
        <v>0</v>
      </c>
      <c r="M65" s="2">
        <f>D65*27.3/100</f>
        <v>212967.43650000001</v>
      </c>
      <c r="N65" s="2">
        <f>E65*27.3/100</f>
        <v>81900</v>
      </c>
      <c r="O65" s="2">
        <f>F65*27.3/100</f>
        <v>0</v>
      </c>
      <c r="P65" t="s">
        <v>78</v>
      </c>
      <c r="Q65" t="s">
        <v>50</v>
      </c>
    </row>
    <row r="66" spans="1:17" x14ac:dyDescent="0.25">
      <c r="A66" t="s">
        <v>6</v>
      </c>
      <c r="B66" t="s">
        <v>18</v>
      </c>
      <c r="C66" t="s">
        <v>29</v>
      </c>
      <c r="D66">
        <f>0.4*'[1]Sheet 1'!$P$12</f>
        <v>1040134</v>
      </c>
      <c r="E66">
        <v>400000</v>
      </c>
      <c r="F66" s="2">
        <v>0</v>
      </c>
      <c r="M66" s="2">
        <f>D66*27.3/100</f>
        <v>283956.58199999999</v>
      </c>
      <c r="N66" s="2">
        <f>E66*27.3/100</f>
        <v>109200</v>
      </c>
      <c r="O66" s="2">
        <f>F66*27.3/100</f>
        <v>0</v>
      </c>
      <c r="P66" t="s">
        <v>78</v>
      </c>
      <c r="Q66" t="s">
        <v>50</v>
      </c>
    </row>
    <row r="67" spans="1:17" x14ac:dyDescent="0.25">
      <c r="A67" t="s">
        <v>5</v>
      </c>
      <c r="B67" t="s">
        <v>18</v>
      </c>
      <c r="C67" t="s">
        <v>29</v>
      </c>
      <c r="D67" s="2">
        <f>0.3*'[1]Sheet 1'!$P$12</f>
        <v>780100.5</v>
      </c>
      <c r="E67" s="2">
        <v>200000</v>
      </c>
      <c r="F67" s="2">
        <v>0</v>
      </c>
      <c r="M67" s="2">
        <f>D67*27.3/100</f>
        <v>212967.43650000001</v>
      </c>
      <c r="N67" s="2">
        <f>E67*27.3/100</f>
        <v>54600</v>
      </c>
      <c r="O67" s="2">
        <f>F67*27.3/100</f>
        <v>0</v>
      </c>
      <c r="P67" t="s">
        <v>78</v>
      </c>
      <c r="Q67" t="s">
        <v>50</v>
      </c>
    </row>
    <row r="68" spans="1:17" x14ac:dyDescent="0.25">
      <c r="A68" t="s">
        <v>24</v>
      </c>
      <c r="B68" t="s">
        <v>30</v>
      </c>
      <c r="C68" t="s">
        <v>31</v>
      </c>
      <c r="D68" s="1">
        <f>SUM('[1]Sheet 1'!$F$12,'[1]Sheet 1'!$H$12)-'[1]Sheet 1'!$F$13-'[1]Sheet 1'!$H$13</f>
        <v>569072</v>
      </c>
      <c r="E68" s="1">
        <v>600000</v>
      </c>
      <c r="F68" s="1">
        <v>600000</v>
      </c>
      <c r="M68">
        <v>100000</v>
      </c>
      <c r="N68">
        <v>100000</v>
      </c>
      <c r="O68">
        <v>100000</v>
      </c>
      <c r="P68" t="s">
        <v>78</v>
      </c>
      <c r="Q68" t="s">
        <v>51</v>
      </c>
    </row>
    <row r="69" spans="1:17" x14ac:dyDescent="0.25">
      <c r="A69" t="s">
        <v>4</v>
      </c>
      <c r="B69" t="s">
        <v>30</v>
      </c>
      <c r="C69" t="s">
        <v>57</v>
      </c>
      <c r="D69" s="2">
        <f>[2]Tabelle4!$F$26</f>
        <v>5066.9096961525001</v>
      </c>
      <c r="E69" s="2">
        <v>10000</v>
      </c>
      <c r="F69" s="2">
        <v>50000</v>
      </c>
      <c r="M69" s="2">
        <f>0.5*D69</f>
        <v>2533.4548480762501</v>
      </c>
      <c r="N69" s="2">
        <f>0.5*E69</f>
        <v>5000</v>
      </c>
      <c r="O69" s="2">
        <f>0.5*F69</f>
        <v>25000</v>
      </c>
      <c r="P69" t="s">
        <v>79</v>
      </c>
      <c r="Q69" t="s">
        <v>52</v>
      </c>
    </row>
    <row r="70" spans="1:17" x14ac:dyDescent="0.25">
      <c r="A70" t="s">
        <v>4</v>
      </c>
      <c r="B70" t="s">
        <v>30</v>
      </c>
      <c r="C70" t="s">
        <v>17</v>
      </c>
      <c r="D70" s="2">
        <f>[2]Tabelle4!$F$27</f>
        <v>17285.734458286999</v>
      </c>
      <c r="E70" s="2">
        <v>10000</v>
      </c>
      <c r="F70" s="2">
        <v>10000</v>
      </c>
      <c r="M70" s="2">
        <f>0.5*D70</f>
        <v>8642.8672291434996</v>
      </c>
      <c r="N70" s="2">
        <f>0.5*E70</f>
        <v>5000</v>
      </c>
      <c r="O70" s="2">
        <f>0.5*F70</f>
        <v>5000</v>
      </c>
      <c r="P70" t="s">
        <v>79</v>
      </c>
      <c r="Q70" t="s">
        <v>52</v>
      </c>
    </row>
    <row r="71" spans="1:17" x14ac:dyDescent="0.25">
      <c r="A71" t="s">
        <v>27</v>
      </c>
      <c r="B71" t="s">
        <v>30</v>
      </c>
      <c r="C71" t="s">
        <v>31</v>
      </c>
      <c r="D71">
        <v>100</v>
      </c>
      <c r="E71">
        <v>100</v>
      </c>
      <c r="F71" s="2">
        <v>100</v>
      </c>
      <c r="M71">
        <v>0</v>
      </c>
      <c r="N71">
        <v>0</v>
      </c>
      <c r="O71">
        <v>0</v>
      </c>
      <c r="P71" t="s">
        <v>78</v>
      </c>
      <c r="Q71" t="s">
        <v>53</v>
      </c>
    </row>
    <row r="72" spans="1:17" x14ac:dyDescent="0.25">
      <c r="A72" t="s">
        <v>24</v>
      </c>
      <c r="B72" t="s">
        <v>10</v>
      </c>
      <c r="C72" t="s">
        <v>32</v>
      </c>
      <c r="D72">
        <v>0</v>
      </c>
      <c r="E72">
        <v>1000</v>
      </c>
      <c r="F72" s="2">
        <v>1000</v>
      </c>
      <c r="M72">
        <v>0</v>
      </c>
      <c r="N72">
        <v>0</v>
      </c>
      <c r="O72">
        <v>0</v>
      </c>
      <c r="P72" t="s">
        <v>77</v>
      </c>
    </row>
    <row r="73" spans="1:17" x14ac:dyDescent="0.25">
      <c r="A73" t="s">
        <v>24</v>
      </c>
      <c r="B73" t="s">
        <v>10</v>
      </c>
      <c r="C73" t="s">
        <v>33</v>
      </c>
      <c r="D73">
        <v>0</v>
      </c>
      <c r="E73">
        <v>10000</v>
      </c>
      <c r="F73" s="2">
        <v>10000</v>
      </c>
      <c r="M73">
        <f>0.76*D73</f>
        <v>0</v>
      </c>
      <c r="N73">
        <f>0.76*E73</f>
        <v>7600</v>
      </c>
      <c r="O73">
        <f>0.76*F73</f>
        <v>7600</v>
      </c>
      <c r="P73" t="s">
        <v>72</v>
      </c>
      <c r="Q73" t="s">
        <v>55</v>
      </c>
    </row>
    <row r="74" spans="1:17" x14ac:dyDescent="0.25">
      <c r="A74" t="s">
        <v>24</v>
      </c>
      <c r="B74" t="s">
        <v>10</v>
      </c>
      <c r="C74" t="s">
        <v>34</v>
      </c>
      <c r="D74">
        <v>0</v>
      </c>
      <c r="E74">
        <v>10000</v>
      </c>
      <c r="F74" s="2">
        <v>100000</v>
      </c>
      <c r="M74">
        <f>0.5*D74</f>
        <v>0</v>
      </c>
      <c r="N74">
        <f>0.5*E74</f>
        <v>5000</v>
      </c>
      <c r="O74">
        <f>0.5*F74</f>
        <v>50000</v>
      </c>
      <c r="P74" t="s">
        <v>79</v>
      </c>
    </row>
    <row r="75" spans="1:17" x14ac:dyDescent="0.25">
      <c r="A75" t="s">
        <v>25</v>
      </c>
      <c r="B75" t="s">
        <v>10</v>
      </c>
      <c r="C75" t="s">
        <v>32</v>
      </c>
      <c r="D75">
        <f>80000*0.5</f>
        <v>40000</v>
      </c>
      <c r="E75">
        <v>10000</v>
      </c>
      <c r="F75" s="2">
        <v>1000</v>
      </c>
      <c r="M75">
        <v>0</v>
      </c>
      <c r="N75">
        <v>0</v>
      </c>
      <c r="O75">
        <v>0</v>
      </c>
      <c r="P75" t="s">
        <v>77</v>
      </c>
      <c r="Q75" t="s">
        <v>54</v>
      </c>
    </row>
    <row r="76" spans="1:17" x14ac:dyDescent="0.25">
      <c r="A76" t="s">
        <v>25</v>
      </c>
      <c r="B76" t="s">
        <v>10</v>
      </c>
      <c r="C76" t="s">
        <v>33</v>
      </c>
      <c r="D76">
        <v>0</v>
      </c>
      <c r="E76">
        <v>0</v>
      </c>
      <c r="F76" s="2">
        <v>0</v>
      </c>
      <c r="M76">
        <f>0.76*D76</f>
        <v>0</v>
      </c>
      <c r="N76">
        <f>0.76*E76</f>
        <v>0</v>
      </c>
      <c r="O76">
        <f>0.76*F76</f>
        <v>0</v>
      </c>
      <c r="P76" t="s">
        <v>72</v>
      </c>
    </row>
    <row r="77" spans="1:17" x14ac:dyDescent="0.25">
      <c r="A77" t="s">
        <v>25</v>
      </c>
      <c r="B77" t="s">
        <v>10</v>
      </c>
      <c r="C77" t="s">
        <v>34</v>
      </c>
      <c r="D77">
        <f>140000*0.2</f>
        <v>28000</v>
      </c>
      <c r="E77">
        <v>100000</v>
      </c>
      <c r="F77" s="2">
        <v>400000</v>
      </c>
      <c r="M77">
        <f>0.5*D77</f>
        <v>14000</v>
      </c>
      <c r="N77">
        <f>0.5*E77</f>
        <v>50000</v>
      </c>
      <c r="O77">
        <f>0.5*F77</f>
        <v>200000</v>
      </c>
      <c r="P77" t="s">
        <v>79</v>
      </c>
      <c r="Q77" t="s">
        <v>54</v>
      </c>
    </row>
    <row r="78" spans="1:17" x14ac:dyDescent="0.25">
      <c r="A78" t="s">
        <v>27</v>
      </c>
      <c r="B78" t="s">
        <v>10</v>
      </c>
      <c r="C78" t="s">
        <v>32</v>
      </c>
      <c r="D78">
        <f>80000*0.5</f>
        <v>40000</v>
      </c>
      <c r="E78">
        <v>100000</v>
      </c>
      <c r="F78" s="2">
        <v>100000</v>
      </c>
      <c r="M78">
        <v>0</v>
      </c>
      <c r="N78">
        <v>0</v>
      </c>
      <c r="O78">
        <v>0</v>
      </c>
      <c r="P78" t="s">
        <v>77</v>
      </c>
    </row>
    <row r="79" spans="1:17" x14ac:dyDescent="0.25">
      <c r="A79" t="s">
        <v>27</v>
      </c>
      <c r="B79" t="s">
        <v>10</v>
      </c>
      <c r="C79" t="s">
        <v>33</v>
      </c>
      <c r="D79">
        <v>0</v>
      </c>
      <c r="E79">
        <v>0</v>
      </c>
      <c r="F79" s="2">
        <v>0</v>
      </c>
      <c r="M79">
        <f>0.76*D79</f>
        <v>0</v>
      </c>
      <c r="N79">
        <f>0.76*E79</f>
        <v>0</v>
      </c>
      <c r="O79">
        <f>0.76*F79</f>
        <v>0</v>
      </c>
      <c r="P79" t="s">
        <v>72</v>
      </c>
    </row>
    <row r="80" spans="1:17" x14ac:dyDescent="0.25">
      <c r="A80" t="s">
        <v>27</v>
      </c>
      <c r="B80" t="s">
        <v>10</v>
      </c>
      <c r="C80" t="s">
        <v>34</v>
      </c>
      <c r="D80">
        <f>140000*0.8</f>
        <v>112000</v>
      </c>
      <c r="E80">
        <v>300000</v>
      </c>
      <c r="F80" s="2">
        <v>500000</v>
      </c>
      <c r="M80">
        <f>0.5*D80</f>
        <v>56000</v>
      </c>
      <c r="N80">
        <f>0.5*E80</f>
        <v>150000</v>
      </c>
      <c r="O80">
        <f>0.5*F80</f>
        <v>250000</v>
      </c>
      <c r="P80" t="s">
        <v>79</v>
      </c>
      <c r="Q80" t="s">
        <v>54</v>
      </c>
    </row>
    <row r="81" spans="1:16" x14ac:dyDescent="0.25">
      <c r="A81" t="s">
        <v>28</v>
      </c>
      <c r="B81" t="s">
        <v>10</v>
      </c>
      <c r="C81" t="s">
        <v>33</v>
      </c>
      <c r="D81">
        <v>0</v>
      </c>
      <c r="E81">
        <v>10000</v>
      </c>
      <c r="F81" s="2">
        <v>0</v>
      </c>
      <c r="M81">
        <f>0.27*D81</f>
        <v>0</v>
      </c>
      <c r="N81">
        <f>0.27*E81</f>
        <v>2700</v>
      </c>
      <c r="O81">
        <f>0.27*F81</f>
        <v>0</v>
      </c>
      <c r="P81" t="s">
        <v>72</v>
      </c>
    </row>
    <row r="82" spans="1:16" x14ac:dyDescent="0.25">
      <c r="A82" t="s">
        <v>28</v>
      </c>
      <c r="B82" t="s">
        <v>10</v>
      </c>
      <c r="C82" t="s">
        <v>34</v>
      </c>
      <c r="D82">
        <v>0</v>
      </c>
      <c r="E82">
        <v>100000</v>
      </c>
      <c r="F82" s="2">
        <v>100000</v>
      </c>
      <c r="M82">
        <f>0.27*D82</f>
        <v>0</v>
      </c>
      <c r="N82">
        <f>0.27*E82</f>
        <v>27000</v>
      </c>
      <c r="O82">
        <f>0.27*F82</f>
        <v>27000</v>
      </c>
      <c r="P82" t="s">
        <v>79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31E18F262D51847B2A2D7216EBFA91D" ma:contentTypeVersion="15" ma:contentTypeDescription="Ein neues Dokument erstellen." ma:contentTypeScope="" ma:versionID="3baecc6109cecab21525fe64c8c328a8">
  <xsd:schema xmlns:xsd="http://www.w3.org/2001/XMLSchema" xmlns:xs="http://www.w3.org/2001/XMLSchema" xmlns:p="http://schemas.microsoft.com/office/2006/metadata/properties" xmlns:ns1="http://schemas.microsoft.com/sharepoint/v3" xmlns:ns3="f412b2a5-6eba-42db-9771-f8fbdc6d2762" xmlns:ns4="a81de634-2d58-424a-9ba3-daa59c7e9faf" targetNamespace="http://schemas.microsoft.com/office/2006/metadata/properties" ma:root="true" ma:fieldsID="eb01bd9812b96144f3085dc8bcbf1d83" ns1:_="" ns3:_="" ns4:_="">
    <xsd:import namespace="http://schemas.microsoft.com/sharepoint/v3"/>
    <xsd:import namespace="f412b2a5-6eba-42db-9771-f8fbdc6d2762"/>
    <xsd:import namespace="a81de634-2d58-424a-9ba3-daa59c7e9f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Eigenschaften der einheitlichen Compliancerichtlinie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I-Aktion der einheitlichen Compliancerichtlini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12b2a5-6eba-42db-9771-f8fbdc6d2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1de634-2d58-424a-9ba3-daa59c7e9fa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BD3A20-193B-457E-BEE3-FCEE34678E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412b2a5-6eba-42db-9771-f8fbdc6d2762"/>
    <ds:schemaRef ds:uri="a81de634-2d58-424a-9ba3-daa59c7e9f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E12941-F93B-4E11-BE98-42B66B714BA0}">
  <ds:schemaRefs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schemas.microsoft.com/sharepoint/v3"/>
    <ds:schemaRef ds:uri="f412b2a5-6eba-42db-9771-f8fbdc6d2762"/>
    <ds:schemaRef ds:uri="http://purl.org/dc/dcmitype/"/>
    <ds:schemaRef ds:uri="a81de634-2d58-424a-9ba3-daa59c7e9faf"/>
    <ds:schemaRef ds:uri="http://purl.org/dc/terms/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7549441-C841-4B5D-8D10-A06A56D9B1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Sankey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Schipfer</dc:creator>
  <cp:lastModifiedBy>Fabian Schipfer</cp:lastModifiedBy>
  <dcterms:created xsi:type="dcterms:W3CDTF">2020-10-01T08:30:43Z</dcterms:created>
  <dcterms:modified xsi:type="dcterms:W3CDTF">2020-10-21T15:38:34Z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0x010100F31E18F262D51847B2A2D7216EBFA91D</vt:lpwstr>
  </property>
</Properties>
</file>