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 activeTab="2"/>
  </bookViews>
  <sheets>
    <sheet name="assumptions and outputs" sheetId="2" r:id="rId1"/>
    <sheet name="_CIQHiddenCacheSheet" sheetId="13" state="veryHidden" r:id="rId2"/>
    <sheet name="Model" sheetId="1" r:id="rId3"/>
    <sheet name="company by company input" sheetId="3" r:id="rId4"/>
  </sheets>
  <definedNames>
    <definedName name="CIQWBGuid" hidden="1">"63cc14d8-9a5d-4606-a1d2-42e696677b7c"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42635.892650463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O36" i="3" l="1"/>
  <c r="P36" i="3"/>
  <c r="Q36" i="3"/>
  <c r="R36" i="3"/>
  <c r="S36" i="3"/>
  <c r="T36" i="3"/>
  <c r="N36" i="3"/>
  <c r="O35" i="3"/>
  <c r="P35" i="3"/>
  <c r="Q35" i="3"/>
  <c r="R35" i="3"/>
  <c r="S35" i="3"/>
  <c r="T35" i="3"/>
  <c r="N35" i="3"/>
  <c r="O34" i="3"/>
  <c r="P34" i="3"/>
  <c r="Q34" i="3"/>
  <c r="R34" i="3"/>
  <c r="S34" i="3"/>
  <c r="T34" i="3"/>
  <c r="N34" i="3"/>
  <c r="H11" i="1"/>
  <c r="O27" i="1" s="1"/>
  <c r="H12" i="1"/>
  <c r="T6" i="1"/>
  <c r="H8" i="1"/>
  <c r="H7" i="1"/>
  <c r="F5" i="1"/>
  <c r="F8" i="1"/>
  <c r="V36" i="3" l="1"/>
  <c r="V35" i="3"/>
  <c r="V34" i="3"/>
  <c r="E19" i="2"/>
  <c r="E32" i="2"/>
  <c r="E16" i="2"/>
  <c r="K24" i="1"/>
  <c r="C57" i="1"/>
  <c r="Q7" i="1"/>
  <c r="H9" i="1"/>
  <c r="F28" i="1"/>
  <c r="F31" i="1" s="1"/>
  <c r="G48" i="1" s="1"/>
  <c r="F7" i="1" l="1"/>
  <c r="F11" i="1"/>
  <c r="F12" i="1"/>
  <c r="F24" i="1"/>
  <c r="F25" i="1"/>
  <c r="F26" i="1"/>
  <c r="F20" i="1"/>
  <c r="F21" i="1"/>
  <c r="F22" i="1"/>
  <c r="F16" i="1"/>
  <c r="F17" i="1"/>
  <c r="F18" i="1"/>
  <c r="P14" i="3"/>
  <c r="O14" i="3"/>
  <c r="T14" i="3"/>
  <c r="Q14" i="3"/>
  <c r="S14" i="3"/>
  <c r="R14" i="3"/>
  <c r="N14" i="3"/>
  <c r="V14" i="3"/>
  <c r="C40" i="1"/>
  <c r="T4" i="3"/>
  <c r="O32" i="3"/>
  <c r="P32" i="3" s="1"/>
  <c r="Q32" i="3" s="1"/>
  <c r="R32" i="3" s="1"/>
  <c r="S32" i="3" s="1"/>
  <c r="O4" i="3"/>
  <c r="P4" i="3" s="1"/>
  <c r="Q4" i="3" s="1"/>
  <c r="R4" i="3" s="1"/>
  <c r="S4" i="3" s="1"/>
  <c r="F9" i="1" l="1"/>
  <c r="F14" i="1" s="1"/>
  <c r="O5" i="1"/>
  <c r="G36" i="1"/>
  <c r="G63" i="1" s="1"/>
  <c r="N18" i="2"/>
  <c r="N19" i="2" s="1"/>
  <c r="N15" i="2"/>
  <c r="N16" i="2" s="1"/>
  <c r="H48" i="1"/>
  <c r="G58" i="1"/>
  <c r="H58" i="1" s="1"/>
  <c r="H40" i="1"/>
  <c r="H36" i="1"/>
  <c r="H63" i="1" s="1"/>
  <c r="G56" i="1"/>
  <c r="H56" i="1" s="1"/>
  <c r="G41" i="1"/>
  <c r="H41" i="1" s="1"/>
  <c r="G40" i="1"/>
  <c r="G37" i="1"/>
  <c r="H37" i="1" s="1"/>
  <c r="H33" i="1"/>
  <c r="O6" i="1"/>
  <c r="N28" i="2"/>
  <c r="O15" i="1" l="1"/>
  <c r="O20" i="1" s="1"/>
  <c r="G57" i="1" s="1"/>
  <c r="G59" i="1" s="1"/>
  <c r="O25" i="1" s="1"/>
  <c r="O12" i="1"/>
  <c r="O7" i="1"/>
  <c r="N23" i="2" s="1"/>
  <c r="G42" i="1"/>
  <c r="H42" i="1"/>
  <c r="H38" i="1"/>
  <c r="G38" i="1"/>
  <c r="O14" i="1" l="1"/>
  <c r="O19" i="1" s="1"/>
  <c r="O21" i="1" s="1"/>
  <c r="O16" i="1"/>
  <c r="O10" i="1"/>
  <c r="O11" i="1" s="1"/>
  <c r="G44" i="1"/>
  <c r="T7" i="1"/>
  <c r="H44" i="1"/>
  <c r="Y5" i="1"/>
  <c r="Y8" i="1" s="1"/>
  <c r="T5" i="1" l="1"/>
  <c r="N24" i="2"/>
  <c r="H57" i="1"/>
  <c r="H59" i="1" s="1"/>
  <c r="O28" i="1" l="1"/>
  <c r="N29" i="2" s="1"/>
  <c r="N26" i="2"/>
  <c r="N25" i="2"/>
  <c r="T8" i="1"/>
  <c r="G47" i="1"/>
  <c r="G49" i="1" s="1"/>
  <c r="G51" i="1" s="1"/>
  <c r="G54" i="1" s="1"/>
  <c r="G62" i="1" s="1"/>
  <c r="H47" i="1" l="1"/>
  <c r="H49" i="1" s="1"/>
  <c r="H51" i="1" s="1"/>
  <c r="H54" i="1" s="1"/>
  <c r="G65" i="1"/>
  <c r="G66" i="1" s="1"/>
  <c r="N21" i="2" s="1"/>
  <c r="O24" i="1"/>
  <c r="N32" i="2" s="1"/>
  <c r="N33" i="2"/>
  <c r="O23" i="1" l="1"/>
  <c r="N31" i="2" s="1"/>
  <c r="H62" i="1"/>
  <c r="H65" i="1" s="1"/>
  <c r="H66" i="1" s="1"/>
</calcChain>
</file>

<file path=xl/sharedStrings.xml><?xml version="1.0" encoding="utf-8"?>
<sst xmlns="http://schemas.openxmlformats.org/spreadsheetml/2006/main" count="172" uniqueCount="136">
  <si>
    <t>Assumptions</t>
  </si>
  <si>
    <t>Shares outstanding</t>
  </si>
  <si>
    <t>2017E Sales</t>
  </si>
  <si>
    <t>2018E Sales</t>
  </si>
  <si>
    <t>2019E Sales</t>
  </si>
  <si>
    <t>2017E EBITDA</t>
  </si>
  <si>
    <t>2018E EBITDA</t>
  </si>
  <si>
    <t>2019E EPS</t>
  </si>
  <si>
    <t>2019E EBITDA</t>
  </si>
  <si>
    <t>2017E EPS</t>
  </si>
  <si>
    <t>2018E EPS</t>
  </si>
  <si>
    <t>Transaction</t>
  </si>
  <si>
    <t>Offer in Kraft shares</t>
  </si>
  <si>
    <t>USD/ Euro exchange rate</t>
  </si>
  <si>
    <t>Sources</t>
  </si>
  <si>
    <t>Uses</t>
  </si>
  <si>
    <t>Purchase of equity</t>
  </si>
  <si>
    <t>New debt</t>
  </si>
  <si>
    <t>Combined Unadjusted Net Income</t>
  </si>
  <si>
    <t>Adjustments</t>
  </si>
  <si>
    <t>Interest expense</t>
  </si>
  <si>
    <t>Synergies</t>
  </si>
  <si>
    <t>Total</t>
  </si>
  <si>
    <t>Net after-tax adjustments</t>
  </si>
  <si>
    <t>Pro Forma Net Income</t>
  </si>
  <si>
    <t>Kraft standalone shares</t>
  </si>
  <si>
    <t>Total pro forma shares</t>
  </si>
  <si>
    <t>$ Accretion/(Dilution)</t>
  </si>
  <si>
    <t>% Accretion/ Dilution</t>
  </si>
  <si>
    <t>Market capitalisation</t>
  </si>
  <si>
    <t>Enterprise Value</t>
  </si>
  <si>
    <t>check</t>
  </si>
  <si>
    <t>Total Sources</t>
  </si>
  <si>
    <t>Total Uses</t>
  </si>
  <si>
    <t>Pre-tax interest rate</t>
  </si>
  <si>
    <t>tax rate</t>
  </si>
  <si>
    <t>EPS Accretion/ (Dilution)</t>
  </si>
  <si>
    <t>Kraft Heinz public ownership</t>
  </si>
  <si>
    <t>INPUTS</t>
  </si>
  <si>
    <t>OUTPUTS</t>
  </si>
  <si>
    <t>transaction closes 12/31/17</t>
  </si>
  <si>
    <t>Standalone Kraft Total Debt/EBITDA</t>
  </si>
  <si>
    <t>Pro forma Kraft Total Debt/EBITDA</t>
  </si>
  <si>
    <t>Total Equity Purchase Price of Unilever ($m)</t>
  </si>
  <si>
    <t>Total Implied Enterprise Value of Unilever ($m)</t>
  </si>
  <si>
    <t>Total Debt Issued in Transaction ($m)</t>
  </si>
  <si>
    <t>2018E EPS Accretion to Kraft (%)</t>
  </si>
  <si>
    <t>enter numbers here</t>
  </si>
  <si>
    <t>↓↓↓</t>
  </si>
  <si>
    <t>Current stock price</t>
  </si>
  <si>
    <t>(millions except per share amounts)</t>
  </si>
  <si>
    <t>Kraft Heinz EPS estimate ($)</t>
  </si>
  <si>
    <t>Offer price per share</t>
  </si>
  <si>
    <t>Offer value</t>
  </si>
  <si>
    <t>Transaction value</t>
  </si>
  <si>
    <t>Transaction value/ 2017E EBITDA</t>
  </si>
  <si>
    <t>Offer price/ 2017E EPS</t>
  </si>
  <si>
    <t>Offer in cash</t>
  </si>
  <si>
    <t>Implied exchange ratio</t>
  </si>
  <si>
    <t>Aggregate Offer in cash</t>
  </si>
  <si>
    <t>Aggregate Offer in shares</t>
  </si>
  <si>
    <t>Implied net income</t>
  </si>
  <si>
    <t>Kraft Heinz pro forma EPS</t>
  </si>
  <si>
    <t>Kraft Heinz standalone EPS</t>
  </si>
  <si>
    <t>% 2017E Revenue from Kraft</t>
  </si>
  <si>
    <t>% 2017E EBITDA from Kraft</t>
  </si>
  <si>
    <t>shares outstanding</t>
  </si>
  <si>
    <t>MDLZ</t>
  </si>
  <si>
    <t>K</t>
  </si>
  <si>
    <t>CL</t>
  </si>
  <si>
    <t>KMB</t>
  </si>
  <si>
    <t>CLX</t>
  </si>
  <si>
    <t>CPB</t>
  </si>
  <si>
    <t>KHC</t>
  </si>
  <si>
    <t>ENXTAM:UNA</t>
  </si>
  <si>
    <t>target</t>
  </si>
  <si>
    <t>Net Debt</t>
  </si>
  <si>
    <t>Minority Interest</t>
  </si>
  <si>
    <t>Berkshire/3G equity contribution ($m)</t>
  </si>
  <si>
    <t>Annual synergies (% of SG&amp;A)</t>
  </si>
  <si>
    <t>Premium</t>
  </si>
  <si>
    <t>Portion in stock (%)</t>
  </si>
  <si>
    <t>Target</t>
  </si>
  <si>
    <t>Standalone Kraft Heinz Net Debt/2017E EBITDA</t>
  </si>
  <si>
    <t>Berkshire/ 3G ownership</t>
  </si>
  <si>
    <t>Berkshire/3G purchase of common equity</t>
  </si>
  <si>
    <t>2017E SG&amp;A</t>
  </si>
  <si>
    <t>2017E - 2019E Revenue Growth Rate</t>
  </si>
  <si>
    <t>2017E EBITDA margin</t>
  </si>
  <si>
    <t>Shares issued to Berkshire/3G</t>
  </si>
  <si>
    <t>Pro forma Kraft Heinz Net Debt/2017E EBITDA (ex synergies)</t>
  </si>
  <si>
    <t>Pro Forma Kraft Net Debt ($m)</t>
  </si>
  <si>
    <t>Berkshire/3G ownership</t>
  </si>
  <si>
    <t>2018E P/E ratio</t>
  </si>
  <si>
    <t>Mondelez International, Inc.</t>
  </si>
  <si>
    <t>Kellogg Company</t>
  </si>
  <si>
    <t>Colgate-Palmolive Company</t>
  </si>
  <si>
    <t>Kimberly-Clark Corporation</t>
  </si>
  <si>
    <t>The Clorox Company</t>
  </si>
  <si>
    <t>Campbell Soup Company</t>
  </si>
  <si>
    <t>Unilever N.V.</t>
  </si>
  <si>
    <t>The Kraft Heinz Company</t>
  </si>
  <si>
    <t>AwABTAVMT0NBTAFI/////wFQCQAAAC9DSVEuS0hDLklRX0VQU19OT1JNX01FRElBTl9FU1QuQ1kyMDE4LjIvMjEvMjAxNwEAAACojRAPAgAAAAQ0LjE2AQ4AAAAFAAAAAjExAQAAAAkzMDU3NTU2ODMCAAAACjEwMDMxMTkzOTMDAAAABjEwMDE3NAQAAAABMgYAAAABMAcAAAADMTYwCAAAAAEwCQAAAAExCgAAAAEwCwAAAAsxMDAxMjg1Nzg1OAwAAAABNw0AAAAJMi8yMi8yMDE3EAAAAAkyLzIxLzIwMTfwN8wBRF/UCGXd0QFEX9QIL0NJUS5LSEMuSVFfRVBTX05PUk1fTUVESUFOX0VTVC5DWTIwMTkuMi8yMS8yMDE3AQAAAKiNEA8CAAAABzQuMzY2OTMBDgAAAAUAAAACMTEBAAAACTMwNTc1NTY4MwIAAAAKMTAwMzExOTM5OAMAAAAGMTAwMTc0BAAAAAEyBgAAAAEwBwAAAAMxNjAIAAAAATAJAAAAATEKAAAAATALAAAACzEwMDEyODU3OTcyDAAAAAE3DQAAAAkyLzIyLzIwMTcQAAAACTIvMjEvMjAxN/A3zAFEX9QIdgTSAURf1AgvQ0lRLktIQy5JUV9FUFNfTk9STV9NRURJQU5fRVNULkNZMjAxNy4yLzIxLzIwMTcBAAAAqI0QDwIAAAAEMy43NgEOAAAABQAAAAIxMQEAAAAJMzA1NzU1NjgzAgAAAAoxMDAzMTE5MzIzAwAAAAYxMDAxNzQEAAAAATIGAAAAATAHAAAAAzE2MAgAAAABMAkAAAABMQoAAAABMAsAAAALMTAwMTMyNzI2MjEMAAAAATcNAAAACTIvMjIvMjAxNxAAAAAJMi8yMS8yMDE38DfMAURf1Ahl3dE</t>
  </si>
  <si>
    <t>BRF/UCChDSVEuS0hDLklRX1JFVkVOVUVfTUVESUFOX0VTVF9DSVEuQ1kyMDE3AQAAAKiNEA8CAAAABTI2NjcyAQ4AAAAFAAAAAjExAQAAAAEwAgAAAAoxMDAzMTE5MzIzAwAAAAYxMDAxODEEAAAAATIGAAAAATAHAAAAAzE2MAgAAAABMAkAAAABMQoAAAABMAsAAAALMTAwMjc0MzkzNjQMAAAAATcNAAAACTIvMjgvMjAxNxAAAAAJMi8yNy8yMDE38DfMAURf1Ahl3dEBRF/UCCdDSVEuS0hDLklRX0VCSVREQV9NRURJQU5fRVNUX0NJUS5DWTIwMTcBAAAAqI0QDwIAAAAKODM5Mi4xMTUzOAEOAAAABQAAAAIxMQEAAAABMAIAAAAKMTAwMzExOTMyMwMAAAAGMTAwMTg4BAAAAAEyBgAAAAEwBwAAAAMxNjAIAAAAATAJAAAAATEKAAAAATALAAAACzEwMDI3MzI4NzE1DAAAAAE3DQAAAAkyLzI4LzIwMTcQAAAACTIvMjcvMjAxN/A3zAFEX9QIZd3RAURf1AgnQ0lRLktIQy5JUV9FQklUREFfTUVESUFOX0VTVF9DSVEuQ1kyMDE5AQAAAKiNEA8CAAAABDkyNTkBDgAAAAUAAAACMTEBAAAAATACAAAACjEwMDMxMTkzOTgDAAAABjEwMDE4OAQAAAABMgYAAAABMAcAAAADMTYwCAAAAAEwCQAAAAExCgAAAAEwCwAAAAsxMDAyNzMyODczOQwAAAABNw0AAAAJMi8yOC8yMDE3EAAAAAkyLzI3LzIwMTfwN8wBRF/UCGXd0QFEX9QIKENJUS5LSEMuSVFfUkVWRU5VRV9NRURJQU5fRVNUX0NJUS5DWTIwMTgBAAAAqI0QDwIAAAALMj</t>
  </si>
  <si>
    <t>cyMDEuOTU5MjMBDgAAAAUAAAACMTEBAAAAATACAAAACjEwMDMxMTkzOTMDAAAABjEwMDE4MQQAAAABMgYAAAABMAcAAAADMTYwCAAAAAEwCQAAAAExCgAAAAEwCwAAAAsxMDAyNzQzOTYyOQwAAAABNw0AAAAJMi8yOC8yMDE3EAAAAAkyLzI3LzIwMTfwN8wBRF/UCGXd0QFEX9QIJ0NJUS5LSEMuSVFfRUJJVERBX01FRElBTl9FU1RfQ0lRLkNZMjAxOAEAAACojRAPAgAAAAg4OTE0LjgyNQEOAAAABQAAAAIxMQEAAAABMAIAAAAKMTAwMzExOTM5MwMAAAAGMTAwMTg4BAAAAAEyBgAAAAEwBwAAAAMxNjAIAAAAATAJAAAAATEKAAAAATALAAAACzEwMDI3MzI4NzI3DAAAAAE3DQAAAAkyLzI4LzIwMTcQAAAACTIvMjcvMjAxN/A3zAFEX9QIdgTSAURf1AgoQ0lRLktIQy5JUV9SRVZFTlVFX01FRElBTl9FU1RfQ0lRLkNZMjAxOQEAAACojRAPAgAAAAsyNzg4OC4wNDE1MwEOAAAABQAAAAIxMQEAAAABMAIAAAAKMTAwMzExOTM5OAMAAAAGMTAwMTgxBAAAAAEyBgAAAAEwBwAAAAMxNjAIAAAAATAJAAAAATEKAAAAATALAAAACzEwMDI3NDM5OTg5DAAAAAE3DQAAAAkyLzI4LzIwMTcQAAAACTIvMjcvMjAxN/A3zAFEX9QIZd3RAURf1Ag=</t>
  </si>
  <si>
    <t>synergies</t>
  </si>
  <si>
    <t xml:space="preserve">=(4.11*1230) + (2.46*2840) </t>
  </si>
  <si>
    <t>=( + -.08*((44.97*1.06*(1+.25)*2840)-15000-(2840*(45.26*(1+.25)*.25))+ .25*14400*1.06)* (1-.35))</t>
  </si>
  <si>
    <t>synergies + interest expense (tax affected)</t>
  </si>
  <si>
    <t>a</t>
  </si>
  <si>
    <t>b</t>
  </si>
  <si>
    <t>c</t>
  </si>
  <si>
    <t>pro forma shares</t>
  </si>
  <si>
    <t>=1230 +(( 45.26*1.06*(1+.25)*.25)/94.87)) + 15000/94.87</t>
  </si>
  <si>
    <t>d</t>
  </si>
  <si>
    <t>(a+ b) / c</t>
  </si>
  <si>
    <t>e</t>
  </si>
  <si>
    <t>(d - 4.11) / 4.11</t>
  </si>
  <si>
    <t>Targets</t>
  </si>
  <si>
    <t>(Kraft 2017E Earnings * Kraft shares)+ (Target 2017E Earnings + Target Shares)</t>
  </si>
  <si>
    <t>[ cost of debt * (standalone target stock price * target share count * exchange rate)* (1+ premium) * share count)- Berkshire-3G contribution- ( (standalone target stock price * target share count * exchange rate)* (1+ premium) * share count* % stock consideration)] * 1- tax rate</t>
  </si>
  <si>
    <t xml:space="preserve">pro forma net income                            </t>
  </si>
  <si>
    <t>d/ stanalone 2018E Kraft EPS</t>
  </si>
  <si>
    <t>EPS accretion</t>
  </si>
  <si>
    <t>leverage</t>
  </si>
  <si>
    <t xml:space="preserve">= Kraft standalone debt + target standalone net debt + [ (standalone target stock price * target share count * exchange rate)* (1+ premium) * share count)- Berkshire-3G contribution- ( (standalone target stock price * target share count * exchange rate)* (1+ premium) * share count* % stock consideration)] </t>
  </si>
  <si>
    <t>= Kraft 2017E EBITDA + Target 2017E EBITDA</t>
  </si>
  <si>
    <t>a/b</t>
  </si>
  <si>
    <t>Pro forma total debt</t>
  </si>
  <si>
    <t>Pro forma Ebitda</t>
  </si>
  <si>
    <t>Buffett/3G ownership</t>
  </si>
  <si>
    <t>Kraft standalone shares + ((target stock price * exchange rate) * (1+ premium)* % stock)/Kraft stock price + Berkshire_3G contribution/Kraft stock price</t>
  </si>
  <si>
    <t>Berkshire_3G shares issued</t>
  </si>
  <si>
    <t>Berkshire_3G contribution/Kraft stock price</t>
  </si>
  <si>
    <t>existing Berkshire_3G shares</t>
  </si>
  <si>
    <t>a + b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</si>
</sst>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7" formatCode="&quot;$&quot;#,##0.00_);\(&quot;$&quot;#,##0.00\)"/>
    <numFmt numFmtId="164" formatCode="#,##0.0%_);\(#,##0.0%\)"/>
    <numFmt numFmtId="165" formatCode="#,##0.0\x"/>
    <numFmt numFmtId="166" formatCode="#,##0.0000\x"/>
    <numFmt numFmtId="167" formatCode="#,##0.00_);\(&quot;$&quot;#,##0.00\)"/>
    <numFmt numFmtId="168" formatCode="#,##0.0_);\(#,##0.0\)"/>
    <numFmt numFmtId="169" formatCode="0.0%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5" fillId="0" borderId="0" xfId="0" applyFont="1"/>
    <xf numFmtId="5" fontId="0" fillId="0" borderId="0" xfId="0" applyNumberFormat="1"/>
    <xf numFmtId="7" fontId="0" fillId="0" borderId="0" xfId="0" applyNumberFormat="1"/>
    <xf numFmtId="164" fontId="0" fillId="0" borderId="0" xfId="0" applyNumberFormat="1"/>
    <xf numFmtId="165" fontId="0" fillId="0" borderId="0" xfId="0" applyNumberFormat="1"/>
    <xf numFmtId="37" fontId="0" fillId="0" borderId="0" xfId="0" applyNumberFormat="1"/>
    <xf numFmtId="0" fontId="0" fillId="0" borderId="1" xfId="0" applyBorder="1"/>
    <xf numFmtId="166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7" fontId="7" fillId="0" borderId="0" xfId="0" applyNumberFormat="1" applyFont="1"/>
    <xf numFmtId="5" fontId="0" fillId="0" borderId="1" xfId="0" applyNumberFormat="1" applyBorder="1"/>
    <xf numFmtId="5" fontId="3" fillId="0" borderId="1" xfId="0" applyNumberFormat="1" applyFont="1" applyBorder="1"/>
    <xf numFmtId="5" fontId="3" fillId="0" borderId="0" xfId="0" applyNumberFormat="1" applyFont="1"/>
    <xf numFmtId="37" fontId="0" fillId="0" borderId="1" xfId="0" applyNumberFormat="1" applyBorder="1"/>
    <xf numFmtId="0" fontId="9" fillId="0" borderId="0" xfId="0" applyFont="1"/>
    <xf numFmtId="0" fontId="10" fillId="0" borderId="0" xfId="0" applyFont="1"/>
    <xf numFmtId="5" fontId="1" fillId="2" borderId="3" xfId="0" applyNumberFormat="1" applyFont="1" applyFill="1" applyBorder="1"/>
    <xf numFmtId="0" fontId="4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5" fontId="13" fillId="0" borderId="0" xfId="0" applyNumberFormat="1" applyFont="1"/>
    <xf numFmtId="165" fontId="13" fillId="0" borderId="0" xfId="0" applyNumberFormat="1" applyFont="1"/>
    <xf numFmtId="37" fontId="14" fillId="0" borderId="0" xfId="0" applyNumberFormat="1" applyFont="1"/>
    <xf numFmtId="7" fontId="14" fillId="0" borderId="0" xfId="0" applyNumberFormat="1" applyFont="1"/>
    <xf numFmtId="5" fontId="14" fillId="0" borderId="0" xfId="0" applyNumberFormat="1" applyFont="1"/>
    <xf numFmtId="164" fontId="14" fillId="0" borderId="0" xfId="0" applyNumberFormat="1" applyFont="1"/>
    <xf numFmtId="167" fontId="14" fillId="0" borderId="0" xfId="0" applyNumberFormat="1" applyFont="1"/>
    <xf numFmtId="7" fontId="15" fillId="0" borderId="0" xfId="0" applyNumberFormat="1" applyFont="1"/>
    <xf numFmtId="37" fontId="15" fillId="0" borderId="0" xfId="0" applyNumberFormat="1" applyFont="1"/>
    <xf numFmtId="7" fontId="3" fillId="0" borderId="0" xfId="0" applyNumberFormat="1" applyFont="1"/>
    <xf numFmtId="164" fontId="3" fillId="0" borderId="0" xfId="0" applyNumberFormat="1" applyFont="1"/>
    <xf numFmtId="0" fontId="3" fillId="0" borderId="1" xfId="0" applyFont="1" applyBorder="1"/>
    <xf numFmtId="0" fontId="0" fillId="0" borderId="0" xfId="0" applyBorder="1"/>
    <xf numFmtId="37" fontId="15" fillId="0" borderId="0" xfId="0" applyNumberFormat="1" applyFont="1" applyBorder="1"/>
    <xf numFmtId="7" fontId="2" fillId="0" borderId="0" xfId="0" applyNumberFormat="1" applyFont="1" applyBorder="1" applyAlignment="1">
      <alignment horizontal="right"/>
    </xf>
    <xf numFmtId="37" fontId="2" fillId="0" borderId="0" xfId="0" applyNumberFormat="1" applyFont="1"/>
    <xf numFmtId="5" fontId="15" fillId="0" borderId="0" xfId="0" applyNumberFormat="1" applyFont="1"/>
    <xf numFmtId="14" fontId="0" fillId="0" borderId="0" xfId="0" applyNumberFormat="1"/>
    <xf numFmtId="168" fontId="0" fillId="0" borderId="0" xfId="0" applyNumberFormat="1"/>
    <xf numFmtId="2" fontId="0" fillId="0" borderId="0" xfId="0" applyNumberFormat="1"/>
    <xf numFmtId="7" fontId="2" fillId="0" borderId="0" xfId="0" applyNumberFormat="1" applyFont="1"/>
    <xf numFmtId="5" fontId="2" fillId="0" borderId="0" xfId="0" applyNumberFormat="1" applyFont="1"/>
    <xf numFmtId="39" fontId="16" fillId="0" borderId="0" xfId="0" applyNumberFormat="1" applyFont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16" fillId="0" borderId="0" xfId="0" applyFont="1"/>
    <xf numFmtId="0" fontId="14" fillId="0" borderId="0" xfId="0" applyFont="1" applyAlignment="1">
      <alignment horizontal="center"/>
    </xf>
    <xf numFmtId="5" fontId="0" fillId="0" borderId="0" xfId="0" applyNumberFormat="1" applyAlignment="1">
      <alignment horizontal="right"/>
    </xf>
    <xf numFmtId="5" fontId="2" fillId="0" borderId="0" xfId="0" applyNumberFormat="1" applyFont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37" fontId="3" fillId="0" borderId="5" xfId="0" applyNumberFormat="1" applyFont="1" applyBorder="1"/>
    <xf numFmtId="37" fontId="3" fillId="0" borderId="6" xfId="0" applyNumberFormat="1" applyFont="1" applyBorder="1"/>
    <xf numFmtId="169" fontId="0" fillId="0" borderId="0" xfId="0" applyNumberFormat="1"/>
    <xf numFmtId="165" fontId="3" fillId="0" borderId="0" xfId="0" applyNumberFormat="1" applyFont="1"/>
    <xf numFmtId="164" fontId="1" fillId="2" borderId="7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169" fontId="3" fillId="0" borderId="9" xfId="0" applyNumberFormat="1" applyFont="1" applyBorder="1"/>
    <xf numFmtId="169" fontId="3" fillId="0" borderId="10" xfId="0" applyNumberFormat="1" applyFont="1" applyBorder="1"/>
    <xf numFmtId="0" fontId="3" fillId="0" borderId="11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5" fontId="3" fillId="0" borderId="14" xfId="0" applyNumberFormat="1" applyFont="1" applyBorder="1"/>
    <xf numFmtId="165" fontId="3" fillId="0" borderId="15" xfId="0" applyNumberFormat="1" applyFont="1" applyBorder="1"/>
    <xf numFmtId="0" fontId="0" fillId="0" borderId="0" xfId="0" quotePrefix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16" xfId="0" applyBorder="1"/>
    <xf numFmtId="0" fontId="3" fillId="0" borderId="17" xfId="0" applyFont="1" applyBorder="1"/>
    <xf numFmtId="0" fontId="14" fillId="0" borderId="16" xfId="0" applyFont="1" applyBorder="1"/>
    <xf numFmtId="0" fontId="3" fillId="0" borderId="16" xfId="0" applyFont="1" applyBorder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fmlaLink="'company by company input'!$G$7" fmlaRange="$S$6:$S$12" noThreeD="1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171450</xdr:colOff>
          <xdr:row>5</xdr:row>
          <xdr:rowOff>238125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S102"/>
  <sheetViews>
    <sheetView showGridLines="0" workbookViewId="0">
      <selection activeCell="H6" sqref="H6"/>
    </sheetView>
  </sheetViews>
  <sheetFormatPr defaultRowHeight="19.5" x14ac:dyDescent="0.3"/>
  <cols>
    <col min="5" max="5" width="11.42578125" bestFit="1" customWidth="1"/>
    <col min="14" max="14" width="14.5703125" style="19" customWidth="1"/>
    <col min="17" max="17" width="10.85546875" bestFit="1" customWidth="1"/>
  </cols>
  <sheetData>
    <row r="1" spans="4:19" ht="15" x14ac:dyDescent="0.25">
      <c r="N1"/>
    </row>
    <row r="2" spans="4:19" ht="15" x14ac:dyDescent="0.25">
      <c r="N2"/>
    </row>
    <row r="3" spans="4:19" ht="26.25" x14ac:dyDescent="0.4">
      <c r="N3" s="23" t="s">
        <v>47</v>
      </c>
    </row>
    <row r="4" spans="4:19" ht="36" x14ac:dyDescent="0.55000000000000004">
      <c r="D4" s="18" t="s">
        <v>38</v>
      </c>
      <c r="N4" s="22" t="s">
        <v>48</v>
      </c>
      <c r="O4" s="19"/>
    </row>
    <row r="5" spans="4:19" ht="20.25" thickBot="1" x14ac:dyDescent="0.35"/>
    <row r="6" spans="4:19" ht="20.25" thickBot="1" x14ac:dyDescent="0.35">
      <c r="E6" s="19" t="s">
        <v>82</v>
      </c>
      <c r="N6" s="49" t="s">
        <v>67</v>
      </c>
      <c r="Q6" s="21"/>
      <c r="R6" s="21"/>
      <c r="S6" t="s">
        <v>67</v>
      </c>
    </row>
    <row r="7" spans="4:19" x14ac:dyDescent="0.3">
      <c r="E7" s="19" t="s">
        <v>80</v>
      </c>
      <c r="N7" s="49">
        <v>0.25</v>
      </c>
      <c r="P7" s="31">
        <v>0.2</v>
      </c>
      <c r="Q7" s="31">
        <v>0.4</v>
      </c>
      <c r="R7" s="21"/>
      <c r="S7" t="s">
        <v>68</v>
      </c>
    </row>
    <row r="8" spans="4:19" x14ac:dyDescent="0.3">
      <c r="E8" s="19" t="s">
        <v>81</v>
      </c>
      <c r="N8" s="50">
        <v>0.25</v>
      </c>
      <c r="P8" s="31">
        <v>0</v>
      </c>
      <c r="Q8" s="31">
        <v>0.25</v>
      </c>
      <c r="R8" s="21"/>
      <c r="S8" t="s">
        <v>69</v>
      </c>
    </row>
    <row r="9" spans="4:19" x14ac:dyDescent="0.3">
      <c r="E9" s="19" t="s">
        <v>78</v>
      </c>
      <c r="N9" s="20">
        <v>15000</v>
      </c>
      <c r="P9" s="30">
        <v>5000</v>
      </c>
      <c r="Q9" s="30">
        <v>15000</v>
      </c>
      <c r="R9" s="21"/>
      <c r="S9" t="s">
        <v>70</v>
      </c>
    </row>
    <row r="10" spans="4:19" ht="20.25" thickBot="1" x14ac:dyDescent="0.35">
      <c r="E10" s="19" t="s">
        <v>79</v>
      </c>
      <c r="N10" s="61">
        <v>0.1</v>
      </c>
      <c r="P10" s="31">
        <v>0</v>
      </c>
      <c r="Q10" s="31">
        <v>0.3</v>
      </c>
      <c r="R10" s="21"/>
      <c r="S10" t="s">
        <v>71</v>
      </c>
    </row>
    <row r="11" spans="4:19" ht="15" x14ac:dyDescent="0.25">
      <c r="N11"/>
      <c r="S11" t="s">
        <v>72</v>
      </c>
    </row>
    <row r="12" spans="4:19" x14ac:dyDescent="0.3">
      <c r="S12" t="s">
        <v>74</v>
      </c>
    </row>
    <row r="13" spans="4:19" ht="36" x14ac:dyDescent="0.55000000000000004">
      <c r="D13" s="18" t="s">
        <v>39</v>
      </c>
    </row>
    <row r="14" spans="4:19" ht="36" x14ac:dyDescent="0.55000000000000004">
      <c r="D14" s="18"/>
    </row>
    <row r="15" spans="4:19" x14ac:dyDescent="0.3">
      <c r="E15" s="19" t="s">
        <v>64</v>
      </c>
      <c r="N15" s="24">
        <f ca="1">Model!H16/(Model!H16+Model!F16*Model!F28)</f>
        <v>0.30049584009481817</v>
      </c>
    </row>
    <row r="16" spans="4:19" x14ac:dyDescent="0.3">
      <c r="E16" s="19" t="str">
        <f ca="1">" % 2017E Revenue from "&amp; Model!$F$5</f>
        <v xml:space="preserve"> % 2017E Revenue from ENXTAM:UNA</v>
      </c>
      <c r="N16" s="24">
        <f ca="1">1-N15</f>
        <v>0.69950415990518189</v>
      </c>
    </row>
    <row r="17" spans="5:14" x14ac:dyDescent="0.3">
      <c r="E17" s="19"/>
      <c r="N17" s="25"/>
    </row>
    <row r="18" spans="5:14" x14ac:dyDescent="0.3">
      <c r="E18" s="19" t="s">
        <v>65</v>
      </c>
      <c r="N18" s="24">
        <f ca="1">Model!H20/(Model!H20+Model!F20*Model!F28)</f>
        <v>0.42261488963544519</v>
      </c>
    </row>
    <row r="19" spans="5:14" x14ac:dyDescent="0.3">
      <c r="E19" s="19" t="str">
        <f ca="1">" % 2017E EBITDA from "&amp; Model!$F$5</f>
        <v xml:space="preserve"> % 2017E EBITDA from ENXTAM:UNA</v>
      </c>
      <c r="N19" s="24">
        <f ca="1">1-N18</f>
        <v>0.57738511036455487</v>
      </c>
    </row>
    <row r="20" spans="5:14" x14ac:dyDescent="0.3">
      <c r="E20" s="19"/>
      <c r="N20" s="25"/>
    </row>
    <row r="21" spans="5:14" x14ac:dyDescent="0.3">
      <c r="E21" s="19" t="s">
        <v>46</v>
      </c>
      <c r="N21" s="24">
        <f ca="1">Model!G66</f>
        <v>1.3107100802752663E-2</v>
      </c>
    </row>
    <row r="22" spans="5:14" x14ac:dyDescent="0.3">
      <c r="E22" s="19"/>
      <c r="N22" s="25"/>
    </row>
    <row r="23" spans="5:14" x14ac:dyDescent="0.3">
      <c r="E23" s="19" t="s">
        <v>43</v>
      </c>
      <c r="N23" s="26">
        <f ca="1">Model!O7</f>
        <v>160643.72087473</v>
      </c>
    </row>
    <row r="24" spans="5:14" x14ac:dyDescent="0.3">
      <c r="E24" s="19" t="s">
        <v>44</v>
      </c>
      <c r="N24" s="26">
        <f ca="1">Model!O10</f>
        <v>174678.12087473</v>
      </c>
    </row>
    <row r="25" spans="5:14" x14ac:dyDescent="0.3">
      <c r="E25" s="19" t="s">
        <v>45</v>
      </c>
      <c r="N25" s="26">
        <f ca="1">Model!T5</f>
        <v>105482.79065604749</v>
      </c>
    </row>
    <row r="26" spans="5:14" x14ac:dyDescent="0.3">
      <c r="E26" s="19" t="s">
        <v>91</v>
      </c>
      <c r="N26" s="26">
        <f ca="1">Model!T5+Model!F11+Model!H11</f>
        <v>147053.63065604749</v>
      </c>
    </row>
    <row r="27" spans="5:14" x14ac:dyDescent="0.3">
      <c r="E27" s="19"/>
      <c r="N27" s="25"/>
    </row>
    <row r="28" spans="5:14" x14ac:dyDescent="0.3">
      <c r="E28" s="19" t="s">
        <v>41</v>
      </c>
      <c r="N28" s="27">
        <f>Model!O27</f>
        <v>3.3539486203615603</v>
      </c>
    </row>
    <row r="29" spans="5:14" x14ac:dyDescent="0.3">
      <c r="E29" s="19" t="s">
        <v>42</v>
      </c>
      <c r="N29" s="27">
        <f ca="1">Model!O28</f>
        <v>7.6411487171134462</v>
      </c>
    </row>
    <row r="30" spans="5:14" x14ac:dyDescent="0.3">
      <c r="E30" s="19"/>
      <c r="N30" s="25"/>
    </row>
    <row r="31" spans="5:14" x14ac:dyDescent="0.3">
      <c r="E31" s="19" t="s">
        <v>37</v>
      </c>
      <c r="N31" s="24">
        <f ca="1">Model!O23</f>
        <v>0.33883445196936202</v>
      </c>
    </row>
    <row r="32" spans="5:14" x14ac:dyDescent="0.3">
      <c r="E32" s="19" t="str">
        <f ca="1">Model!F5&amp;" ownership"</f>
        <v>ENXTAM:UNA ownership</v>
      </c>
      <c r="N32" s="24">
        <f ca="1">Model!O24</f>
        <v>0.23368110879730192</v>
      </c>
    </row>
    <row r="33" spans="5:14" x14ac:dyDescent="0.3">
      <c r="E33" s="19" t="s">
        <v>92</v>
      </c>
      <c r="N33" s="24">
        <f ca="1">Model!O25</f>
        <v>0.42748443923333607</v>
      </c>
    </row>
    <row r="34" spans="5:14" x14ac:dyDescent="0.3">
      <c r="E34" s="19"/>
      <c r="N34" s="24"/>
    </row>
    <row r="35" spans="5:14" x14ac:dyDescent="0.3">
      <c r="E35" s="19"/>
    </row>
    <row r="36" spans="5:14" x14ac:dyDescent="0.3">
      <c r="E36" s="19"/>
    </row>
    <row r="37" spans="5:14" x14ac:dyDescent="0.3">
      <c r="E37" s="19"/>
    </row>
    <row r="38" spans="5:14" x14ac:dyDescent="0.3">
      <c r="E38" s="19"/>
    </row>
    <row r="39" spans="5:14" x14ac:dyDescent="0.3">
      <c r="E39" s="19"/>
    </row>
    <row r="40" spans="5:14" x14ac:dyDescent="0.3">
      <c r="E40" s="19"/>
    </row>
    <row r="41" spans="5:14" x14ac:dyDescent="0.3">
      <c r="E41" s="19"/>
    </row>
    <row r="42" spans="5:14" x14ac:dyDescent="0.3">
      <c r="E42" s="19"/>
    </row>
    <row r="43" spans="5:14" x14ac:dyDescent="0.3">
      <c r="E43" s="19"/>
    </row>
    <row r="44" spans="5:14" x14ac:dyDescent="0.3">
      <c r="E44" s="19"/>
    </row>
    <row r="45" spans="5:14" x14ac:dyDescent="0.3">
      <c r="E45" s="19"/>
    </row>
    <row r="46" spans="5:14" x14ac:dyDescent="0.3">
      <c r="E46" s="19"/>
    </row>
    <row r="47" spans="5:14" x14ac:dyDescent="0.3">
      <c r="E47" s="19"/>
    </row>
    <row r="48" spans="5:14" x14ac:dyDescent="0.3">
      <c r="E48" s="19"/>
    </row>
    <row r="49" spans="5:5" x14ac:dyDescent="0.3">
      <c r="E49" s="19"/>
    </row>
    <row r="50" spans="5:5" x14ac:dyDescent="0.3">
      <c r="E50" s="19"/>
    </row>
    <row r="51" spans="5:5" x14ac:dyDescent="0.3">
      <c r="E51" s="19"/>
    </row>
    <row r="52" spans="5:5" x14ac:dyDescent="0.3">
      <c r="E52" s="19"/>
    </row>
    <row r="53" spans="5:5" x14ac:dyDescent="0.3">
      <c r="E53" s="19"/>
    </row>
    <row r="54" spans="5:5" x14ac:dyDescent="0.3">
      <c r="E54" s="19"/>
    </row>
    <row r="55" spans="5:5" x14ac:dyDescent="0.3">
      <c r="E55" s="19"/>
    </row>
    <row r="56" spans="5:5" x14ac:dyDescent="0.3">
      <c r="E56" s="19"/>
    </row>
    <row r="57" spans="5:5" x14ac:dyDescent="0.3">
      <c r="E57" s="19"/>
    </row>
    <row r="58" spans="5:5" x14ac:dyDescent="0.3">
      <c r="E58" s="19"/>
    </row>
    <row r="59" spans="5:5" x14ac:dyDescent="0.3">
      <c r="E59" s="19"/>
    </row>
    <row r="60" spans="5:5" x14ac:dyDescent="0.3">
      <c r="E60" s="19"/>
    </row>
    <row r="61" spans="5:5" x14ac:dyDescent="0.3">
      <c r="E61" s="19"/>
    </row>
    <row r="62" spans="5:5" x14ac:dyDescent="0.3">
      <c r="E62" s="19"/>
    </row>
    <row r="63" spans="5:5" x14ac:dyDescent="0.3">
      <c r="E63" s="19"/>
    </row>
    <row r="64" spans="5:5" x14ac:dyDescent="0.3">
      <c r="E64" s="19"/>
    </row>
    <row r="65" spans="5:5" x14ac:dyDescent="0.3">
      <c r="E65" s="19"/>
    </row>
    <row r="66" spans="5:5" x14ac:dyDescent="0.3">
      <c r="E66" s="19"/>
    </row>
    <row r="67" spans="5:5" x14ac:dyDescent="0.3">
      <c r="E67" s="19"/>
    </row>
    <row r="68" spans="5:5" x14ac:dyDescent="0.3">
      <c r="E68" s="19"/>
    </row>
    <row r="69" spans="5:5" x14ac:dyDescent="0.3">
      <c r="E69" s="19"/>
    </row>
    <row r="70" spans="5:5" x14ac:dyDescent="0.3">
      <c r="E70" s="19"/>
    </row>
    <row r="71" spans="5:5" x14ac:dyDescent="0.3">
      <c r="E71" s="19"/>
    </row>
    <row r="72" spans="5:5" x14ac:dyDescent="0.3">
      <c r="E72" s="19"/>
    </row>
    <row r="73" spans="5:5" x14ac:dyDescent="0.3">
      <c r="E73" s="19"/>
    </row>
    <row r="74" spans="5:5" x14ac:dyDescent="0.3">
      <c r="E74" s="19"/>
    </row>
    <row r="75" spans="5:5" x14ac:dyDescent="0.3">
      <c r="E75" s="19"/>
    </row>
    <row r="76" spans="5:5" x14ac:dyDescent="0.3">
      <c r="E76" s="19"/>
    </row>
    <row r="77" spans="5:5" x14ac:dyDescent="0.3">
      <c r="E77" s="19"/>
    </row>
    <row r="78" spans="5:5" x14ac:dyDescent="0.3">
      <c r="E78" s="19"/>
    </row>
    <row r="79" spans="5:5" x14ac:dyDescent="0.3">
      <c r="E79" s="19"/>
    </row>
    <row r="80" spans="5:5" x14ac:dyDescent="0.3">
      <c r="E80" s="19"/>
    </row>
    <row r="81" spans="5:5" x14ac:dyDescent="0.3">
      <c r="E81" s="19"/>
    </row>
    <row r="82" spans="5:5" x14ac:dyDescent="0.3">
      <c r="E82" s="19"/>
    </row>
    <row r="83" spans="5:5" x14ac:dyDescent="0.3">
      <c r="E83" s="19"/>
    </row>
    <row r="84" spans="5:5" x14ac:dyDescent="0.3">
      <c r="E84" s="19"/>
    </row>
    <row r="85" spans="5:5" x14ac:dyDescent="0.3">
      <c r="E85" s="19"/>
    </row>
    <row r="86" spans="5:5" x14ac:dyDescent="0.3">
      <c r="E86" s="19"/>
    </row>
    <row r="87" spans="5:5" x14ac:dyDescent="0.3">
      <c r="E87" s="19"/>
    </row>
    <row r="88" spans="5:5" x14ac:dyDescent="0.3">
      <c r="E88" s="19"/>
    </row>
    <row r="89" spans="5:5" x14ac:dyDescent="0.3">
      <c r="E89" s="19"/>
    </row>
    <row r="90" spans="5:5" x14ac:dyDescent="0.3">
      <c r="E90" s="19"/>
    </row>
    <row r="91" spans="5:5" x14ac:dyDescent="0.3">
      <c r="E91" s="19"/>
    </row>
    <row r="92" spans="5:5" x14ac:dyDescent="0.3">
      <c r="E92" s="19"/>
    </row>
    <row r="93" spans="5:5" x14ac:dyDescent="0.3">
      <c r="E93" s="19"/>
    </row>
    <row r="94" spans="5:5" x14ac:dyDescent="0.3">
      <c r="E94" s="19"/>
    </row>
    <row r="95" spans="5:5" x14ac:dyDescent="0.3">
      <c r="E95" s="19"/>
    </row>
    <row r="96" spans="5:5" x14ac:dyDescent="0.3">
      <c r="E96" s="19"/>
    </row>
    <row r="97" spans="5:5" x14ac:dyDescent="0.3">
      <c r="E97" s="19"/>
    </row>
    <row r="98" spans="5:5" x14ac:dyDescent="0.3">
      <c r="E98" s="19"/>
    </row>
    <row r="99" spans="5:5" x14ac:dyDescent="0.3">
      <c r="E99" s="19"/>
    </row>
    <row r="100" spans="5:5" x14ac:dyDescent="0.3">
      <c r="E100" s="19"/>
    </row>
    <row r="101" spans="5:5" x14ac:dyDescent="0.3">
      <c r="E101" s="19"/>
    </row>
    <row r="102" spans="5:5" x14ac:dyDescent="0.3">
      <c r="E102" s="19"/>
    </row>
  </sheetData>
  <dataValidations count="5">
    <dataValidation type="decimal" allowBlank="1" showInputMessage="1" showErrorMessage="1" prompt="Enter a premium between 20% and 40%" sqref="N7">
      <formula1>P7</formula1>
      <formula2>Q7</formula2>
    </dataValidation>
    <dataValidation type="decimal" allowBlank="1" showInputMessage="1" showErrorMessage="1" prompt="Enter a % between 0 and 25%_x000a__x000a_" sqref="N8">
      <formula1>P8</formula1>
      <formula2>Q8</formula2>
    </dataValidation>
    <dataValidation type="whole" allowBlank="1" showInputMessage="1" showErrorMessage="1" prompt="Pick a contribution between $5,000 and $_x000a_$15,000" sqref="N9">
      <formula1>P9</formula1>
      <formula2>Q9</formula2>
    </dataValidation>
    <dataValidation type="decimal" allowBlank="1" showInputMessage="1" showErrorMessage="1" prompt="pick a % overhead costs between 0 and 30%_x000a_" sqref="N10">
      <formula1>P10</formula1>
      <formula2>Q10</formula2>
    </dataValidation>
    <dataValidation type="list" allowBlank="1" showInputMessage="1" showErrorMessage="1" sqref="N6">
      <formula1>$S$6:$S$12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171450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sheetData>
    <row r="1" spans="1:4" x14ac:dyDescent="0.25">
      <c r="A1">
        <v>4</v>
      </c>
      <c r="B1" t="s">
        <v>102</v>
      </c>
      <c r="C1" t="s">
        <v>103</v>
      </c>
      <c r="D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showGridLines="0" tabSelected="1" topLeftCell="D42" workbookViewId="0">
      <selection activeCell="K73" sqref="K73"/>
    </sheetView>
  </sheetViews>
  <sheetFormatPr defaultColWidth="12" defaultRowHeight="15" x14ac:dyDescent="0.25"/>
  <cols>
    <col min="6" max="6" width="12" customWidth="1"/>
    <col min="8" max="8" width="13.140625" customWidth="1"/>
    <col min="11" max="11" width="18" customWidth="1"/>
    <col min="15" max="15" width="17.5703125" bestFit="1" customWidth="1"/>
  </cols>
  <sheetData>
    <row r="1" spans="1:25" x14ac:dyDescent="0.25">
      <c r="A1" s="10" t="s">
        <v>50</v>
      </c>
    </row>
    <row r="2" spans="1:25" x14ac:dyDescent="0.25">
      <c r="A2" s="10"/>
    </row>
    <row r="3" spans="1:25" x14ac:dyDescent="0.25">
      <c r="C3" s="2" t="s">
        <v>0</v>
      </c>
      <c r="K3" s="2" t="s">
        <v>11</v>
      </c>
      <c r="Q3" s="2" t="s">
        <v>14</v>
      </c>
      <c r="R3" s="2"/>
      <c r="W3" s="2" t="s">
        <v>15</v>
      </c>
    </row>
    <row r="5" spans="1:25" x14ac:dyDescent="0.25">
      <c r="F5" s="1" t="str">
        <f ca="1">OFFSET('company by company input'!M5,0,'company by company input'!G7)</f>
        <v>ENXTAM:UNA</v>
      </c>
      <c r="H5" s="1" t="s">
        <v>73</v>
      </c>
      <c r="K5" s="38" t="s">
        <v>52</v>
      </c>
      <c r="L5" s="38"/>
      <c r="M5" s="38"/>
      <c r="N5" s="38"/>
      <c r="O5" s="40">
        <f ca="1">F7*(1+'assumptions and outputs'!N7)</f>
        <v>56.570875000000001</v>
      </c>
      <c r="Q5" t="s">
        <v>17</v>
      </c>
      <c r="T5" s="3">
        <f ca="1">Y8-SUM(T6:T7)</f>
        <v>105482.79065604749</v>
      </c>
      <c r="W5" t="s">
        <v>16</v>
      </c>
      <c r="Y5" s="42">
        <f ca="1">O7</f>
        <v>160643.72087473</v>
      </c>
    </row>
    <row r="6" spans="1:25" x14ac:dyDescent="0.25">
      <c r="F6" s="8"/>
      <c r="H6" s="8"/>
      <c r="K6" s="38" t="s">
        <v>1</v>
      </c>
      <c r="L6" s="38"/>
      <c r="M6" s="38"/>
      <c r="N6" s="38"/>
      <c r="O6" s="39">
        <f ca="1">F8</f>
        <v>2839.6895199999999</v>
      </c>
      <c r="Q6" t="s">
        <v>85</v>
      </c>
      <c r="T6" s="41">
        <f>'assumptions and outputs'!N9</f>
        <v>15000</v>
      </c>
      <c r="Y6" s="28"/>
    </row>
    <row r="7" spans="1:25" x14ac:dyDescent="0.25">
      <c r="C7" t="s">
        <v>49</v>
      </c>
      <c r="F7" s="46">
        <f ca="1">OFFSET('company by company input'!M7,0,'company by company input'!G7)*F28</f>
        <v>45.256700000000002</v>
      </c>
      <c r="H7" s="46">
        <f>'company by company input'!V7</f>
        <v>94.87</v>
      </c>
      <c r="I7" s="4"/>
      <c r="K7" s="37" t="s">
        <v>53</v>
      </c>
      <c r="L7" s="8"/>
      <c r="M7" s="8"/>
      <c r="N7" s="8"/>
      <c r="O7" s="15">
        <f ca="1">O5*O6</f>
        <v>160643.72087473</v>
      </c>
      <c r="Q7" t="str">
        <f ca="1">"Value of shares issued to " &amp;Model!F5</f>
        <v>Value of shares issued to ENXTAM:UNA</v>
      </c>
      <c r="T7" s="34">
        <f ca="1">O20</f>
        <v>40160.930218682501</v>
      </c>
    </row>
    <row r="8" spans="1:25" x14ac:dyDescent="0.25">
      <c r="C8" t="s">
        <v>1</v>
      </c>
      <c r="F8" s="41">
        <f ca="1">OFFSET('company by company input'!M8,0,'company by company input'!G7)</f>
        <v>2839.6895199999999</v>
      </c>
      <c r="H8" s="41">
        <f>'company by company input'!V8</f>
        <v>1230.1168700000001</v>
      </c>
      <c r="Q8" s="1" t="s">
        <v>32</v>
      </c>
      <c r="T8" s="15">
        <f ca="1">SUM(T5:T7)</f>
        <v>160643.72087473</v>
      </c>
      <c r="W8" s="1" t="s">
        <v>33</v>
      </c>
      <c r="Y8" s="15">
        <f ca="1">SUM(Y5:Y7)</f>
        <v>160643.72087473</v>
      </c>
    </row>
    <row r="9" spans="1:25" x14ac:dyDescent="0.25">
      <c r="C9" s="1" t="s">
        <v>29</v>
      </c>
      <c r="F9" s="15">
        <f ca="1">F7*F8</f>
        <v>128514.97669978401</v>
      </c>
      <c r="H9" s="15">
        <f>H7*H8</f>
        <v>116701.18745690001</v>
      </c>
      <c r="O9" s="34"/>
    </row>
    <row r="10" spans="1:25" x14ac:dyDescent="0.25">
      <c r="K10" t="s">
        <v>54</v>
      </c>
      <c r="O10" s="3">
        <f ca="1">O7+F11+F12</f>
        <v>174678.12087473</v>
      </c>
    </row>
    <row r="11" spans="1:25" x14ac:dyDescent="0.25">
      <c r="C11" s="1" t="s">
        <v>76</v>
      </c>
      <c r="F11" s="47">
        <f ca="1">OFFSET('company by company input'!M10,0,'company by company input'!$G$7)*Model!$F$28</f>
        <v>13370.84</v>
      </c>
      <c r="H11" s="54">
        <f>'company by company input'!V10</f>
        <v>28200</v>
      </c>
      <c r="K11" t="s">
        <v>55</v>
      </c>
      <c r="O11" s="6">
        <f ca="1">O10/F20</f>
        <v>16.118732485084795</v>
      </c>
    </row>
    <row r="12" spans="1:25" x14ac:dyDescent="0.25">
      <c r="C12" s="1" t="s">
        <v>77</v>
      </c>
      <c r="F12" s="47">
        <f ca="1">OFFSET('company by company input'!M11,0,'company by company input'!$G$7)*Model!$F$28</f>
        <v>663.56000000000006</v>
      </c>
      <c r="H12" s="53">
        <f>'company by company input'!T11</f>
        <v>626</v>
      </c>
      <c r="I12" s="3"/>
      <c r="K12" t="s">
        <v>56</v>
      </c>
      <c r="O12" s="6">
        <f ca="1">O5/F24</f>
        <v>26.551616915422887</v>
      </c>
    </row>
    <row r="14" spans="1:25" x14ac:dyDescent="0.25">
      <c r="C14" s="1" t="s">
        <v>30</v>
      </c>
      <c r="D14" s="1"/>
      <c r="E14" s="1"/>
      <c r="F14" s="16">
        <f ca="1">F9+F11+F12</f>
        <v>142549.37669978401</v>
      </c>
      <c r="G14" s="1"/>
      <c r="H14" s="16"/>
      <c r="K14" t="s">
        <v>57</v>
      </c>
      <c r="O14" s="4">
        <f ca="1">O5-O15</f>
        <v>42.428156250000001</v>
      </c>
    </row>
    <row r="15" spans="1:25" x14ac:dyDescent="0.25">
      <c r="K15" t="s">
        <v>12</v>
      </c>
      <c r="O15" s="4">
        <f ca="1">O5*'assumptions and outputs'!N8</f>
        <v>14.14271875</v>
      </c>
    </row>
    <row r="16" spans="1:25" x14ac:dyDescent="0.25">
      <c r="C16" t="s">
        <v>2</v>
      </c>
      <c r="F16" s="47">
        <f ca="1">OFFSET('company by company input'!M17,0,'company by company input'!$G$7)*$F$28</f>
        <v>58602.100000000006</v>
      </c>
      <c r="H16" s="30">
        <v>26685</v>
      </c>
      <c r="K16" t="s">
        <v>58</v>
      </c>
      <c r="O16" s="9">
        <f ca="1">O15/H7</f>
        <v>0.14907472067039107</v>
      </c>
    </row>
    <row r="17" spans="3:16" x14ac:dyDescent="0.25">
      <c r="C17" t="s">
        <v>3</v>
      </c>
      <c r="F17" s="47">
        <f ca="1">OFFSET('company by company input'!M18,0,'company by company input'!$G$7)*$F$28</f>
        <v>60934.529830000007</v>
      </c>
      <c r="H17" s="28">
        <v>27181</v>
      </c>
    </row>
    <row r="18" spans="3:16" x14ac:dyDescent="0.25">
      <c r="C18" t="s">
        <v>4</v>
      </c>
      <c r="F18" s="47">
        <f ca="1">OFFSET('company by company input'!M19,0,'company by company input'!$G$7)*$F$28</f>
        <v>63912.680538400004</v>
      </c>
      <c r="H18" s="28">
        <v>27746</v>
      </c>
    </row>
    <row r="19" spans="3:16" x14ac:dyDescent="0.25">
      <c r="F19" s="41"/>
      <c r="H19" s="7"/>
      <c r="K19" t="s">
        <v>59</v>
      </c>
      <c r="O19" s="3">
        <f ca="1">O14*O6</f>
        <v>120482.79065604749</v>
      </c>
    </row>
    <row r="20" spans="3:16" x14ac:dyDescent="0.25">
      <c r="C20" t="s">
        <v>5</v>
      </c>
      <c r="F20" s="47">
        <f ca="1">OFFSET('company by company input'!M21,0,'company by company input'!$G$7)*$F$28</f>
        <v>10836.9638268</v>
      </c>
      <c r="H20" s="30">
        <v>8408</v>
      </c>
      <c r="K20" t="s">
        <v>60</v>
      </c>
      <c r="O20" s="4">
        <f ca="1">O15*O6</f>
        <v>40160.930218682501</v>
      </c>
    </row>
    <row r="21" spans="3:16" x14ac:dyDescent="0.25">
      <c r="C21" t="s">
        <v>6</v>
      </c>
      <c r="F21" s="47">
        <f ca="1">OFFSET('company by company input'!M22,0,'company by company input'!$G$7)*$F$28</f>
        <v>11620.78</v>
      </c>
      <c r="H21" s="28">
        <v>8956</v>
      </c>
      <c r="K21" s="11" t="s">
        <v>31</v>
      </c>
      <c r="L21" s="12"/>
      <c r="M21" s="12"/>
      <c r="O21" s="13">
        <f ca="1">O7-O19-O20</f>
        <v>0</v>
      </c>
    </row>
    <row r="22" spans="3:16" x14ac:dyDescent="0.25">
      <c r="C22" t="s">
        <v>8</v>
      </c>
      <c r="F22" s="47">
        <f ca="1">OFFSET('company by company input'!M23,0,'company by company input'!$G$7)*$F$28</f>
        <v>12473.02</v>
      </c>
      <c r="H22" s="28">
        <v>9209</v>
      </c>
    </row>
    <row r="23" spans="3:16" x14ac:dyDescent="0.25">
      <c r="K23" t="s">
        <v>37</v>
      </c>
      <c r="O23" s="5">
        <f ca="1">1-SUM(O24:O26)</f>
        <v>0.33883445196936202</v>
      </c>
    </row>
    <row r="24" spans="3:16" x14ac:dyDescent="0.25">
      <c r="C24" t="s">
        <v>9</v>
      </c>
      <c r="F24" s="46">
        <f ca="1">OFFSET('company by company input'!M25,0,'company by company input'!$G$7)*$F$28</f>
        <v>2.1305999999999998</v>
      </c>
      <c r="H24" s="29">
        <v>3.77</v>
      </c>
      <c r="K24" t="str">
        <f ca="1">Model!F5&amp;" ownership"</f>
        <v>ENXTAM:UNA ownership</v>
      </c>
      <c r="O24" s="5">
        <f ca="1">G57/$G$59</f>
        <v>0.23368110879730192</v>
      </c>
    </row>
    <row r="25" spans="3:16" x14ac:dyDescent="0.25">
      <c r="C25" t="s">
        <v>10</v>
      </c>
      <c r="F25" s="46">
        <f ca="1">OFFSET('company by company input'!M26,0,'company by company input'!$G$7)*$F$28</f>
        <v>2.318962</v>
      </c>
      <c r="H25" s="32">
        <v>4.1100000000000003</v>
      </c>
      <c r="K25" t="s">
        <v>84</v>
      </c>
      <c r="O25" s="5">
        <f ca="1">(P25+P26+G58)/G59</f>
        <v>0.42748443923333607</v>
      </c>
      <c r="P25">
        <v>325.60000000000002</v>
      </c>
    </row>
    <row r="26" spans="3:16" x14ac:dyDescent="0.25">
      <c r="C26" t="s">
        <v>7</v>
      </c>
      <c r="F26" s="46">
        <f ca="1">OFFSET('company by company input'!M27,0,'company by company input'!$G$7)*$F$28</f>
        <v>2.5228000000000002</v>
      </c>
      <c r="H26" s="32">
        <v>4.33</v>
      </c>
      <c r="O26" s="5"/>
      <c r="P26">
        <v>290.7</v>
      </c>
    </row>
    <row r="27" spans="3:16" x14ac:dyDescent="0.25">
      <c r="K27" t="s">
        <v>83</v>
      </c>
      <c r="O27" s="6">
        <f>H11/H20</f>
        <v>3.3539486203615603</v>
      </c>
    </row>
    <row r="28" spans="3:16" x14ac:dyDescent="0.25">
      <c r="C28" s="1" t="s">
        <v>13</v>
      </c>
      <c r="F28" s="48">
        <f ca="1">OFFSET('company by company input'!M32,0,'company by company input'!G7)</f>
        <v>1.06</v>
      </c>
      <c r="K28" t="s">
        <v>90</v>
      </c>
      <c r="O28" s="6">
        <f ca="1">(F11+H11+T5)/(F20+H20)</f>
        <v>7.6411487171134462</v>
      </c>
    </row>
    <row r="29" spans="3:16" x14ac:dyDescent="0.25">
      <c r="C29" t="s">
        <v>34</v>
      </c>
      <c r="F29" s="31">
        <v>0.08</v>
      </c>
    </row>
    <row r="30" spans="3:16" x14ac:dyDescent="0.25">
      <c r="C30" t="s">
        <v>35</v>
      </c>
      <c r="F30" s="31">
        <v>0.35</v>
      </c>
    </row>
    <row r="31" spans="3:16" x14ac:dyDescent="0.25">
      <c r="C31" t="s">
        <v>105</v>
      </c>
      <c r="F31" s="41">
        <f ca="1">OFFSET('company by company input'!M29,0,'company by company input'!G7)*F28*'assumptions and outputs'!N10</f>
        <v>1526.4</v>
      </c>
    </row>
    <row r="33" spans="3:18" x14ac:dyDescent="0.25">
      <c r="G33" s="1">
        <v>2018</v>
      </c>
      <c r="H33" s="1">
        <f>G33+1</f>
        <v>2019</v>
      </c>
    </row>
    <row r="34" spans="3:18" x14ac:dyDescent="0.25">
      <c r="C34" s="2" t="s">
        <v>36</v>
      </c>
      <c r="G34" s="8"/>
      <c r="H34" s="8"/>
      <c r="J34" s="10" t="s">
        <v>40</v>
      </c>
    </row>
    <row r="35" spans="3:18" x14ac:dyDescent="0.25">
      <c r="J35" s="2" t="s">
        <v>123</v>
      </c>
    </row>
    <row r="36" spans="3:18" x14ac:dyDescent="0.25">
      <c r="C36" t="s">
        <v>51</v>
      </c>
      <c r="G36" s="33">
        <f>H25</f>
        <v>4.1100000000000003</v>
      </c>
      <c r="H36" s="33">
        <f>H26</f>
        <v>4.33</v>
      </c>
      <c r="J36" t="s">
        <v>109</v>
      </c>
      <c r="K36" s="10" t="s">
        <v>121</v>
      </c>
    </row>
    <row r="37" spans="3:18" x14ac:dyDescent="0.25">
      <c r="C37" t="s">
        <v>1</v>
      </c>
      <c r="G37" s="34">
        <f>H8</f>
        <v>1230.1168700000001</v>
      </c>
      <c r="H37" s="34">
        <f>G37</f>
        <v>1230.1168700000001</v>
      </c>
      <c r="K37" s="74" t="s">
        <v>106</v>
      </c>
      <c r="M37" s="1" t="s">
        <v>119</v>
      </c>
    </row>
    <row r="38" spans="3:18" x14ac:dyDescent="0.25">
      <c r="C38" t="s">
        <v>61</v>
      </c>
      <c r="G38" s="14">
        <f>G36*G37</f>
        <v>5055.7803357000003</v>
      </c>
      <c r="H38" s="14">
        <f>H36*H37</f>
        <v>5326.4060471000003</v>
      </c>
    </row>
    <row r="39" spans="3:18" x14ac:dyDescent="0.25">
      <c r="J39" t="s">
        <v>110</v>
      </c>
      <c r="K39" s="10" t="s">
        <v>108</v>
      </c>
      <c r="R39" s="1" t="s">
        <v>120</v>
      </c>
    </row>
    <row r="40" spans="3:18" x14ac:dyDescent="0.25">
      <c r="C40" t="str">
        <f ca="1">F5&amp;" EPS Estimate ($)"</f>
        <v>ENXTAM:UNA EPS Estimate ($)</v>
      </c>
      <c r="G40" s="33">
        <f ca="1">F25*F28</f>
        <v>2.4580997199999999</v>
      </c>
      <c r="H40" s="33">
        <f ca="1">F26*F28</f>
        <v>2.6741680000000003</v>
      </c>
      <c r="K40" s="74" t="s">
        <v>107</v>
      </c>
    </row>
    <row r="41" spans="3:18" x14ac:dyDescent="0.25">
      <c r="C41" t="s">
        <v>1</v>
      </c>
      <c r="G41" s="34">
        <f ca="1">F8</f>
        <v>2839.6895199999999</v>
      </c>
      <c r="H41" s="34">
        <f ca="1">G41</f>
        <v>2839.6895199999999</v>
      </c>
    </row>
    <row r="42" spans="3:18" x14ac:dyDescent="0.25">
      <c r="C42" t="s">
        <v>61</v>
      </c>
      <c r="G42" s="14">
        <f ca="1">G40*G41</f>
        <v>6980.240013998934</v>
      </c>
      <c r="H42" s="14">
        <f ca="1">H40*H41</f>
        <v>7593.8068443193606</v>
      </c>
    </row>
    <row r="43" spans="3:18" x14ac:dyDescent="0.25">
      <c r="J43" t="s">
        <v>111</v>
      </c>
      <c r="K43" s="10" t="s">
        <v>112</v>
      </c>
    </row>
    <row r="44" spans="3:18" x14ac:dyDescent="0.25">
      <c r="C44" s="1" t="s">
        <v>18</v>
      </c>
      <c r="G44" s="16">
        <f ca="1">G38+G42</f>
        <v>12036.020349698934</v>
      </c>
      <c r="H44" s="16">
        <f ca="1">H38+H42</f>
        <v>12920.21289141936</v>
      </c>
    </row>
    <row r="45" spans="3:18" x14ac:dyDescent="0.25">
      <c r="K45" s="74" t="s">
        <v>113</v>
      </c>
      <c r="O45" s="1" t="s">
        <v>131</v>
      </c>
    </row>
    <row r="46" spans="3:18" x14ac:dyDescent="0.25">
      <c r="C46" s="2" t="s">
        <v>19</v>
      </c>
    </row>
    <row r="47" spans="3:18" x14ac:dyDescent="0.25">
      <c r="C47" t="s">
        <v>20</v>
      </c>
      <c r="G47" s="3">
        <f ca="1">-F29*T5</f>
        <v>-8438.6232524837997</v>
      </c>
      <c r="H47" s="3">
        <f ca="1">G47</f>
        <v>-8438.6232524837997</v>
      </c>
    </row>
    <row r="48" spans="3:18" x14ac:dyDescent="0.25">
      <c r="C48" t="s">
        <v>21</v>
      </c>
      <c r="G48" s="7">
        <f ca="1">F31</f>
        <v>1526.4</v>
      </c>
      <c r="H48" s="7">
        <f ca="1">F31</f>
        <v>1526.4</v>
      </c>
      <c r="J48" t="s">
        <v>114</v>
      </c>
      <c r="K48" s="1" t="s">
        <v>115</v>
      </c>
    </row>
    <row r="49" spans="3:12" x14ac:dyDescent="0.25">
      <c r="C49" t="s">
        <v>22</v>
      </c>
      <c r="G49" s="17">
        <f ca="1">SUM(G47:G48)</f>
        <v>-6912.2232524838</v>
      </c>
      <c r="H49" s="17">
        <f ca="1">SUM(H47:H48)</f>
        <v>-6912.2232524838</v>
      </c>
    </row>
    <row r="50" spans="3:12" x14ac:dyDescent="0.25">
      <c r="J50" t="s">
        <v>116</v>
      </c>
      <c r="K50" t="s">
        <v>117</v>
      </c>
      <c r="L50" s="1" t="s">
        <v>122</v>
      </c>
    </row>
    <row r="51" spans="3:12" x14ac:dyDescent="0.25">
      <c r="C51" t="s">
        <v>23</v>
      </c>
      <c r="G51" s="7">
        <f ca="1">G49*(1-$F$30)</f>
        <v>-4492.94511411447</v>
      </c>
      <c r="H51" s="7">
        <f ca="1">H49*(1-$F$30)</f>
        <v>-4492.94511411447</v>
      </c>
    </row>
    <row r="53" spans="3:12" x14ac:dyDescent="0.25">
      <c r="J53" s="2" t="s">
        <v>124</v>
      </c>
    </row>
    <row r="54" spans="3:12" x14ac:dyDescent="0.25">
      <c r="C54" s="1" t="s">
        <v>24</v>
      </c>
      <c r="G54" s="16">
        <f ca="1">G44+G51</f>
        <v>7543.0752355844643</v>
      </c>
      <c r="H54" s="16">
        <f ca="1">H44+H51</f>
        <v>8427.267777304889</v>
      </c>
      <c r="K54" s="10" t="s">
        <v>128</v>
      </c>
    </row>
    <row r="55" spans="3:12" x14ac:dyDescent="0.25">
      <c r="J55" t="s">
        <v>109</v>
      </c>
      <c r="K55" s="81" t="s">
        <v>125</v>
      </c>
    </row>
    <row r="56" spans="3:12" x14ac:dyDescent="0.25">
      <c r="C56" t="s">
        <v>25</v>
      </c>
      <c r="G56" s="34">
        <f>H8</f>
        <v>1230.1168700000001</v>
      </c>
      <c r="H56" s="34">
        <f>G56</f>
        <v>1230.1168700000001</v>
      </c>
    </row>
    <row r="57" spans="3:12" x14ac:dyDescent="0.25">
      <c r="C57" t="str">
        <f ca="1">"Shares issued to "&amp; F5</f>
        <v>Shares issued to ENXTAM:UNA</v>
      </c>
      <c r="G57" s="7">
        <f ca="1">O20/H7</f>
        <v>423.32592198463686</v>
      </c>
      <c r="H57" s="7">
        <f ca="1">G57</f>
        <v>423.32592198463686</v>
      </c>
      <c r="K57" s="10" t="s">
        <v>129</v>
      </c>
    </row>
    <row r="58" spans="3:12" x14ac:dyDescent="0.25">
      <c r="C58" t="s">
        <v>89</v>
      </c>
      <c r="G58" s="7">
        <f>T6/H7</f>
        <v>158.11109939917782</v>
      </c>
      <c r="H58" s="7">
        <f>G58</f>
        <v>158.11109939917782</v>
      </c>
    </row>
    <row r="59" spans="3:12" x14ac:dyDescent="0.25">
      <c r="C59" t="s">
        <v>26</v>
      </c>
      <c r="G59" s="17">
        <f ca="1">SUM(G56:G58)</f>
        <v>1811.5538913838147</v>
      </c>
      <c r="H59" s="17">
        <f ca="1">SUM(H56:H58)</f>
        <v>1811.5538913838147</v>
      </c>
      <c r="J59" t="s">
        <v>110</v>
      </c>
      <c r="K59" s="81" t="s">
        <v>126</v>
      </c>
    </row>
    <row r="61" spans="3:12" x14ac:dyDescent="0.25">
      <c r="J61" t="s">
        <v>111</v>
      </c>
      <c r="K61" t="s">
        <v>127</v>
      </c>
    </row>
    <row r="62" spans="3:12" x14ac:dyDescent="0.25">
      <c r="C62" t="s">
        <v>62</v>
      </c>
      <c r="G62" s="4">
        <f ca="1">G54/G59</f>
        <v>4.1638701842993138</v>
      </c>
      <c r="H62" s="4">
        <f ca="1">H54/H59</f>
        <v>4.6519553281782002</v>
      </c>
    </row>
    <row r="63" spans="3:12" x14ac:dyDescent="0.25">
      <c r="C63" t="s">
        <v>63</v>
      </c>
      <c r="G63" s="4">
        <f>G36</f>
        <v>4.1100000000000003</v>
      </c>
      <c r="H63" s="4">
        <f>H36</f>
        <v>4.33</v>
      </c>
      <c r="J63" s="2" t="s">
        <v>130</v>
      </c>
    </row>
    <row r="65" spans="3:11" x14ac:dyDescent="0.25">
      <c r="C65" s="1" t="s">
        <v>27</v>
      </c>
      <c r="G65" s="35">
        <f ca="1">G62-G63</f>
        <v>5.3870184299313451E-2</v>
      </c>
      <c r="H65" s="35">
        <f ca="1">H62-H63</f>
        <v>0.32195532817820016</v>
      </c>
      <c r="K65" s="10" t="s">
        <v>112</v>
      </c>
    </row>
    <row r="66" spans="3:11" x14ac:dyDescent="0.25">
      <c r="C66" s="1" t="s">
        <v>28</v>
      </c>
      <c r="G66" s="36">
        <f ca="1">G65/G63</f>
        <v>1.3107100802752663E-2</v>
      </c>
      <c r="H66" s="36">
        <f ca="1">H65/H63</f>
        <v>7.4354579255935374E-2</v>
      </c>
      <c r="J66" t="s">
        <v>109</v>
      </c>
      <c r="K66" s="1" t="s">
        <v>131</v>
      </c>
    </row>
    <row r="68" spans="3:11" x14ac:dyDescent="0.25">
      <c r="K68" s="10" t="s">
        <v>132</v>
      </c>
    </row>
    <row r="70" spans="3:11" x14ac:dyDescent="0.25">
      <c r="J70" t="s">
        <v>110</v>
      </c>
      <c r="K70" s="1" t="s">
        <v>133</v>
      </c>
    </row>
    <row r="72" spans="3:11" x14ac:dyDescent="0.25">
      <c r="J72" t="s">
        <v>111</v>
      </c>
      <c r="K72" s="1" t="s">
        <v>134</v>
      </c>
    </row>
    <row r="74" spans="3:11" x14ac:dyDescent="0.25">
      <c r="K74" t="s">
        <v>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V36"/>
  <sheetViews>
    <sheetView showGridLines="0" topLeftCell="O1" workbookViewId="0">
      <selection activeCell="AD22" sqref="AD22"/>
    </sheetView>
  </sheetViews>
  <sheetFormatPr defaultRowHeight="15" x14ac:dyDescent="0.25"/>
  <cols>
    <col min="7" max="7" width="9.7109375" bestFit="1" customWidth="1"/>
    <col min="14" max="14" width="26.5703125" bestFit="1" customWidth="1"/>
    <col min="15" max="15" width="16.42578125" bestFit="1" customWidth="1"/>
    <col min="16" max="16" width="26.5703125" bestFit="1" customWidth="1"/>
    <col min="17" max="17" width="25.7109375" bestFit="1" customWidth="1"/>
    <col min="18" max="18" width="19.42578125" bestFit="1" customWidth="1"/>
    <col min="19" max="19" width="23.42578125" bestFit="1" customWidth="1"/>
    <col min="20" max="20" width="12.85546875" bestFit="1" customWidth="1"/>
    <col min="22" max="22" width="23.5703125" bestFit="1" customWidth="1"/>
  </cols>
  <sheetData>
    <row r="3" spans="6:22" ht="21" x14ac:dyDescent="0.35">
      <c r="N3" s="76" t="s">
        <v>118</v>
      </c>
      <c r="O3" s="75"/>
      <c r="P3" s="75"/>
      <c r="Q3" s="75"/>
      <c r="R3" s="75"/>
      <c r="S3" s="75"/>
      <c r="T3" s="75"/>
    </row>
    <row r="4" spans="6:22" x14ac:dyDescent="0.25">
      <c r="G4" s="43">
        <v>42787</v>
      </c>
      <c r="N4">
        <v>1</v>
      </c>
      <c r="O4">
        <f>N4+1</f>
        <v>2</v>
      </c>
      <c r="P4">
        <f t="shared" ref="P4:T4" si="0">O4+1</f>
        <v>3</v>
      </c>
      <c r="Q4">
        <f t="shared" si="0"/>
        <v>4</v>
      </c>
      <c r="R4">
        <f t="shared" si="0"/>
        <v>5</v>
      </c>
      <c r="S4">
        <f t="shared" si="0"/>
        <v>6</v>
      </c>
      <c r="T4">
        <f t="shared" si="0"/>
        <v>7</v>
      </c>
    </row>
    <row r="5" spans="6:22" x14ac:dyDescent="0.25">
      <c r="N5" s="1" t="s">
        <v>67</v>
      </c>
      <c r="O5" s="1" t="s">
        <v>68</v>
      </c>
      <c r="P5" s="1" t="s">
        <v>69</v>
      </c>
      <c r="Q5" s="1" t="s">
        <v>70</v>
      </c>
      <c r="R5" s="1" t="s">
        <v>71</v>
      </c>
      <c r="S5" s="1" t="s">
        <v>72</v>
      </c>
      <c r="T5" s="1" t="s">
        <v>74</v>
      </c>
      <c r="U5" s="80"/>
      <c r="V5" s="1" t="s">
        <v>73</v>
      </c>
    </row>
    <row r="6" spans="6:22" x14ac:dyDescent="0.25">
      <c r="N6" s="1" t="s">
        <v>94</v>
      </c>
      <c r="O6" s="1" t="s">
        <v>95</v>
      </c>
      <c r="P6" s="1" t="s">
        <v>96</v>
      </c>
      <c r="Q6" s="1" t="s">
        <v>97</v>
      </c>
      <c r="R6" s="1" t="s">
        <v>98</v>
      </c>
      <c r="S6" s="1" t="s">
        <v>99</v>
      </c>
      <c r="T6" s="1" t="s">
        <v>100</v>
      </c>
      <c r="U6" s="80"/>
      <c r="V6" s="1" t="s">
        <v>101</v>
      </c>
    </row>
    <row r="7" spans="6:22" x14ac:dyDescent="0.25">
      <c r="F7" t="s">
        <v>75</v>
      </c>
      <c r="G7" s="51">
        <v>7</v>
      </c>
      <c r="I7" t="s">
        <v>49</v>
      </c>
      <c r="N7">
        <v>44.97</v>
      </c>
      <c r="O7">
        <v>74.739999999999995</v>
      </c>
      <c r="P7">
        <v>73.180000000000007</v>
      </c>
      <c r="Q7">
        <v>134.63999999999999</v>
      </c>
      <c r="R7">
        <v>135.44</v>
      </c>
      <c r="S7">
        <v>58.95</v>
      </c>
      <c r="T7">
        <v>42.695</v>
      </c>
      <c r="U7" s="77"/>
      <c r="V7">
        <v>94.87</v>
      </c>
    </row>
    <row r="8" spans="6:22" x14ac:dyDescent="0.25">
      <c r="I8" t="s">
        <v>66</v>
      </c>
      <c r="N8" s="44">
        <v>1544.4117100000001</v>
      </c>
      <c r="O8" s="44">
        <v>353.69594999999998</v>
      </c>
      <c r="P8" s="44">
        <v>888.84259999999995</v>
      </c>
      <c r="Q8" s="44">
        <v>357.96404000000001</v>
      </c>
      <c r="R8" s="44">
        <v>130.80833999999999</v>
      </c>
      <c r="S8" s="44">
        <v>307.17824999999999</v>
      </c>
      <c r="T8" s="44">
        <v>2839.6895199999999</v>
      </c>
      <c r="U8" s="77"/>
      <c r="V8" s="44">
        <v>1230.1168700000001</v>
      </c>
    </row>
    <row r="9" spans="6:22" x14ac:dyDescent="0.25">
      <c r="U9" s="77"/>
    </row>
    <row r="10" spans="6:22" x14ac:dyDescent="0.25">
      <c r="I10" t="s">
        <v>76</v>
      </c>
      <c r="N10">
        <v>15458</v>
      </c>
      <c r="O10">
        <v>7487</v>
      </c>
      <c r="P10">
        <v>5146</v>
      </c>
      <c r="Q10">
        <v>6707</v>
      </c>
      <c r="R10">
        <v>2135</v>
      </c>
      <c r="S10">
        <v>3169</v>
      </c>
      <c r="T10">
        <v>12614</v>
      </c>
      <c r="U10" s="77"/>
      <c r="V10">
        <v>28200</v>
      </c>
    </row>
    <row r="11" spans="6:22" x14ac:dyDescent="0.25">
      <c r="I11" t="s">
        <v>77</v>
      </c>
      <c r="N11">
        <v>54</v>
      </c>
      <c r="O11">
        <v>16</v>
      </c>
      <c r="P11">
        <v>260</v>
      </c>
      <c r="Q11">
        <v>219</v>
      </c>
      <c r="R11">
        <v>0</v>
      </c>
      <c r="S11">
        <v>0</v>
      </c>
      <c r="T11">
        <v>626</v>
      </c>
      <c r="U11" s="77"/>
      <c r="V11">
        <v>216</v>
      </c>
    </row>
    <row r="12" spans="6:22" x14ac:dyDescent="0.25">
      <c r="U12" s="77"/>
    </row>
    <row r="13" spans="6:22" ht="15.75" thickBot="1" x14ac:dyDescent="0.3">
      <c r="U13" s="77"/>
    </row>
    <row r="14" spans="6:22" ht="15.75" thickBot="1" x14ac:dyDescent="0.3">
      <c r="I14" s="55" t="s">
        <v>30</v>
      </c>
      <c r="J14" s="56"/>
      <c r="K14" s="56"/>
      <c r="L14" s="56"/>
      <c r="M14" s="56"/>
      <c r="N14" s="57">
        <f>N8*N7+N10+N11</f>
        <v>84964.194598700007</v>
      </c>
      <c r="O14" s="57">
        <f t="shared" ref="O14:T14" si="1">O8*O7+O10+O11</f>
        <v>33938.235302999994</v>
      </c>
      <c r="P14" s="57">
        <f t="shared" si="1"/>
        <v>70451.501468000002</v>
      </c>
      <c r="Q14" s="57">
        <f t="shared" si="1"/>
        <v>55122.278345599996</v>
      </c>
      <c r="R14" s="57">
        <f t="shared" si="1"/>
        <v>19851.681569599998</v>
      </c>
      <c r="S14" s="57">
        <f t="shared" si="1"/>
        <v>21277.157837499999</v>
      </c>
      <c r="T14" s="57">
        <f t="shared" si="1"/>
        <v>134480.54405640002</v>
      </c>
      <c r="U14" s="78"/>
      <c r="V14" s="58">
        <f t="shared" ref="V14" si="2">V8*V7+V10</f>
        <v>144901.18745690002</v>
      </c>
    </row>
    <row r="15" spans="6:22" x14ac:dyDescent="0.25">
      <c r="U15" s="77"/>
    </row>
    <row r="16" spans="6:22" x14ac:dyDescent="0.25">
      <c r="U16" s="77"/>
    </row>
    <row r="17" spans="9:22" x14ac:dyDescent="0.25">
      <c r="I17" t="s">
        <v>2</v>
      </c>
      <c r="N17" s="7">
        <v>25852.31149</v>
      </c>
      <c r="O17" s="7">
        <v>12651.997950000001</v>
      </c>
      <c r="P17" s="7">
        <v>15468</v>
      </c>
      <c r="Q17" s="7">
        <v>18309</v>
      </c>
      <c r="R17" s="7">
        <v>6062.5</v>
      </c>
      <c r="S17" s="7">
        <v>8002.8445000000002</v>
      </c>
      <c r="T17" s="7">
        <v>55285</v>
      </c>
      <c r="U17" s="77"/>
      <c r="V17" s="7">
        <v>26672</v>
      </c>
    </row>
    <row r="18" spans="9:22" x14ac:dyDescent="0.25">
      <c r="I18" t="s">
        <v>3</v>
      </c>
      <c r="N18" s="7">
        <v>26420.626960000001</v>
      </c>
      <c r="O18" s="7">
        <v>12671.0345</v>
      </c>
      <c r="P18" s="7">
        <v>16156</v>
      </c>
      <c r="Q18" s="7">
        <v>18943.849999999999</v>
      </c>
      <c r="R18" s="7">
        <v>6245.3469999999998</v>
      </c>
      <c r="S18" s="7">
        <v>8087.6471000000001</v>
      </c>
      <c r="T18" s="7">
        <v>57485.405500000001</v>
      </c>
      <c r="U18" s="77"/>
      <c r="V18" s="7">
        <v>27201.95923</v>
      </c>
    </row>
    <row r="19" spans="9:22" x14ac:dyDescent="0.25">
      <c r="I19" t="s">
        <v>4</v>
      </c>
      <c r="N19" s="7">
        <v>27199.109840000001</v>
      </c>
      <c r="O19" s="7">
        <v>12740.251</v>
      </c>
      <c r="P19" s="7">
        <v>16805.286410000001</v>
      </c>
      <c r="Q19" s="7">
        <v>19618.681560000001</v>
      </c>
      <c r="R19" s="7">
        <v>6478.5</v>
      </c>
      <c r="S19" s="7">
        <v>8138.5</v>
      </c>
      <c r="T19" s="7">
        <v>60294.981639999998</v>
      </c>
      <c r="U19" s="77"/>
      <c r="V19" s="7">
        <v>27888.041529999999</v>
      </c>
    </row>
    <row r="20" spans="9:22" x14ac:dyDescent="0.25">
      <c r="N20" s="7"/>
      <c r="O20" s="7"/>
      <c r="P20" s="7"/>
      <c r="Q20" s="7"/>
      <c r="R20" s="7"/>
      <c r="S20" s="7"/>
      <c r="T20" s="7"/>
      <c r="U20" s="77"/>
      <c r="V20" s="7"/>
    </row>
    <row r="21" spans="9:22" x14ac:dyDescent="0.25">
      <c r="I21" t="s">
        <v>5</v>
      </c>
      <c r="N21" s="7">
        <v>5102</v>
      </c>
      <c r="O21" s="7">
        <v>2627</v>
      </c>
      <c r="P21" s="7">
        <v>4517.5</v>
      </c>
      <c r="Q21" s="7">
        <v>4203.8842500000001</v>
      </c>
      <c r="R21" s="7">
        <v>1329.4703999999999</v>
      </c>
      <c r="S21" s="7">
        <v>1855.8326999999999</v>
      </c>
      <c r="T21" s="7">
        <v>10223.55078</v>
      </c>
      <c r="U21" s="77"/>
      <c r="V21" s="7">
        <v>8392.1153799999993</v>
      </c>
    </row>
    <row r="22" spans="9:22" x14ac:dyDescent="0.25">
      <c r="I22" t="s">
        <v>6</v>
      </c>
      <c r="N22" s="7">
        <v>5479.9736800000001</v>
      </c>
      <c r="O22" s="7">
        <v>2780.0810000000001</v>
      </c>
      <c r="P22" s="7">
        <v>4836</v>
      </c>
      <c r="Q22" s="7">
        <v>4414.5320700000002</v>
      </c>
      <c r="R22" s="7">
        <v>1396.8668</v>
      </c>
      <c r="S22" s="7">
        <v>1906.1081999999999</v>
      </c>
      <c r="T22" s="7">
        <v>10963</v>
      </c>
      <c r="U22" s="77"/>
      <c r="V22" s="7">
        <v>8914.8250000000007</v>
      </c>
    </row>
    <row r="23" spans="9:22" x14ac:dyDescent="0.25">
      <c r="I23" t="s">
        <v>8</v>
      </c>
      <c r="N23" s="7">
        <v>5791</v>
      </c>
      <c r="O23" s="7">
        <v>2865.998</v>
      </c>
      <c r="P23" s="7">
        <v>5168.23398</v>
      </c>
      <c r="Q23" s="7">
        <v>4617.3883800000003</v>
      </c>
      <c r="R23" s="7">
        <v>1443.75</v>
      </c>
      <c r="S23" s="7">
        <v>1944.7235000000001</v>
      </c>
      <c r="T23" s="7">
        <v>11767</v>
      </c>
      <c r="U23" s="77"/>
      <c r="V23" s="7">
        <v>9259</v>
      </c>
    </row>
    <row r="24" spans="9:22" x14ac:dyDescent="0.25">
      <c r="U24" s="77"/>
    </row>
    <row r="25" spans="9:22" x14ac:dyDescent="0.25">
      <c r="I25" t="s">
        <v>9</v>
      </c>
      <c r="N25" s="45">
        <v>2.1</v>
      </c>
      <c r="O25" s="45">
        <v>3.95</v>
      </c>
      <c r="P25" s="45">
        <v>2.90184</v>
      </c>
      <c r="Q25" s="45">
        <v>6.28</v>
      </c>
      <c r="R25" s="45">
        <v>5.5831</v>
      </c>
      <c r="S25" s="45">
        <v>3.1232000000000002</v>
      </c>
      <c r="T25" s="45">
        <v>2.0099999999999998</v>
      </c>
      <c r="U25" s="77"/>
      <c r="V25" s="45">
        <v>3.76</v>
      </c>
    </row>
    <row r="26" spans="9:22" x14ac:dyDescent="0.25">
      <c r="I26" t="s">
        <v>10</v>
      </c>
      <c r="N26" s="45">
        <v>2.3312499999999998</v>
      </c>
      <c r="O26" s="45">
        <v>4.3499999999999996</v>
      </c>
      <c r="P26" s="45">
        <v>3.17</v>
      </c>
      <c r="Q26" s="45">
        <v>6.75</v>
      </c>
      <c r="R26" s="45">
        <v>5.8903999999999996</v>
      </c>
      <c r="S26" s="45">
        <v>3.3391000000000002</v>
      </c>
      <c r="T26" s="45">
        <v>2.1877</v>
      </c>
      <c r="U26" s="77"/>
      <c r="V26" s="45">
        <v>4.16</v>
      </c>
    </row>
    <row r="27" spans="9:22" x14ac:dyDescent="0.25">
      <c r="I27" t="s">
        <v>7</v>
      </c>
      <c r="N27" s="45">
        <v>2.5499100000000001</v>
      </c>
      <c r="O27" s="45">
        <v>4.59</v>
      </c>
      <c r="P27" s="45">
        <v>3.37</v>
      </c>
      <c r="Q27" s="45">
        <v>7.2</v>
      </c>
      <c r="R27" s="45">
        <v>6.2915999999999999</v>
      </c>
      <c r="S27" s="45">
        <v>3.4849999999999999</v>
      </c>
      <c r="T27" s="45">
        <v>2.38</v>
      </c>
      <c r="U27" s="77"/>
      <c r="V27" s="45">
        <v>4.36693</v>
      </c>
    </row>
    <row r="28" spans="9:22" x14ac:dyDescent="0.25">
      <c r="U28" s="77"/>
    </row>
    <row r="29" spans="9:22" x14ac:dyDescent="0.25">
      <c r="I29" t="s">
        <v>86</v>
      </c>
      <c r="N29" s="7">
        <v>6532</v>
      </c>
      <c r="O29" s="7">
        <v>3200</v>
      </c>
      <c r="P29" s="7">
        <v>5172</v>
      </c>
      <c r="Q29" s="7">
        <v>3294</v>
      </c>
      <c r="R29" s="7">
        <v>1420</v>
      </c>
      <c r="S29" s="7">
        <v>1474</v>
      </c>
      <c r="T29" s="7">
        <v>14400</v>
      </c>
      <c r="U29" s="77"/>
      <c r="V29" s="7"/>
    </row>
    <row r="30" spans="9:22" x14ac:dyDescent="0.25">
      <c r="U30" s="77"/>
    </row>
    <row r="31" spans="9:22" x14ac:dyDescent="0.25">
      <c r="U31" s="77"/>
    </row>
    <row r="32" spans="9:22" x14ac:dyDescent="0.25">
      <c r="I32" s="1" t="s">
        <v>13</v>
      </c>
      <c r="N32" s="52">
        <v>1</v>
      </c>
      <c r="O32" s="52">
        <f>N32</f>
        <v>1</v>
      </c>
      <c r="P32" s="52">
        <f t="shared" ref="P32:S32" si="3">O32</f>
        <v>1</v>
      </c>
      <c r="Q32" s="52">
        <f t="shared" si="3"/>
        <v>1</v>
      </c>
      <c r="R32" s="52">
        <f t="shared" si="3"/>
        <v>1</v>
      </c>
      <c r="S32" s="52">
        <f t="shared" si="3"/>
        <v>1</v>
      </c>
      <c r="T32" s="52">
        <v>1.06</v>
      </c>
      <c r="U32" s="79"/>
      <c r="V32" s="52"/>
    </row>
    <row r="33" spans="9:22" ht="15.75" thickBot="1" x14ac:dyDescent="0.3">
      <c r="U33" s="77"/>
    </row>
    <row r="34" spans="9:22" x14ac:dyDescent="0.25">
      <c r="I34" s="62" t="s">
        <v>87</v>
      </c>
      <c r="J34" s="63"/>
      <c r="K34" s="63"/>
      <c r="L34" s="63"/>
      <c r="M34" s="63"/>
      <c r="N34" s="64">
        <f>RATE(2,0,-N17,N19)</f>
        <v>2.5717240794771026E-2</v>
      </c>
      <c r="O34" s="64">
        <f t="shared" ref="O34:T34" si="4">RATE(2,0,-O17,O19)</f>
        <v>3.4816510471291588E-3</v>
      </c>
      <c r="P34" s="64">
        <f t="shared" si="4"/>
        <v>4.2331535734487093E-2</v>
      </c>
      <c r="Q34" s="64">
        <f t="shared" si="4"/>
        <v>3.514835585703649E-2</v>
      </c>
      <c r="R34" s="64">
        <f t="shared" si="4"/>
        <v>3.3740081792809767E-2</v>
      </c>
      <c r="S34" s="64">
        <f t="shared" si="4"/>
        <v>8.4398397484719105E-3</v>
      </c>
      <c r="T34" s="65">
        <f t="shared" si="4"/>
        <v>4.4328010617637026E-2</v>
      </c>
      <c r="U34" s="77"/>
      <c r="V34" s="59">
        <f t="shared" ref="V34" si="5">RATE(2,0,-V17,V19)</f>
        <v>2.2542145286551154E-2</v>
      </c>
    </row>
    <row r="35" spans="9:22" x14ac:dyDescent="0.25">
      <c r="I35" s="66" t="s">
        <v>88</v>
      </c>
      <c r="J35" s="67"/>
      <c r="K35" s="67"/>
      <c r="L35" s="67"/>
      <c r="M35" s="67"/>
      <c r="N35" s="68">
        <f>N21/N17</f>
        <v>0.19735179200411221</v>
      </c>
      <c r="O35" s="68">
        <f t="shared" ref="O35:T35" si="6">O21/O17</f>
        <v>0.20763519014006795</v>
      </c>
      <c r="P35" s="68">
        <f t="shared" si="6"/>
        <v>0.29205456426170157</v>
      </c>
      <c r="Q35" s="68">
        <f t="shared" si="6"/>
        <v>0.22960752908405702</v>
      </c>
      <c r="R35" s="68">
        <f t="shared" si="6"/>
        <v>0.21929408659793814</v>
      </c>
      <c r="S35" s="68">
        <f t="shared" si="6"/>
        <v>0.23189663375316114</v>
      </c>
      <c r="T35" s="69">
        <f t="shared" si="6"/>
        <v>0.18492449633716196</v>
      </c>
      <c r="U35" s="77"/>
      <c r="V35" s="5">
        <f t="shared" ref="V35" si="7">V21/V17</f>
        <v>0.31464139847030592</v>
      </c>
    </row>
    <row r="36" spans="9:22" ht="15.75" thickBot="1" x14ac:dyDescent="0.3">
      <c r="I36" s="70" t="s">
        <v>93</v>
      </c>
      <c r="J36" s="71"/>
      <c r="K36" s="71"/>
      <c r="L36" s="71"/>
      <c r="M36" s="71"/>
      <c r="N36" s="72">
        <f>N7/N26</f>
        <v>19.290080428954425</v>
      </c>
      <c r="O36" s="72">
        <f t="shared" ref="O36:V36" si="8">O7/O26</f>
        <v>17.181609195402299</v>
      </c>
      <c r="P36" s="72">
        <f t="shared" si="8"/>
        <v>23.085173501577291</v>
      </c>
      <c r="Q36" s="72">
        <f t="shared" si="8"/>
        <v>19.946666666666665</v>
      </c>
      <c r="R36" s="72">
        <f t="shared" si="8"/>
        <v>22.99334510389787</v>
      </c>
      <c r="S36" s="72">
        <f t="shared" si="8"/>
        <v>17.654457788026715</v>
      </c>
      <c r="T36" s="73">
        <f t="shared" si="8"/>
        <v>19.515929972116837</v>
      </c>
      <c r="U36" s="1"/>
      <c r="V36" s="60">
        <f t="shared" si="8"/>
        <v>22.805288461538463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 and outputs</vt:lpstr>
      <vt:lpstr>Model</vt:lpstr>
      <vt:lpstr>company by company input</vt:lpstr>
    </vt:vector>
  </TitlesOfParts>
  <Company>Financial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Indap, Sujeet</dc:creator>
  <cp:lastModifiedBy>Indap, Sujeet</cp:lastModifiedBy>
  <dcterms:created xsi:type="dcterms:W3CDTF">2017-02-17T21:52:03Z</dcterms:created>
  <dcterms:modified xsi:type="dcterms:W3CDTF">2017-02-28T22:40:18Z</dcterms:modified>
</cp:coreProperties>
</file>