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 firstSheet="8" activeTab="11"/>
  </bookViews>
  <sheets>
    <sheet name="民政部" sheetId="4" r:id="rId1"/>
    <sheet name="整体" sheetId="5" r:id="rId2"/>
    <sheet name="在我国沿海登陆的（2016-2013数据全）" sheetId="2" r:id="rId3"/>
    <sheet name="海洋局" sheetId="3" r:id="rId4"/>
    <sheet name="国内生产总值" sheetId="6" r:id="rId5"/>
    <sheet name="描述性统计" sheetId="7" r:id="rId6"/>
    <sheet name="台风损失年发生次数" sheetId="8" r:id="rId7"/>
    <sheet name="Sheet4" sheetId="9" r:id="rId8"/>
    <sheet name="Sheet2" sheetId="10" r:id="rId9"/>
    <sheet name="Sheet1" sheetId="11" r:id="rId10"/>
    <sheet name="Sheet3" sheetId="12" r:id="rId11"/>
    <sheet name="Sheet5" sheetId="13" r:id="rId12"/>
  </sheets>
  <definedNames>
    <definedName name="_xlnm._FilterDatabase" localSheetId="1" hidden="1">整体!$A$1:$E$101</definedName>
    <definedName name="details" localSheetId="9">Sheet1!#REF!</definedName>
  </definedNames>
  <calcPr calcId="124519"/>
</workbook>
</file>

<file path=xl/calcChain.xml><?xml version="1.0" encoding="utf-8"?>
<calcChain xmlns="http://schemas.openxmlformats.org/spreadsheetml/2006/main">
  <c r="H5" i="13"/>
  <c r="H7" s="1"/>
  <c r="H2"/>
  <c r="C7"/>
  <c r="C5"/>
  <c r="C2"/>
  <c r="H13" i="12"/>
  <c r="B15"/>
  <c r="C16" s="1"/>
  <c r="E14"/>
  <c r="E13"/>
  <c r="D14"/>
  <c r="D13"/>
  <c r="R13" i="8"/>
  <c r="C15" i="12" l="1"/>
  <c r="P3" i="8"/>
  <c r="P4"/>
  <c r="P5"/>
  <c r="P6"/>
  <c r="P7"/>
  <c r="P8"/>
  <c r="P9"/>
  <c r="P10"/>
  <c r="P11"/>
  <c r="P12"/>
  <c r="P2"/>
  <c r="R7" l="1"/>
  <c r="Q7"/>
  <c r="R12"/>
  <c r="Q12"/>
  <c r="R4"/>
  <c r="Q4"/>
  <c r="R9"/>
  <c r="Q9"/>
  <c r="R11"/>
  <c r="Q11"/>
  <c r="R3"/>
  <c r="Q3"/>
  <c r="R8"/>
  <c r="Q8"/>
  <c r="R2"/>
  <c r="Q2"/>
  <c r="R5"/>
  <c r="Q5"/>
  <c r="R10"/>
  <c r="Q10"/>
  <c r="R6"/>
  <c r="Q6"/>
  <c r="P13"/>
  <c r="E101" i="10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C15"/>
  <c r="E14"/>
  <c r="C14"/>
  <c r="E13"/>
  <c r="C13"/>
  <c r="E12"/>
  <c r="E11"/>
  <c r="E10"/>
  <c r="E9"/>
  <c r="E8"/>
  <c r="C8"/>
  <c r="E7"/>
  <c r="E6"/>
  <c r="E5"/>
  <c r="E4"/>
  <c r="C4"/>
  <c r="C3"/>
  <c r="E3" s="1"/>
  <c r="E2"/>
  <c r="B2" i="8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C15"/>
  <c r="C14"/>
  <c r="C13"/>
  <c r="C8"/>
  <c r="C4"/>
  <c r="C3"/>
  <c r="J30" i="3"/>
  <c r="H30"/>
  <c r="I30"/>
  <c r="H29"/>
  <c r="H28"/>
  <c r="J15"/>
  <c r="H15"/>
  <c r="G15"/>
  <c r="K14"/>
  <c r="J14"/>
  <c r="H14"/>
  <c r="G14"/>
  <c r="H13"/>
  <c r="G13"/>
  <c r="G8"/>
  <c r="H8"/>
  <c r="G4"/>
  <c r="G3"/>
  <c r="I25" i="4"/>
  <c r="I24"/>
  <c r="I21"/>
  <c r="I20"/>
  <c r="I18"/>
  <c r="H11"/>
  <c r="J10"/>
  <c r="H10"/>
  <c r="G10"/>
  <c r="J9"/>
  <c r="G9"/>
  <c r="H52" i="3"/>
  <c r="H50"/>
  <c r="H44"/>
  <c r="H31"/>
  <c r="H2" i="2"/>
  <c r="H17"/>
  <c r="H27"/>
  <c r="H30"/>
  <c r="J58"/>
  <c r="G58"/>
  <c r="H60"/>
  <c r="G59"/>
  <c r="J59"/>
  <c r="H59"/>
  <c r="I67"/>
  <c r="I70"/>
  <c r="I73"/>
  <c r="I74"/>
  <c r="I69"/>
  <c r="Q13" i="8" l="1"/>
</calcChain>
</file>

<file path=xl/sharedStrings.xml><?xml version="1.0" encoding="utf-8"?>
<sst xmlns="http://schemas.openxmlformats.org/spreadsheetml/2006/main" count="1462" uniqueCount="442">
  <si>
    <t>福建</t>
  </si>
  <si>
    <t>山东</t>
  </si>
  <si>
    <t>海南</t>
  </si>
  <si>
    <t>广东</t>
  </si>
  <si>
    <t>台湾</t>
  </si>
  <si>
    <t>海鸥</t>
  </si>
  <si>
    <t>凤凰</t>
  </si>
  <si>
    <t>莲花</t>
  </si>
  <si>
    <t>苏迪罗</t>
  </si>
  <si>
    <t>彩虹</t>
  </si>
  <si>
    <t>莫兰蒂</t>
  </si>
  <si>
    <t>鲇鱼</t>
  </si>
  <si>
    <t>莎莉嘉</t>
  </si>
  <si>
    <t>海马</t>
  </si>
  <si>
    <t>风神</t>
  </si>
  <si>
    <t>北冕</t>
  </si>
  <si>
    <t>森拉克</t>
  </si>
  <si>
    <t>黑格比</t>
  </si>
  <si>
    <t>天鹅</t>
  </si>
  <si>
    <t>莫拉克</t>
  </si>
  <si>
    <t>洛坦</t>
  </si>
  <si>
    <t>南玛都</t>
  </si>
  <si>
    <t>浣熊</t>
  </si>
  <si>
    <t>鹦鹉</t>
  </si>
  <si>
    <t>蔷薇</t>
  </si>
  <si>
    <t>海高斯</t>
  </si>
  <si>
    <t>浪卡</t>
  </si>
  <si>
    <t>莫拉菲</t>
  </si>
  <si>
    <t>巨爵</t>
  </si>
  <si>
    <t>芭玛</t>
  </si>
  <si>
    <t>康森</t>
  </si>
  <si>
    <t>灿都</t>
  </si>
  <si>
    <t>狮子山</t>
  </si>
  <si>
    <t>南川</t>
  </si>
  <si>
    <t>凡亚比</t>
  </si>
  <si>
    <t>米雷</t>
  </si>
  <si>
    <t>纳沙</t>
  </si>
  <si>
    <t>尼格</t>
  </si>
  <si>
    <t>编号</t>
    <phoneticPr fontId="1" type="noConversion"/>
  </si>
  <si>
    <t>直接经济损失（亿元）</t>
    <phoneticPr fontId="1" type="noConversion"/>
  </si>
  <si>
    <t>受灾人口（万人）</t>
    <phoneticPr fontId="1" type="noConversion"/>
  </si>
  <si>
    <t>死亡人口（含失踪）人数</t>
    <phoneticPr fontId="1" type="noConversion"/>
  </si>
  <si>
    <t>名称</t>
    <phoneticPr fontId="1" type="noConversion"/>
  </si>
  <si>
    <t>1601</t>
    <phoneticPr fontId="1" type="noConversion"/>
  </si>
  <si>
    <t>台湾、福建</t>
    <phoneticPr fontId="1" type="noConversion"/>
  </si>
  <si>
    <t>1604</t>
    <phoneticPr fontId="1" type="noConversion"/>
  </si>
  <si>
    <t>广东</t>
    <phoneticPr fontId="1" type="noConversion"/>
  </si>
  <si>
    <t>1614</t>
    <phoneticPr fontId="1" type="noConversion"/>
  </si>
  <si>
    <t>浙江</t>
    <phoneticPr fontId="1" type="noConversion"/>
  </si>
  <si>
    <t>海南</t>
    <phoneticPr fontId="1" type="noConversion"/>
  </si>
  <si>
    <t>登录省份</t>
    <phoneticPr fontId="1" type="noConversion"/>
  </si>
  <si>
    <t>1508</t>
    <phoneticPr fontId="1" type="noConversion"/>
  </si>
  <si>
    <t>鲸鱼</t>
    <phoneticPr fontId="1" type="noConversion"/>
  </si>
  <si>
    <t>1509</t>
    <phoneticPr fontId="1" type="noConversion"/>
  </si>
  <si>
    <t>1510</t>
    <phoneticPr fontId="1" type="noConversion"/>
  </si>
  <si>
    <t>莲花</t>
    <phoneticPr fontId="1" type="noConversion"/>
  </si>
  <si>
    <t>灿鸿</t>
    <phoneticPr fontId="1" type="noConversion"/>
  </si>
  <si>
    <t>1513</t>
    <phoneticPr fontId="1" type="noConversion"/>
  </si>
  <si>
    <t>1521</t>
    <phoneticPr fontId="1" type="noConversion"/>
  </si>
  <si>
    <t>尼伯特</t>
    <phoneticPr fontId="1" type="noConversion"/>
  </si>
  <si>
    <t>苏迪罗</t>
    <phoneticPr fontId="1" type="noConversion"/>
  </si>
  <si>
    <t>杜鹃</t>
    <phoneticPr fontId="1" type="noConversion"/>
  </si>
  <si>
    <t>1522</t>
    <phoneticPr fontId="1" type="noConversion"/>
  </si>
  <si>
    <t>彩虹</t>
    <phoneticPr fontId="1" type="noConversion"/>
  </si>
  <si>
    <t>1407</t>
    <phoneticPr fontId="1" type="noConversion"/>
  </si>
  <si>
    <t>海贝思</t>
    <phoneticPr fontId="1" type="noConversion"/>
  </si>
  <si>
    <t>影响省份</t>
    <phoneticPr fontId="1" type="noConversion"/>
  </si>
  <si>
    <t>缺</t>
    <phoneticPr fontId="1" type="noConversion"/>
  </si>
  <si>
    <t>妮妲</t>
    <phoneticPr fontId="1" type="noConversion"/>
  </si>
  <si>
    <t>福建、广东</t>
  </si>
  <si>
    <t>1608</t>
    <phoneticPr fontId="1" type="noConversion"/>
  </si>
  <si>
    <t>电母</t>
    <phoneticPr fontId="1" type="noConversion"/>
  </si>
  <si>
    <t>1603</t>
    <phoneticPr fontId="1" type="noConversion"/>
  </si>
  <si>
    <t>银河</t>
    <phoneticPr fontId="1" type="noConversion"/>
  </si>
  <si>
    <t>浙江、福建</t>
  </si>
  <si>
    <t>广东、福建</t>
    <phoneticPr fontId="1" type="noConversion"/>
  </si>
  <si>
    <t>海南、广东、广西</t>
    <phoneticPr fontId="1" type="noConversion"/>
  </si>
  <si>
    <t>农作物受灾面积（千公顷）</t>
    <phoneticPr fontId="1" type="noConversion"/>
  </si>
  <si>
    <t>房屋倒塌（间）</t>
    <phoneticPr fontId="1" type="noConversion"/>
  </si>
  <si>
    <t>1409</t>
    <phoneticPr fontId="1" type="noConversion"/>
  </si>
  <si>
    <t>威马逊</t>
    <phoneticPr fontId="1" type="noConversion"/>
  </si>
  <si>
    <t>辽宁、江苏、浙江、安徽、福建、江西、山东、广东</t>
    <phoneticPr fontId="1" type="noConversion"/>
  </si>
  <si>
    <t>广东、广西、海南、云南</t>
    <phoneticPr fontId="1" type="noConversion"/>
  </si>
  <si>
    <t>麦德姆</t>
    <phoneticPr fontId="1" type="noConversion"/>
  </si>
  <si>
    <t>1410</t>
    <phoneticPr fontId="1" type="noConversion"/>
  </si>
  <si>
    <t>1415</t>
    <phoneticPr fontId="1" type="noConversion"/>
  </si>
  <si>
    <t>海鸥</t>
    <phoneticPr fontId="1" type="noConversion"/>
  </si>
  <si>
    <t>海南、广东</t>
    <phoneticPr fontId="1" type="noConversion"/>
  </si>
  <si>
    <t>凤凰</t>
    <phoneticPr fontId="1" type="noConversion"/>
  </si>
  <si>
    <t>1416</t>
    <phoneticPr fontId="1" type="noConversion"/>
  </si>
  <si>
    <t>台湾、台湾、浙江、上海</t>
    <phoneticPr fontId="1" type="noConversion"/>
  </si>
  <si>
    <t>黑龙江、上海、江苏、浙江、安徽、山东</t>
    <phoneticPr fontId="1" type="noConversion"/>
  </si>
  <si>
    <t>江苏、浙江、安徽、福建、江西</t>
    <phoneticPr fontId="1" type="noConversion"/>
  </si>
  <si>
    <t>广东、广西、海南</t>
    <phoneticPr fontId="1" type="noConversion"/>
  </si>
  <si>
    <t>湖南、广东、广西、贵州、云南</t>
    <phoneticPr fontId="1" type="noConversion"/>
  </si>
  <si>
    <t>海南、广西、云南</t>
    <phoneticPr fontId="1" type="noConversion"/>
  </si>
  <si>
    <t>福建、江西、广东</t>
    <phoneticPr fontId="1" type="noConversion"/>
  </si>
  <si>
    <t>广东、广西、海南、贵州、云南</t>
    <phoneticPr fontId="1" type="noConversion"/>
  </si>
  <si>
    <t>1323</t>
    <phoneticPr fontId="1" type="noConversion"/>
  </si>
  <si>
    <t>菲特</t>
    <phoneticPr fontId="1" type="noConversion"/>
  </si>
  <si>
    <t>200余</t>
    <phoneticPr fontId="1" type="noConversion"/>
  </si>
  <si>
    <t>台湾、福建、山东</t>
    <phoneticPr fontId="1" type="noConversion"/>
  </si>
  <si>
    <t>近2600</t>
    <phoneticPr fontId="1" type="noConversion"/>
  </si>
  <si>
    <t>5800余</t>
    <phoneticPr fontId="1" type="noConversion"/>
  </si>
  <si>
    <t>1100余</t>
    <phoneticPr fontId="1" type="noConversion"/>
  </si>
  <si>
    <t>300余</t>
    <phoneticPr fontId="1" type="noConversion"/>
  </si>
  <si>
    <t>9900余</t>
    <phoneticPr fontId="1" type="noConversion"/>
  </si>
  <si>
    <t>8800余</t>
    <phoneticPr fontId="1" type="noConversion"/>
  </si>
  <si>
    <t>800余</t>
    <phoneticPr fontId="1" type="noConversion"/>
  </si>
  <si>
    <t>1700余</t>
    <phoneticPr fontId="1" type="noConversion"/>
  </si>
  <si>
    <t>福建</t>
    <phoneticPr fontId="1" type="noConversion"/>
  </si>
  <si>
    <t>上海、江苏、浙江、福建、江西</t>
    <phoneticPr fontId="1" type="noConversion"/>
  </si>
  <si>
    <t>5400余</t>
    <phoneticPr fontId="1" type="noConversion"/>
  </si>
  <si>
    <t>1617</t>
    <phoneticPr fontId="1" type="noConversion"/>
  </si>
  <si>
    <t>鲇鱼</t>
    <phoneticPr fontId="1" type="noConversion"/>
  </si>
  <si>
    <t>浙江、福建、江西</t>
    <phoneticPr fontId="1" type="noConversion"/>
  </si>
  <si>
    <t>1200余</t>
    <phoneticPr fontId="1" type="noConversion"/>
  </si>
  <si>
    <t>1621</t>
    <phoneticPr fontId="1" type="noConversion"/>
  </si>
  <si>
    <t>莎莉嘉</t>
    <phoneticPr fontId="1" type="noConversion"/>
  </si>
  <si>
    <t>海南、广西</t>
    <phoneticPr fontId="1" type="noConversion"/>
  </si>
  <si>
    <t>1622</t>
    <phoneticPr fontId="1" type="noConversion"/>
  </si>
  <si>
    <t>海马</t>
    <phoneticPr fontId="1" type="noConversion"/>
  </si>
  <si>
    <t>500余</t>
    <phoneticPr fontId="1" type="noConversion"/>
  </si>
  <si>
    <t>浙江、福建、上海、江苏</t>
    <phoneticPr fontId="1" type="noConversion"/>
  </si>
  <si>
    <t>8700余</t>
    <phoneticPr fontId="1" type="noConversion"/>
  </si>
  <si>
    <t>1305</t>
    <phoneticPr fontId="1" type="noConversion"/>
  </si>
  <si>
    <t>贝碧嘉</t>
    <phoneticPr fontId="1" type="noConversion"/>
  </si>
  <si>
    <t>1306</t>
    <phoneticPr fontId="1" type="noConversion"/>
  </si>
  <si>
    <t>1307</t>
    <phoneticPr fontId="1" type="noConversion"/>
  </si>
  <si>
    <t>1308</t>
    <phoneticPr fontId="1" type="noConversion"/>
  </si>
  <si>
    <t>1309</t>
    <phoneticPr fontId="1" type="noConversion"/>
  </si>
  <si>
    <t>1311</t>
    <phoneticPr fontId="1" type="noConversion"/>
  </si>
  <si>
    <t>1312</t>
    <phoneticPr fontId="1" type="noConversion"/>
  </si>
  <si>
    <t>1320</t>
    <phoneticPr fontId="1" type="noConversion"/>
  </si>
  <si>
    <t>天兔</t>
    <phoneticPr fontId="1" type="noConversion"/>
  </si>
  <si>
    <t>潭美</t>
    <phoneticPr fontId="1" type="noConversion"/>
  </si>
  <si>
    <t>飞燕</t>
    <phoneticPr fontId="1" type="noConversion"/>
  </si>
  <si>
    <t>尤特</t>
    <phoneticPr fontId="1" type="noConversion"/>
  </si>
  <si>
    <t>西马仑</t>
    <phoneticPr fontId="1" type="noConversion"/>
  </si>
  <si>
    <t>苏力</t>
    <phoneticPr fontId="1" type="noConversion"/>
  </si>
  <si>
    <t>温比亚</t>
    <phoneticPr fontId="1" type="noConversion"/>
  </si>
  <si>
    <t>广东、福建、江西、湖南、广西</t>
    <phoneticPr fontId="1" type="noConversion"/>
  </si>
  <si>
    <t>20000余</t>
    <phoneticPr fontId="1" type="noConversion"/>
  </si>
  <si>
    <t>广东、广西</t>
    <phoneticPr fontId="1" type="noConversion"/>
  </si>
  <si>
    <t>浙江、安徽、福建、江西、广东</t>
    <phoneticPr fontId="1" type="noConversion"/>
  </si>
  <si>
    <t>浙江、福建、江西、湖南、广东、广西</t>
    <phoneticPr fontId="1" type="noConversion"/>
  </si>
  <si>
    <t>广东、广西、湖南</t>
    <phoneticPr fontId="1" type="noConversion"/>
  </si>
  <si>
    <t>苗柏</t>
    <phoneticPr fontId="1" type="noConversion"/>
  </si>
  <si>
    <t>卡努</t>
    <phoneticPr fontId="1" type="noConversion"/>
  </si>
  <si>
    <t>广东、海南</t>
    <phoneticPr fontId="1" type="noConversion"/>
  </si>
  <si>
    <t>台湾、福建</t>
  </si>
  <si>
    <t>杜苏芮</t>
    <phoneticPr fontId="1" type="noConversion"/>
  </si>
  <si>
    <t>韦森特</t>
    <phoneticPr fontId="1" type="noConversion"/>
  </si>
  <si>
    <t>苏拉</t>
    <phoneticPr fontId="1" type="noConversion"/>
  </si>
  <si>
    <t>达维</t>
    <phoneticPr fontId="1" type="noConversion"/>
  </si>
  <si>
    <t>海葵</t>
    <phoneticPr fontId="1" type="noConversion"/>
  </si>
  <si>
    <t>启德</t>
    <phoneticPr fontId="1" type="noConversion"/>
  </si>
  <si>
    <t>天秤</t>
    <phoneticPr fontId="1" type="noConversion"/>
  </si>
  <si>
    <t>江苏</t>
    <phoneticPr fontId="1" type="noConversion"/>
  </si>
  <si>
    <t>台湾</t>
    <phoneticPr fontId="1" type="noConversion"/>
  </si>
  <si>
    <t>1206</t>
    <phoneticPr fontId="1" type="noConversion"/>
  </si>
  <si>
    <t>江苏、上海、浙江</t>
    <phoneticPr fontId="1" type="noConversion"/>
  </si>
  <si>
    <t>广东、广西</t>
  </si>
  <si>
    <t>浙江、福建</t>
    <phoneticPr fontId="1" type="noConversion"/>
  </si>
  <si>
    <t>河北、天津、山东、江苏</t>
    <phoneticPr fontId="1" type="noConversion"/>
  </si>
  <si>
    <t>海南、广东</t>
  </si>
  <si>
    <t>山东</t>
    <phoneticPr fontId="1" type="noConversion"/>
  </si>
  <si>
    <t>广东、海南、广西</t>
    <phoneticPr fontId="1" type="noConversion"/>
  </si>
  <si>
    <t>0903</t>
  </si>
  <si>
    <t>0904</t>
    <phoneticPr fontId="1" type="noConversion"/>
  </si>
  <si>
    <t>0905</t>
    <phoneticPr fontId="1" type="noConversion"/>
  </si>
  <si>
    <t>0906</t>
    <phoneticPr fontId="1" type="noConversion"/>
  </si>
  <si>
    <t>0907</t>
    <phoneticPr fontId="1" type="noConversion"/>
  </si>
  <si>
    <t>0908</t>
    <phoneticPr fontId="1" type="noConversion"/>
  </si>
  <si>
    <t>0913</t>
    <phoneticPr fontId="1" type="noConversion"/>
  </si>
  <si>
    <t>0915</t>
    <phoneticPr fontId="1" type="noConversion"/>
  </si>
  <si>
    <t>0916</t>
    <phoneticPr fontId="1" type="noConversion"/>
  </si>
  <si>
    <t>福建、浙江、江苏</t>
    <phoneticPr fontId="1" type="noConversion"/>
  </si>
  <si>
    <t>广东、广西、海南</t>
    <phoneticPr fontId="1" type="noConversion"/>
  </si>
  <si>
    <t>广西、海南</t>
    <phoneticPr fontId="1" type="noConversion"/>
  </si>
  <si>
    <t>香港、广东</t>
  </si>
  <si>
    <t>0801</t>
    <phoneticPr fontId="1" type="noConversion"/>
  </si>
  <si>
    <t>0806</t>
    <phoneticPr fontId="1" type="noConversion"/>
  </si>
  <si>
    <t>0807</t>
    <phoneticPr fontId="1" type="noConversion"/>
  </si>
  <si>
    <t>0808</t>
    <phoneticPr fontId="1" type="noConversion"/>
  </si>
  <si>
    <t>0809</t>
    <phoneticPr fontId="1" type="noConversion"/>
  </si>
  <si>
    <t>0812</t>
    <phoneticPr fontId="1" type="noConversion"/>
  </si>
  <si>
    <t>0813</t>
    <phoneticPr fontId="1" type="noConversion"/>
  </si>
  <si>
    <t>0814</t>
    <phoneticPr fontId="1" type="noConversion"/>
  </si>
  <si>
    <t>0815</t>
    <phoneticPr fontId="1" type="noConversion"/>
  </si>
  <si>
    <t>0817</t>
    <phoneticPr fontId="1" type="noConversion"/>
  </si>
  <si>
    <t>福建、江苏</t>
    <phoneticPr fontId="1" type="noConversion"/>
  </si>
  <si>
    <t>福建、浙江</t>
    <phoneticPr fontId="1" type="noConversion"/>
  </si>
  <si>
    <t>发生时间月份</t>
    <phoneticPr fontId="1" type="noConversion"/>
  </si>
  <si>
    <t>4月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</si>
  <si>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</si>
  <si>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</si>
  <si>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</si>
  <si>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</si>
  <si>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</si>
  <si>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桃芝</t>
  </si>
  <si>
    <t>帕布</t>
  </si>
  <si>
    <t>蝴蝶</t>
  </si>
  <si>
    <t>圣帕</t>
  </si>
  <si>
    <t>韦帕</t>
  </si>
  <si>
    <t>浙江</t>
  </si>
  <si>
    <t>范斯高</t>
  </si>
  <si>
    <t>罗莎</t>
  </si>
  <si>
    <t>海南、广西</t>
  </si>
  <si>
    <t>海南、广西</t>
    <phoneticPr fontId="1" type="noConversion"/>
  </si>
  <si>
    <t>台湾、香港、广东</t>
  </si>
  <si>
    <t>台湾、浙江、福建</t>
  </si>
  <si>
    <t>0703</t>
    <phoneticPr fontId="1" type="noConversion"/>
  </si>
  <si>
    <t>0707</t>
    <phoneticPr fontId="1" type="noConversion"/>
  </si>
  <si>
    <t>0708</t>
    <phoneticPr fontId="1" type="noConversion"/>
  </si>
  <si>
    <t>0709</t>
    <phoneticPr fontId="1" type="noConversion"/>
  </si>
  <si>
    <t>0713</t>
    <phoneticPr fontId="1" type="noConversion"/>
  </si>
  <si>
    <t>0714</t>
    <phoneticPr fontId="1" type="noConversion"/>
  </si>
  <si>
    <t>0716</t>
    <phoneticPr fontId="1" type="noConversion"/>
  </si>
  <si>
    <t>广东</t>
    <phoneticPr fontId="1" type="noConversion"/>
  </si>
  <si>
    <t>浙江、广东</t>
    <phoneticPr fontId="1" type="noConversion"/>
  </si>
  <si>
    <t>浙江</t>
    <phoneticPr fontId="1" type="noConversion"/>
  </si>
  <si>
    <t>海南</t>
    <phoneticPr fontId="1" type="noConversion"/>
  </si>
  <si>
    <t>缺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</si>
  <si>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</si>
  <si>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</si>
  <si>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</si>
  <si>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</si>
  <si>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0715</t>
    <phoneticPr fontId="1" type="noConversion"/>
  </si>
  <si>
    <t>利其马</t>
    <phoneticPr fontId="1" type="noConversion"/>
  </si>
  <si>
    <t>年份</t>
    <phoneticPr fontId="1" type="noConversion"/>
  </si>
  <si>
    <t>缺</t>
    <phoneticPr fontId="1" type="noConversion"/>
  </si>
  <si>
    <t>0917</t>
    <phoneticPr fontId="1" type="noConversion"/>
  </si>
  <si>
    <t>1007</t>
    <phoneticPr fontId="1" type="noConversion"/>
  </si>
  <si>
    <t>圆规</t>
    <phoneticPr fontId="1" type="noConversion"/>
  </si>
  <si>
    <t>山东、浙江</t>
    <phoneticPr fontId="1" type="noConversion"/>
  </si>
  <si>
    <t>1109</t>
    <phoneticPr fontId="1" type="noConversion"/>
  </si>
  <si>
    <t>梅花</t>
    <phoneticPr fontId="1" type="noConversion"/>
  </si>
  <si>
    <t>山东</t>
    <phoneticPr fontId="1" type="noConversion"/>
  </si>
  <si>
    <t>1205</t>
    <phoneticPr fontId="1" type="noConversion"/>
  </si>
  <si>
    <t>泰利</t>
    <phoneticPr fontId="1" type="noConversion"/>
  </si>
  <si>
    <t>福建、广东</t>
    <phoneticPr fontId="1" type="noConversion"/>
  </si>
  <si>
    <t>1215</t>
    <phoneticPr fontId="1" type="noConversion"/>
  </si>
  <si>
    <t>1223</t>
    <phoneticPr fontId="1" type="noConversion"/>
  </si>
  <si>
    <t>布拉万</t>
    <phoneticPr fontId="1" type="noConversion"/>
  </si>
  <si>
    <t>山神</t>
    <phoneticPr fontId="1" type="noConversion"/>
  </si>
  <si>
    <t>广西</t>
    <phoneticPr fontId="1" type="noConversion"/>
  </si>
  <si>
    <r>
      <t>GDP</t>
    </r>
    <r>
      <rPr>
        <sz val="11"/>
        <color theme="1"/>
        <rFont val="宋体"/>
        <family val="3"/>
        <charset val="134"/>
      </rPr>
      <t>（亿元）</t>
    </r>
    <phoneticPr fontId="1" type="noConversion"/>
  </si>
  <si>
    <t>福建</t>
    <phoneticPr fontId="1" type="noConversion"/>
  </si>
  <si>
    <t>上海、江苏、浙江、福建、江西</t>
    <phoneticPr fontId="1" type="noConversion"/>
  </si>
  <si>
    <t>5400余</t>
    <phoneticPr fontId="1" type="noConversion"/>
  </si>
  <si>
    <t>1617</t>
    <phoneticPr fontId="1" type="noConversion"/>
  </si>
  <si>
    <t>鲇鱼</t>
    <phoneticPr fontId="1" type="noConversion"/>
  </si>
  <si>
    <t>台湾、福建</t>
    <phoneticPr fontId="1" type="noConversion"/>
  </si>
  <si>
    <t>浙江、福建、江西</t>
    <phoneticPr fontId="1" type="noConversion"/>
  </si>
  <si>
    <t>1200余</t>
    <phoneticPr fontId="1" type="noConversion"/>
  </si>
  <si>
    <t>1621</t>
    <phoneticPr fontId="1" type="noConversion"/>
  </si>
  <si>
    <t>莎莉嘉</t>
    <phoneticPr fontId="1" type="noConversion"/>
  </si>
  <si>
    <t>海南、广西</t>
    <phoneticPr fontId="1" type="noConversion"/>
  </si>
  <si>
    <t>广东、广西、海南</t>
    <phoneticPr fontId="1" type="noConversion"/>
  </si>
  <si>
    <t>1100余</t>
    <phoneticPr fontId="1" type="noConversion"/>
  </si>
  <si>
    <t>1622</t>
    <phoneticPr fontId="1" type="noConversion"/>
  </si>
  <si>
    <t>海马</t>
    <phoneticPr fontId="1" type="noConversion"/>
  </si>
  <si>
    <t>广东</t>
    <phoneticPr fontId="1" type="noConversion"/>
  </si>
  <si>
    <t>500余</t>
    <phoneticPr fontId="1" type="noConversion"/>
  </si>
  <si>
    <t>苗柏</t>
    <phoneticPr fontId="1" type="noConversion"/>
  </si>
  <si>
    <t>福建、江西、广东</t>
    <phoneticPr fontId="1" type="noConversion"/>
  </si>
  <si>
    <t>卡努</t>
    <phoneticPr fontId="1" type="noConversion"/>
  </si>
  <si>
    <t>广东、海南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</si>
  <si>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</si>
  <si>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</si>
  <si>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</si>
  <si>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</si>
  <si>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</si>
  <si>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1326</t>
    <phoneticPr fontId="1" type="noConversion"/>
  </si>
  <si>
    <t>1330</t>
    <phoneticPr fontId="1" type="noConversion"/>
  </si>
  <si>
    <t>韦帕</t>
    <phoneticPr fontId="1" type="noConversion"/>
  </si>
  <si>
    <t>11月</t>
    <phoneticPr fontId="1" type="noConversion"/>
  </si>
  <si>
    <t>广西</t>
    <phoneticPr fontId="1" type="noConversion"/>
  </si>
  <si>
    <t>广东</t>
    <phoneticPr fontId="1" type="noConversion"/>
  </si>
  <si>
    <t>海燕</t>
    <phoneticPr fontId="1" type="noConversion"/>
  </si>
  <si>
    <t>浙江、福建</t>
    <phoneticPr fontId="1" type="noConversion"/>
  </si>
  <si>
    <t>福建</t>
    <phoneticPr fontId="1" type="noConversion"/>
  </si>
  <si>
    <t>广东、广西</t>
    <phoneticPr fontId="1" type="noConversion"/>
  </si>
  <si>
    <t>广东、广西、海南</t>
    <phoneticPr fontId="1" type="noConversion"/>
  </si>
  <si>
    <t>山东、福建</t>
    <phoneticPr fontId="1" type="noConversion"/>
  </si>
  <si>
    <t>江苏、浙江</t>
    <phoneticPr fontId="1" type="noConversion"/>
  </si>
  <si>
    <t>江苏、上海、浙江、福建</t>
    <phoneticPr fontId="1" type="noConversion"/>
  </si>
  <si>
    <t>江苏、浙江、福建</t>
    <phoneticPr fontId="1" type="noConversion"/>
  </si>
  <si>
    <t>派比安</t>
    <phoneticPr fontId="1" type="noConversion"/>
  </si>
  <si>
    <t>浙江、上海、江苏</t>
    <phoneticPr fontId="1" type="noConversion"/>
  </si>
  <si>
    <t>台湾</t>
    <phoneticPr fontId="1" type="noConversion"/>
  </si>
  <si>
    <t>桑美</t>
    <phoneticPr fontId="1" type="noConversion"/>
  </si>
  <si>
    <t>悟空</t>
    <phoneticPr fontId="1" type="noConversion"/>
  </si>
  <si>
    <t>海南</t>
    <phoneticPr fontId="1" type="noConversion"/>
  </si>
  <si>
    <t>碧利斯</t>
    <phoneticPr fontId="1" type="noConversion"/>
  </si>
  <si>
    <t>0010</t>
    <phoneticPr fontId="1" type="noConversion"/>
  </si>
  <si>
    <t>0012</t>
    <phoneticPr fontId="1" type="noConversion"/>
  </si>
  <si>
    <t>0014</t>
    <phoneticPr fontId="1" type="noConversion"/>
  </si>
  <si>
    <t>0016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</si>
  <si>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</si>
  <si>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</si>
  <si>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</si>
  <si>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0107</t>
    <phoneticPr fontId="1" type="noConversion"/>
  </si>
  <si>
    <t>0108</t>
    <phoneticPr fontId="1" type="noConversion"/>
  </si>
  <si>
    <t>0119</t>
    <phoneticPr fontId="1" type="noConversion"/>
  </si>
  <si>
    <t>飞燕</t>
    <phoneticPr fontId="1" type="noConversion"/>
  </si>
  <si>
    <t>榴莲</t>
    <phoneticPr fontId="1" type="noConversion"/>
  </si>
  <si>
    <t>尤特</t>
    <phoneticPr fontId="1" type="noConversion"/>
  </si>
  <si>
    <t>玉兔</t>
    <phoneticPr fontId="1" type="noConversion"/>
  </si>
  <si>
    <t>桃芝</t>
    <phoneticPr fontId="1" type="noConversion"/>
  </si>
  <si>
    <t>利奇马</t>
    <phoneticPr fontId="1" type="noConversion"/>
  </si>
  <si>
    <t>0214</t>
    <phoneticPr fontId="1" type="noConversion"/>
  </si>
  <si>
    <t>黄蜂</t>
    <phoneticPr fontId="1" type="noConversion"/>
  </si>
  <si>
    <t>森拉克</t>
    <phoneticPr fontId="1" type="noConversion"/>
  </si>
  <si>
    <t>0216</t>
    <phoneticPr fontId="1" type="noConversion"/>
  </si>
  <si>
    <t>浙江、福建、上海</t>
    <phoneticPr fontId="1" type="noConversion"/>
  </si>
  <si>
    <t>伊布都</t>
    <phoneticPr fontId="1" type="noConversion"/>
  </si>
  <si>
    <t>0307</t>
    <phoneticPr fontId="1" type="noConversion"/>
  </si>
  <si>
    <t>科罗旺</t>
    <phoneticPr fontId="1" type="noConversion"/>
  </si>
  <si>
    <t>0312</t>
    <phoneticPr fontId="1" type="noConversion"/>
  </si>
  <si>
    <t>杜鹃</t>
    <phoneticPr fontId="1" type="noConversion"/>
  </si>
  <si>
    <t>0313</t>
    <phoneticPr fontId="1" type="noConversion"/>
  </si>
  <si>
    <t>海南、广东、广西</t>
    <phoneticPr fontId="1" type="noConversion"/>
  </si>
  <si>
    <t>0414</t>
    <phoneticPr fontId="1" type="noConversion"/>
  </si>
  <si>
    <t>海棠</t>
    <phoneticPr fontId="1" type="noConversion"/>
  </si>
  <si>
    <t>0505</t>
    <phoneticPr fontId="1" type="noConversion"/>
  </si>
  <si>
    <t>福建、浙江</t>
    <phoneticPr fontId="1" type="noConversion"/>
  </si>
  <si>
    <t>天鹰</t>
    <phoneticPr fontId="1" type="noConversion"/>
  </si>
  <si>
    <t>0508</t>
    <phoneticPr fontId="1" type="noConversion"/>
  </si>
  <si>
    <t>麦莎</t>
    <phoneticPr fontId="1" type="noConversion"/>
  </si>
  <si>
    <t>0509</t>
    <phoneticPr fontId="1" type="noConversion"/>
  </si>
  <si>
    <t>浙江、上海、江苏、山东、天津、河北、辽宁</t>
    <phoneticPr fontId="1" type="noConversion"/>
  </si>
  <si>
    <t>珊瑚</t>
    <phoneticPr fontId="1" type="noConversion"/>
  </si>
  <si>
    <t>0510</t>
    <phoneticPr fontId="1" type="noConversion"/>
  </si>
  <si>
    <t>0513</t>
    <phoneticPr fontId="1" type="noConversion"/>
  </si>
  <si>
    <t>卡努</t>
    <phoneticPr fontId="1" type="noConversion"/>
  </si>
  <si>
    <t>0515</t>
    <phoneticPr fontId="1" type="noConversion"/>
  </si>
  <si>
    <t>浙江、上海、江苏、山东</t>
    <phoneticPr fontId="1" type="noConversion"/>
  </si>
  <si>
    <t>韦森特</t>
    <phoneticPr fontId="1" type="noConversion"/>
  </si>
  <si>
    <t>0516</t>
    <phoneticPr fontId="1" type="noConversion"/>
  </si>
  <si>
    <t>海南、广东</t>
    <phoneticPr fontId="1" type="noConversion"/>
  </si>
  <si>
    <t>达维</t>
    <phoneticPr fontId="1" type="noConversion"/>
  </si>
  <si>
    <t>0519</t>
    <phoneticPr fontId="1" type="noConversion"/>
  </si>
  <si>
    <t>龙王</t>
    <phoneticPr fontId="1" type="noConversion"/>
  </si>
  <si>
    <t>0601</t>
    <phoneticPr fontId="1" type="noConversion"/>
  </si>
  <si>
    <t>珍珠</t>
    <phoneticPr fontId="1" type="noConversion"/>
  </si>
  <si>
    <t>5月</t>
    <phoneticPr fontId="1" type="noConversion"/>
  </si>
  <si>
    <t>0604</t>
    <phoneticPr fontId="1" type="noConversion"/>
  </si>
  <si>
    <t>0606</t>
    <phoneticPr fontId="1" type="noConversion"/>
  </si>
  <si>
    <t>0608</t>
    <phoneticPr fontId="1" type="noConversion"/>
  </si>
  <si>
    <t>年份</t>
    <phoneticPr fontId="1" type="noConversion"/>
  </si>
  <si>
    <t>GDP（亿元）</t>
    <phoneticPr fontId="1" type="noConversion"/>
  </si>
  <si>
    <t>调整后的直接经济损失</t>
    <phoneticPr fontId="1" type="noConversion"/>
  </si>
  <si>
    <t>Statistic</t>
  </si>
  <si>
    <t>Value</t>
  </si>
  <si>
    <t>Min</t>
  </si>
  <si>
    <t>25% (Q1)</t>
  </si>
  <si>
    <t>50% (Median)</t>
  </si>
  <si>
    <t>75% (Q3)</t>
  </si>
  <si>
    <t>Max</t>
  </si>
  <si>
    <r>
      <t xml:space="preserve">Descriptive Statistics </t>
    </r>
    <r>
      <rPr>
        <b/>
        <sz val="11"/>
        <color theme="1"/>
        <rFont val="宋体"/>
        <family val="3"/>
        <charset val="134"/>
      </rPr>
      <t>描述性统计</t>
    </r>
    <phoneticPr fontId="1" type="noConversion"/>
  </si>
  <si>
    <r>
      <t xml:space="preserve">Skewness </t>
    </r>
    <r>
      <rPr>
        <sz val="11"/>
        <color rgb="FFFF0000"/>
        <rFont val="宋体"/>
        <family val="3"/>
        <charset val="134"/>
      </rPr>
      <t>偏度</t>
    </r>
    <phoneticPr fontId="1" type="noConversion"/>
  </si>
  <si>
    <r>
      <t xml:space="preserve">Std. Error </t>
    </r>
    <r>
      <rPr>
        <sz val="11"/>
        <color rgb="FFFF0000"/>
        <rFont val="宋体"/>
        <family val="3"/>
        <charset val="134"/>
      </rPr>
      <t>标准误</t>
    </r>
    <phoneticPr fontId="1" type="noConversion"/>
  </si>
  <si>
    <r>
      <t xml:space="preserve">Coef. of Variation </t>
    </r>
    <r>
      <rPr>
        <sz val="11"/>
        <color rgb="FFFF0000"/>
        <rFont val="宋体"/>
        <family val="3"/>
        <charset val="134"/>
      </rPr>
      <t>变动系数</t>
    </r>
    <phoneticPr fontId="1" type="noConversion"/>
  </si>
  <si>
    <r>
      <t xml:space="preserve">Std. Deviation </t>
    </r>
    <r>
      <rPr>
        <sz val="11"/>
        <color rgb="FFFF0000"/>
        <rFont val="宋体"/>
        <family val="3"/>
        <charset val="134"/>
      </rPr>
      <t>标准偏差</t>
    </r>
    <phoneticPr fontId="1" type="noConversion"/>
  </si>
  <si>
    <r>
      <t xml:space="preserve">Variance </t>
    </r>
    <r>
      <rPr>
        <sz val="11"/>
        <color rgb="FFFF0000"/>
        <rFont val="宋体"/>
        <family val="3"/>
        <charset val="134"/>
      </rPr>
      <t>方差</t>
    </r>
    <phoneticPr fontId="1" type="noConversion"/>
  </si>
  <si>
    <r>
      <t xml:space="preserve">Mean </t>
    </r>
    <r>
      <rPr>
        <sz val="11"/>
        <color rgb="FFFF0000"/>
        <rFont val="宋体"/>
        <family val="3"/>
        <charset val="134"/>
      </rPr>
      <t>均值</t>
    </r>
    <phoneticPr fontId="1" type="noConversion"/>
  </si>
  <si>
    <t>Percentile</t>
    <phoneticPr fontId="1" type="noConversion"/>
  </si>
  <si>
    <t>年台风发生次数</t>
  </si>
  <si>
    <t>年数</t>
    <phoneticPr fontId="1" type="noConversion"/>
  </si>
  <si>
    <t>年平均发生次数</t>
    <phoneticPr fontId="1" type="noConversion"/>
  </si>
  <si>
    <t>次数</t>
  </si>
  <si>
    <t>概率</t>
    <phoneticPr fontId="1" type="noConversion"/>
  </si>
  <si>
    <r>
      <t xml:space="preserve">Excess Kurtosis </t>
    </r>
    <r>
      <rPr>
        <sz val="11"/>
        <color rgb="FFFF0000"/>
        <rFont val="宋体"/>
        <family val="3"/>
        <charset val="134"/>
      </rPr>
      <t>峰度</t>
    </r>
    <phoneticPr fontId="1" type="noConversion"/>
  </si>
  <si>
    <t>调整后的直接经济损失(亿元)</t>
    <phoneticPr fontId="1" type="noConversion"/>
  </si>
  <si>
    <t>台风年发生次数</t>
    <phoneticPr fontId="1" type="noConversion"/>
  </si>
  <si>
    <t>卡方统计值</t>
    <phoneticPr fontId="1" type="noConversion"/>
  </si>
  <si>
    <t>理论频数（整体成整数）</t>
    <phoneticPr fontId="1" type="noConversion"/>
  </si>
  <si>
    <t>均值</t>
    <phoneticPr fontId="1" type="noConversion"/>
  </si>
  <si>
    <t>方差</t>
    <phoneticPr fontId="1" type="noConversion"/>
  </si>
  <si>
    <t>标准偏差</t>
    <phoneticPr fontId="1" type="noConversion"/>
  </si>
  <si>
    <t>变动系数</t>
    <phoneticPr fontId="1" type="noConversion"/>
  </si>
  <si>
    <t>标准误</t>
    <phoneticPr fontId="1" type="noConversion"/>
  </si>
  <si>
    <t>偏度</t>
    <phoneticPr fontId="1" type="noConversion"/>
  </si>
  <si>
    <t>峰度</t>
    <phoneticPr fontId="1" type="noConversion"/>
  </si>
  <si>
    <t>中位数</t>
    <phoneticPr fontId="1" type="noConversion"/>
  </si>
  <si>
    <r>
      <t>25%</t>
    </r>
    <r>
      <rPr>
        <sz val="11"/>
        <color theme="1"/>
        <rFont val="宋体"/>
        <family val="3"/>
        <charset val="134"/>
      </rPr>
      <t>分位数</t>
    </r>
    <phoneticPr fontId="1" type="noConversion"/>
  </si>
  <si>
    <r>
      <t>75%</t>
    </r>
    <r>
      <rPr>
        <sz val="11"/>
        <color theme="1"/>
        <rFont val="宋体"/>
        <family val="3"/>
        <charset val="134"/>
      </rPr>
      <t>分位数</t>
    </r>
    <phoneticPr fontId="1" type="noConversion"/>
  </si>
  <si>
    <t>年份</t>
    <phoneticPr fontId="1" type="noConversion"/>
  </si>
  <si>
    <t>发生次数</t>
    <phoneticPr fontId="1" type="noConversion"/>
  </si>
  <si>
    <t>Distribution</t>
  </si>
  <si>
    <t>Kolmogorov</t>
  </si>
  <si>
    <t>Smirnov</t>
  </si>
  <si>
    <t>Anderson</t>
  </si>
  <si>
    <t>Darling</t>
  </si>
  <si>
    <t>Rank</t>
  </si>
  <si>
    <t>Poisson</t>
  </si>
  <si>
    <t>Neg. Binomial</t>
  </si>
  <si>
    <t>Geometric</t>
  </si>
  <si>
    <t>D. Uniform</t>
  </si>
  <si>
    <t>Logarithmic</t>
  </si>
  <si>
    <t>泊松分布</t>
    <phoneticPr fontId="1" type="noConversion"/>
  </si>
  <si>
    <t>负二项式分布</t>
    <phoneticPr fontId="1" type="noConversion"/>
  </si>
  <si>
    <t>分布模型</t>
    <phoneticPr fontId="1" type="noConversion"/>
  </si>
  <si>
    <t>几何分布</t>
    <phoneticPr fontId="1" type="noConversion"/>
  </si>
  <si>
    <t>离散均匀分布</t>
    <phoneticPr fontId="1" type="noConversion"/>
  </si>
  <si>
    <t>对数分布</t>
    <phoneticPr fontId="1" type="noConversion"/>
  </si>
  <si>
    <t>统计量</t>
    <phoneticPr fontId="1" type="noConversion"/>
  </si>
  <si>
    <t>拒绝原假设？</t>
    <phoneticPr fontId="1" type="noConversion"/>
  </si>
  <si>
    <t>拒绝原假设</t>
    <phoneticPr fontId="1" type="noConversion"/>
  </si>
  <si>
    <t>不拒绝</t>
    <phoneticPr fontId="1" type="noConversion"/>
  </si>
  <si>
    <t>拒绝</t>
    <phoneticPr fontId="1" type="noConversion"/>
  </si>
  <si>
    <r>
      <t>k-s</t>
    </r>
    <r>
      <rPr>
        <sz val="11"/>
        <color theme="1"/>
        <rFont val="宋体"/>
        <family val="3"/>
        <charset val="134"/>
      </rPr>
      <t>检验</t>
    </r>
    <phoneticPr fontId="1" type="noConversion"/>
  </si>
  <si>
    <r>
      <t>AD</t>
    </r>
    <r>
      <rPr>
        <sz val="11"/>
        <color theme="1"/>
        <rFont val="宋体"/>
        <family val="3"/>
        <charset val="134"/>
      </rPr>
      <t>检验</t>
    </r>
    <phoneticPr fontId="1" type="noConversion"/>
  </si>
  <si>
    <t>分布函数</t>
    <phoneticPr fontId="1" type="noConversion"/>
  </si>
  <si>
    <t>统计量</t>
    <phoneticPr fontId="1" type="noConversion"/>
  </si>
  <si>
    <t>拒绝原假设？</t>
    <phoneticPr fontId="1" type="noConversion"/>
  </si>
  <si>
    <t>不能拒绝</t>
    <phoneticPr fontId="1" type="noConversion"/>
  </si>
  <si>
    <t>拒绝</t>
    <phoneticPr fontId="1" type="noConversion"/>
  </si>
  <si>
    <r>
      <t>k-s</t>
    </r>
    <r>
      <rPr>
        <sz val="11"/>
        <color theme="1"/>
        <rFont val="宋体"/>
        <family val="3"/>
        <charset val="134"/>
      </rPr>
      <t>检测</t>
    </r>
    <phoneticPr fontId="1" type="noConversion"/>
  </si>
  <si>
    <r>
      <t>AD</t>
    </r>
    <r>
      <rPr>
        <sz val="11"/>
        <color theme="1"/>
        <rFont val="宋体"/>
        <family val="3"/>
        <charset val="134"/>
      </rPr>
      <t>检测</t>
    </r>
    <phoneticPr fontId="1" type="noConversion"/>
  </si>
  <si>
    <t>卡方检测</t>
    <phoneticPr fontId="1" type="noConversion"/>
  </si>
  <si>
    <t>对数正态</t>
    <phoneticPr fontId="1" type="noConversion"/>
  </si>
  <si>
    <t>伽玛</t>
    <phoneticPr fontId="1" type="noConversion"/>
  </si>
  <si>
    <t>帕累托</t>
    <phoneticPr fontId="1" type="noConversion"/>
  </si>
  <si>
    <t>韦布尔</t>
    <phoneticPr fontId="1" type="noConversion"/>
  </si>
  <si>
    <t>对数逻辑</t>
    <phoneticPr fontId="1" type="noConversion"/>
  </si>
  <si>
    <t>四参数波尔</t>
    <phoneticPr fontId="1" type="noConversion"/>
  </si>
  <si>
    <t>对数皮尔逊</t>
    <phoneticPr fontId="1" type="noConversion"/>
  </si>
  <si>
    <t>a</t>
    <phoneticPr fontId="1" type="noConversion"/>
  </si>
  <si>
    <t>R</t>
    <phoneticPr fontId="1" type="noConversion"/>
  </si>
  <si>
    <t>P</t>
    <phoneticPr fontId="1" type="noConversion"/>
  </si>
  <si>
    <t>b</t>
    <phoneticPr fontId="1" type="noConversion"/>
  </si>
  <si>
    <t>E(N)</t>
    <phoneticPr fontId="1" type="noConversion"/>
  </si>
  <si>
    <t>E(X)</t>
    <phoneticPr fontId="1" type="noConversion"/>
  </si>
  <si>
    <t>E(S)</t>
    <phoneticPr fontId="1" type="noConversion"/>
  </si>
  <si>
    <t>泊松</t>
    <phoneticPr fontId="1" type="noConversion"/>
  </si>
  <si>
    <t>VAR(N)</t>
    <phoneticPr fontId="1" type="noConversion"/>
  </si>
  <si>
    <t>VAR(X)</t>
    <phoneticPr fontId="1" type="noConversion"/>
  </si>
  <si>
    <t>VAR(S)</t>
    <phoneticPr fontId="1" type="noConversion"/>
  </si>
  <si>
    <t>负二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</si>
</sst>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.5"/>
      <color rgb="FF000000"/>
      <name val="宋体"/>
      <family val="3"/>
      <charset val="134"/>
      <scheme val="minor"/>
    </font>
    <font>
      <sz val="11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2060"/>
      <name val="宋体"/>
      <family val="3"/>
      <charset val="134"/>
      <scheme val="minor"/>
    </font>
    <font>
      <sz val="11.5"/>
      <color rgb="FF00206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u/>
      <sz val="11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0" fillId="0" borderId="0" xfId="0" applyNumberFormat="1"/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0" fontId="2" fillId="0" borderId="8" xfId="0" applyFont="1" applyBorder="1" applyAlignment="1">
      <alignment vertical="center" wrapText="1"/>
    </xf>
    <xf numFmtId="49" fontId="2" fillId="0" borderId="8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/>
    <xf numFmtId="49" fontId="7" fillId="0" borderId="8" xfId="0" applyNumberFormat="1" applyFont="1" applyBorder="1"/>
    <xf numFmtId="49" fontId="0" fillId="0" borderId="8" xfId="0" applyNumberFormat="1" applyBorder="1"/>
    <xf numFmtId="49" fontId="7" fillId="0" borderId="0" xfId="0" applyNumberFormat="1" applyFont="1"/>
    <xf numFmtId="0" fontId="0" fillId="0" borderId="0" xfId="0" applyNumberFormat="1"/>
    <xf numFmtId="0" fontId="7" fillId="0" borderId="8" xfId="0" applyFont="1" applyBorder="1" applyAlignment="1">
      <alignment wrapText="1"/>
    </xf>
    <xf numFmtId="9" fontId="0" fillId="0" borderId="8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7" fillId="0" borderId="8" xfId="0" applyFont="1" applyBorder="1"/>
    <xf numFmtId="0" fontId="14" fillId="0" borderId="9" xfId="0" applyFont="1" applyBorder="1" applyAlignment="1">
      <alignment horizontal="center" wrapText="1"/>
    </xf>
    <xf numFmtId="0" fontId="15" fillId="0" borderId="9" xfId="1" applyBorder="1" applyAlignment="1" applyProtection="1">
      <alignment wrapText="1"/>
    </xf>
    <xf numFmtId="0" fontId="10" fillId="2" borderId="0" xfId="0" applyFont="1" applyFill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10" xfId="1" applyBorder="1" applyAlignment="1" applyProtection="1">
      <alignment horizontal="center" wrapText="1"/>
    </xf>
    <xf numFmtId="0" fontId="15" fillId="0" borderId="11" xfId="1" applyBorder="1" applyAlignment="1" applyProtection="1">
      <alignment horizontal="center" wrapText="1"/>
    </xf>
    <xf numFmtId="0" fontId="15" fillId="0" borderId="12" xfId="1" applyBorder="1" applyAlignment="1" applyProtection="1">
      <alignment horizontal="center" wrapText="1"/>
    </xf>
    <xf numFmtId="0" fontId="15" fillId="0" borderId="13" xfId="1" applyBorder="1" applyAlignment="1" applyProtection="1">
      <alignment horizontal="center" wrapText="1"/>
    </xf>
    <xf numFmtId="0" fontId="15" fillId="0" borderId="14" xfId="1" applyBorder="1" applyAlignment="1" applyProtection="1">
      <alignment horizontal="center" wrapText="1"/>
    </xf>
    <xf numFmtId="0" fontId="15" fillId="0" borderId="15" xfId="1" applyBorder="1" applyAlignment="1" applyProtection="1">
      <alignment horizontal="center" wrapText="1"/>
    </xf>
    <xf numFmtId="0" fontId="15" fillId="0" borderId="16" xfId="1" applyBorder="1" applyAlignment="1" applyProtection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unsaved://ThtmlViewer.htm/orderBy=AD|Ranks%20the%20table." TargetMode="External"/><Relationship Id="rId2" Type="http://schemas.openxmlformats.org/officeDocument/2006/relationships/hyperlink" Target="unsaved://ThtmlViewer.htm/orderBy=KS|Ranks%20the%20table." TargetMode="External"/><Relationship Id="rId1" Type="http://schemas.openxmlformats.org/officeDocument/2006/relationships/hyperlink" Target="unsaved://ThtmlViewer.htm/orderBy=KS|Ranks%20the%20table.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unsaved://ThtmlViewer.htm/orderBy=Name|Ranks%20the%20table." TargetMode="External"/><Relationship Id="rId4" Type="http://schemas.openxmlformats.org/officeDocument/2006/relationships/hyperlink" Target="unsaved://ThtmlViewer.htm/orderBy=AD|Ranks%20the%20table.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A2" sqref="A2"/>
    </sheetView>
  </sheetViews>
  <sheetFormatPr defaultRowHeight="14.25"/>
  <sheetData>
    <row r="1" spans="1:11" s="1" customFormat="1" ht="13.5">
      <c r="A1" s="1">
        <v>2013</v>
      </c>
      <c r="B1" s="2" t="s">
        <v>125</v>
      </c>
      <c r="C1" s="1" t="s">
        <v>126</v>
      </c>
      <c r="E1" s="1" t="s">
        <v>49</v>
      </c>
      <c r="F1" s="1" t="s">
        <v>49</v>
      </c>
      <c r="G1" s="1">
        <v>200</v>
      </c>
      <c r="H1" s="1">
        <v>20.2</v>
      </c>
      <c r="I1" s="1">
        <v>0</v>
      </c>
      <c r="J1" s="1">
        <v>0.02</v>
      </c>
      <c r="K1" s="1" t="s">
        <v>67</v>
      </c>
    </row>
    <row r="2" spans="1:11" s="1" customFormat="1" ht="27">
      <c r="A2" s="1">
        <v>2013</v>
      </c>
      <c r="B2" s="2" t="s">
        <v>127</v>
      </c>
      <c r="C2" s="1" t="s">
        <v>140</v>
      </c>
      <c r="E2" s="1" t="s">
        <v>46</v>
      </c>
      <c r="F2" s="1" t="s">
        <v>143</v>
      </c>
      <c r="G2" s="1">
        <v>10.5</v>
      </c>
      <c r="H2" s="1">
        <v>179.5</v>
      </c>
      <c r="I2" s="1">
        <v>0</v>
      </c>
      <c r="J2" s="1">
        <v>123</v>
      </c>
      <c r="K2" s="1">
        <v>1400</v>
      </c>
    </row>
    <row r="3" spans="1:11" s="1" customFormat="1" ht="54">
      <c r="A3" s="1">
        <v>2013</v>
      </c>
      <c r="B3" s="2" t="s">
        <v>128</v>
      </c>
      <c r="C3" s="1" t="s">
        <v>139</v>
      </c>
      <c r="E3" s="1" t="s">
        <v>44</v>
      </c>
      <c r="F3" s="1" t="s">
        <v>144</v>
      </c>
      <c r="G3" s="1">
        <v>9.84</v>
      </c>
      <c r="H3" s="1">
        <v>167.7</v>
      </c>
      <c r="I3" s="1">
        <v>3</v>
      </c>
      <c r="J3" s="1">
        <v>43.1</v>
      </c>
      <c r="K3" s="1">
        <v>2600</v>
      </c>
    </row>
    <row r="4" spans="1:11" s="1" customFormat="1" ht="13.5">
      <c r="A4" s="1">
        <v>2013</v>
      </c>
      <c r="B4" s="2" t="s">
        <v>129</v>
      </c>
      <c r="C4" s="1" t="s">
        <v>138</v>
      </c>
      <c r="E4" s="1" t="s">
        <v>110</v>
      </c>
      <c r="F4" s="1" t="s">
        <v>110</v>
      </c>
      <c r="G4" s="1">
        <v>27.3</v>
      </c>
      <c r="H4" s="1">
        <v>30.6</v>
      </c>
      <c r="I4" s="1">
        <v>4</v>
      </c>
      <c r="J4" s="1">
        <v>20.6</v>
      </c>
      <c r="K4" s="1">
        <v>1600</v>
      </c>
    </row>
    <row r="5" spans="1:11" s="1" customFormat="1" ht="27">
      <c r="A5" s="1">
        <v>2013</v>
      </c>
      <c r="B5" s="2" t="s">
        <v>130</v>
      </c>
      <c r="C5" s="1" t="s">
        <v>136</v>
      </c>
      <c r="E5" s="1" t="s">
        <v>49</v>
      </c>
      <c r="F5" s="1" t="s">
        <v>93</v>
      </c>
      <c r="G5" s="1">
        <v>2.3199999999999998</v>
      </c>
      <c r="H5" s="1">
        <v>76.599999999999994</v>
      </c>
      <c r="I5" s="1">
        <v>0</v>
      </c>
      <c r="J5" s="1">
        <v>238.5</v>
      </c>
      <c r="K5" s="1">
        <v>500</v>
      </c>
    </row>
    <row r="6" spans="1:11" s="1" customFormat="1" ht="27">
      <c r="A6" s="1">
        <v>2013</v>
      </c>
      <c r="B6" s="2" t="s">
        <v>131</v>
      </c>
      <c r="C6" s="1" t="s">
        <v>137</v>
      </c>
      <c r="E6" s="1" t="s">
        <v>46</v>
      </c>
      <c r="F6" s="1" t="s">
        <v>146</v>
      </c>
      <c r="G6" s="1">
        <v>159.19999999999999</v>
      </c>
      <c r="H6" s="1">
        <v>1024.2</v>
      </c>
      <c r="I6" s="1">
        <v>88</v>
      </c>
      <c r="J6" s="1">
        <v>461.5</v>
      </c>
      <c r="K6" s="1">
        <v>79700</v>
      </c>
    </row>
    <row r="7" spans="1:11" s="1" customFormat="1" ht="67.5">
      <c r="A7" s="1">
        <v>2013</v>
      </c>
      <c r="B7" s="2" t="s">
        <v>132</v>
      </c>
      <c r="C7" s="1" t="s">
        <v>135</v>
      </c>
      <c r="E7" s="1" t="s">
        <v>110</v>
      </c>
      <c r="F7" s="1" t="s">
        <v>145</v>
      </c>
      <c r="G7" s="1">
        <v>33.49</v>
      </c>
      <c r="H7" s="1">
        <v>295.7</v>
      </c>
      <c r="I7" s="1">
        <v>3</v>
      </c>
      <c r="J7" s="1">
        <v>110.3</v>
      </c>
      <c r="K7" s="1">
        <v>2900</v>
      </c>
    </row>
    <row r="8" spans="1:11" s="1" customFormat="1" ht="54">
      <c r="A8" s="1">
        <v>2013</v>
      </c>
      <c r="B8" s="2" t="s">
        <v>133</v>
      </c>
      <c r="C8" s="1" t="s">
        <v>134</v>
      </c>
      <c r="E8" s="1" t="s">
        <v>46</v>
      </c>
      <c r="F8" s="1" t="s">
        <v>141</v>
      </c>
      <c r="G8" s="1">
        <v>234.97</v>
      </c>
      <c r="H8" s="1">
        <v>1138.2</v>
      </c>
      <c r="I8" s="1">
        <v>35</v>
      </c>
      <c r="J8" s="1">
        <v>725.8</v>
      </c>
      <c r="K8" s="1" t="s">
        <v>142</v>
      </c>
    </row>
    <row r="9" spans="1:11" s="1" customFormat="1" ht="40.5">
      <c r="A9" s="1">
        <v>2013</v>
      </c>
      <c r="B9" s="2" t="s">
        <v>98</v>
      </c>
      <c r="C9" s="1" t="s">
        <v>99</v>
      </c>
      <c r="E9" s="1" t="s">
        <v>110</v>
      </c>
      <c r="F9" s="1" t="s">
        <v>123</v>
      </c>
      <c r="G9" s="1">
        <f>365.4+44.3</f>
        <v>409.7</v>
      </c>
      <c r="H9" s="1">
        <v>1094.3</v>
      </c>
      <c r="I9" s="1">
        <v>10</v>
      </c>
      <c r="J9" s="1">
        <f>600.9+27</f>
        <v>627.9</v>
      </c>
      <c r="K9" s="1" t="s">
        <v>124</v>
      </c>
    </row>
    <row r="10" spans="1:11" s="1" customFormat="1" ht="27">
      <c r="A10" s="1">
        <v>2014</v>
      </c>
      <c r="B10" s="2" t="s">
        <v>64</v>
      </c>
      <c r="C10" s="1" t="s">
        <v>65</v>
      </c>
      <c r="E10" s="1" t="s">
        <v>46</v>
      </c>
      <c r="F10" s="1" t="s">
        <v>75</v>
      </c>
      <c r="G10" s="1">
        <f>7.4+0.74</f>
        <v>8.14</v>
      </c>
      <c r="H10" s="1">
        <f>25.4+10.2</f>
        <v>35.599999999999994</v>
      </c>
      <c r="I10" s="1">
        <v>0</v>
      </c>
      <c r="J10" s="1">
        <f>4.3+18.8</f>
        <v>23.1</v>
      </c>
      <c r="K10" s="1" t="s">
        <v>100</v>
      </c>
    </row>
    <row r="11" spans="1:11" s="1" customFormat="1" ht="40.5">
      <c r="A11" s="1">
        <v>2014</v>
      </c>
      <c r="B11" s="2" t="s">
        <v>79</v>
      </c>
      <c r="C11" s="1" t="s">
        <v>80</v>
      </c>
      <c r="E11" s="1" t="s">
        <v>76</v>
      </c>
      <c r="F11" s="3" t="s">
        <v>82</v>
      </c>
      <c r="G11" s="4">
        <v>384.8</v>
      </c>
      <c r="H11" s="4">
        <f>1107.3+37.3</f>
        <v>1144.5999999999999</v>
      </c>
      <c r="I11" s="1">
        <v>76</v>
      </c>
      <c r="J11" s="4">
        <v>1913.9</v>
      </c>
      <c r="K11" s="1">
        <v>40000</v>
      </c>
    </row>
    <row r="12" spans="1:11" s="1" customFormat="1" ht="81">
      <c r="A12" s="1">
        <v>2014</v>
      </c>
      <c r="B12" s="2" t="s">
        <v>84</v>
      </c>
      <c r="C12" s="1" t="s">
        <v>83</v>
      </c>
      <c r="E12" s="1" t="s">
        <v>101</v>
      </c>
      <c r="F12" s="3" t="s">
        <v>81</v>
      </c>
      <c r="G12" s="4">
        <v>33.700000000000003</v>
      </c>
      <c r="H12" s="1">
        <v>254.3</v>
      </c>
      <c r="I12" s="4">
        <v>13</v>
      </c>
      <c r="J12" s="4">
        <v>190.2</v>
      </c>
      <c r="K12" s="1" t="s">
        <v>102</v>
      </c>
    </row>
    <row r="13" spans="1:11" s="1" customFormat="1" ht="54">
      <c r="A13" s="1">
        <v>2014</v>
      </c>
      <c r="B13" s="2" t="s">
        <v>85</v>
      </c>
      <c r="C13" s="1" t="s">
        <v>86</v>
      </c>
      <c r="E13" s="1" t="s">
        <v>87</v>
      </c>
      <c r="F13" s="1" t="s">
        <v>97</v>
      </c>
      <c r="G13" s="1">
        <v>176.7</v>
      </c>
      <c r="H13" s="1">
        <v>952.4</v>
      </c>
      <c r="I13" s="1">
        <v>11</v>
      </c>
      <c r="J13" s="1">
        <v>884.9</v>
      </c>
      <c r="K13" s="1" t="s">
        <v>103</v>
      </c>
    </row>
    <row r="14" spans="1:11" s="1" customFormat="1" ht="40.5">
      <c r="A14" s="1">
        <v>2014</v>
      </c>
      <c r="B14" s="2" t="s">
        <v>89</v>
      </c>
      <c r="C14" s="1" t="s">
        <v>88</v>
      </c>
      <c r="E14" s="1" t="s">
        <v>90</v>
      </c>
      <c r="F14" s="1" t="s">
        <v>48</v>
      </c>
      <c r="G14" s="1">
        <v>9.5</v>
      </c>
      <c r="H14" s="1">
        <v>125.4</v>
      </c>
      <c r="I14" s="1">
        <v>0</v>
      </c>
      <c r="J14" s="4">
        <v>39.5</v>
      </c>
      <c r="K14" s="1">
        <v>60</v>
      </c>
    </row>
    <row r="15" spans="1:11" s="1" customFormat="1" ht="27">
      <c r="A15" s="1">
        <v>2015</v>
      </c>
      <c r="B15" s="2" t="s">
        <v>51</v>
      </c>
      <c r="C15" s="1" t="s">
        <v>52</v>
      </c>
      <c r="E15" s="1" t="s">
        <v>49</v>
      </c>
      <c r="F15" s="1" t="s">
        <v>76</v>
      </c>
      <c r="G15" s="1">
        <v>0.7</v>
      </c>
      <c r="H15" s="1">
        <v>9</v>
      </c>
      <c r="J15" s="1">
        <v>1.8</v>
      </c>
      <c r="K15" s="1">
        <v>2000</v>
      </c>
    </row>
    <row r="16" spans="1:11" s="1" customFormat="1" ht="67.5">
      <c r="A16" s="1">
        <v>2015</v>
      </c>
      <c r="B16" s="2" t="s">
        <v>53</v>
      </c>
      <c r="C16" s="1" t="s">
        <v>56</v>
      </c>
      <c r="E16" s="1" t="s">
        <v>48</v>
      </c>
      <c r="F16" s="1" t="s">
        <v>91</v>
      </c>
      <c r="G16" s="1">
        <v>91.4</v>
      </c>
      <c r="H16" s="1">
        <v>352.8</v>
      </c>
      <c r="I16" s="1">
        <v>0</v>
      </c>
      <c r="J16" s="1">
        <v>272.89999999999998</v>
      </c>
      <c r="K16" s="1" t="s">
        <v>104</v>
      </c>
    </row>
    <row r="17" spans="1:11" s="1" customFormat="1" ht="27">
      <c r="A17" s="1">
        <v>2015</v>
      </c>
      <c r="B17" s="2" t="s">
        <v>54</v>
      </c>
      <c r="C17" s="1" t="s">
        <v>55</v>
      </c>
      <c r="E17" s="1" t="s">
        <v>46</v>
      </c>
      <c r="F17" s="1" t="s">
        <v>75</v>
      </c>
      <c r="G17" s="1">
        <v>12.99</v>
      </c>
      <c r="H17" s="1">
        <v>165.2</v>
      </c>
      <c r="I17" s="1">
        <v>0</v>
      </c>
      <c r="J17" s="1">
        <v>46.5</v>
      </c>
      <c r="K17" s="1" t="s">
        <v>105</v>
      </c>
    </row>
    <row r="18" spans="1:11" s="1" customFormat="1" ht="54">
      <c r="A18" s="1">
        <v>2015</v>
      </c>
      <c r="B18" s="2" t="s">
        <v>57</v>
      </c>
      <c r="C18" s="1" t="s">
        <v>60</v>
      </c>
      <c r="E18" s="1" t="s">
        <v>44</v>
      </c>
      <c r="F18" s="1" t="s">
        <v>92</v>
      </c>
      <c r="G18" s="1">
        <v>181.9</v>
      </c>
      <c r="H18" s="1">
        <v>773.6</v>
      </c>
      <c r="I18" s="1">
        <f>26+7</f>
        <v>33</v>
      </c>
      <c r="J18" s="1">
        <v>483.6</v>
      </c>
      <c r="K18" s="1" t="s">
        <v>106</v>
      </c>
    </row>
    <row r="19" spans="1:11" s="1" customFormat="1" ht="27">
      <c r="A19" s="1">
        <v>2015</v>
      </c>
      <c r="B19" s="2" t="s">
        <v>58</v>
      </c>
      <c r="C19" s="1" t="s">
        <v>61</v>
      </c>
      <c r="E19" s="1" t="s">
        <v>44</v>
      </c>
      <c r="F19" s="1" t="s">
        <v>74</v>
      </c>
      <c r="G19" s="1">
        <v>14</v>
      </c>
      <c r="H19" s="1">
        <v>99</v>
      </c>
      <c r="I19" s="1">
        <v>0</v>
      </c>
      <c r="J19" s="1">
        <v>57.24</v>
      </c>
      <c r="K19" s="1" t="s">
        <v>67</v>
      </c>
    </row>
    <row r="20" spans="1:11" s="1" customFormat="1" ht="27">
      <c r="A20" s="1">
        <v>2015</v>
      </c>
      <c r="B20" s="2" t="s">
        <v>62</v>
      </c>
      <c r="C20" s="1" t="s">
        <v>63</v>
      </c>
      <c r="E20" s="1" t="s">
        <v>46</v>
      </c>
      <c r="F20" s="1" t="s">
        <v>93</v>
      </c>
      <c r="G20" s="4">
        <v>266.39999999999998</v>
      </c>
      <c r="H20" s="4">
        <v>747.9</v>
      </c>
      <c r="I20" s="1">
        <f>19+5</f>
        <v>24</v>
      </c>
      <c r="J20" s="4">
        <v>562.29999999999995</v>
      </c>
      <c r="K20" s="4" t="s">
        <v>107</v>
      </c>
    </row>
    <row r="21" spans="1:11" s="1" customFormat="1" ht="27">
      <c r="A21" s="1">
        <v>2016</v>
      </c>
      <c r="B21" s="2" t="s">
        <v>43</v>
      </c>
      <c r="C21" s="1" t="s">
        <v>59</v>
      </c>
      <c r="E21" s="1" t="s">
        <v>44</v>
      </c>
      <c r="F21" s="1" t="s">
        <v>96</v>
      </c>
      <c r="G21" s="1">
        <v>84</v>
      </c>
      <c r="H21" s="4">
        <v>79.400000000000006</v>
      </c>
      <c r="I21" s="1">
        <f>69+6</f>
        <v>75</v>
      </c>
      <c r="J21" s="4">
        <v>28.1</v>
      </c>
      <c r="K21" s="1">
        <v>16000</v>
      </c>
    </row>
    <row r="22" spans="1:11" s="1" customFormat="1" ht="27">
      <c r="A22" s="1">
        <v>2016</v>
      </c>
      <c r="B22" s="2" t="s">
        <v>72</v>
      </c>
      <c r="C22" s="1" t="s">
        <v>73</v>
      </c>
      <c r="E22" s="1" t="s">
        <v>49</v>
      </c>
      <c r="F22" s="1" t="s">
        <v>95</v>
      </c>
      <c r="G22" s="1">
        <v>1.9</v>
      </c>
      <c r="H22" s="4">
        <v>30.7</v>
      </c>
      <c r="I22" s="1">
        <v>0</v>
      </c>
      <c r="J22" s="4">
        <v>2.2999999999999998</v>
      </c>
      <c r="K22" s="1" t="s">
        <v>67</v>
      </c>
    </row>
    <row r="23" spans="1:11" s="1" customFormat="1" ht="54">
      <c r="A23" s="1">
        <v>2016</v>
      </c>
      <c r="B23" s="2" t="s">
        <v>45</v>
      </c>
      <c r="C23" s="1" t="s">
        <v>68</v>
      </c>
      <c r="E23" s="1" t="s">
        <v>46</v>
      </c>
      <c r="F23" s="1" t="s">
        <v>94</v>
      </c>
      <c r="G23" s="1">
        <v>8.1999999999999993</v>
      </c>
      <c r="H23" s="4">
        <v>79.900000000000006</v>
      </c>
      <c r="I23" s="1">
        <v>1</v>
      </c>
      <c r="J23" s="4">
        <v>39.1</v>
      </c>
      <c r="K23" s="1" t="s">
        <v>108</v>
      </c>
    </row>
    <row r="24" spans="1:11" s="1" customFormat="1" ht="40.5">
      <c r="A24" s="1">
        <v>2016</v>
      </c>
      <c r="B24" s="2" t="s">
        <v>70</v>
      </c>
      <c r="C24" s="1" t="s">
        <v>71</v>
      </c>
      <c r="E24" s="1" t="s">
        <v>46</v>
      </c>
      <c r="F24" s="1" t="s">
        <v>82</v>
      </c>
      <c r="G24" s="1">
        <v>17.7</v>
      </c>
      <c r="H24" s="1">
        <v>110.3</v>
      </c>
      <c r="I24" s="1">
        <f>3+3</f>
        <v>6</v>
      </c>
      <c r="J24" s="1">
        <v>50.2</v>
      </c>
      <c r="K24" s="1" t="s">
        <v>109</v>
      </c>
    </row>
    <row r="25" spans="1:11" s="1" customFormat="1" ht="54">
      <c r="A25" s="1">
        <v>2016</v>
      </c>
      <c r="B25" s="2" t="s">
        <v>47</v>
      </c>
      <c r="C25" s="1" t="s">
        <v>10</v>
      </c>
      <c r="E25" s="1" t="s">
        <v>110</v>
      </c>
      <c r="F25" s="1" t="s">
        <v>111</v>
      </c>
      <c r="G25" s="1">
        <v>117.1</v>
      </c>
      <c r="H25" s="1">
        <v>248</v>
      </c>
      <c r="I25" s="1">
        <f>29+15</f>
        <v>44</v>
      </c>
      <c r="J25" s="1">
        <v>98</v>
      </c>
      <c r="K25" s="1" t="s">
        <v>112</v>
      </c>
    </row>
    <row r="26" spans="1:11" s="1" customFormat="1" ht="27">
      <c r="A26" s="1">
        <v>2016</v>
      </c>
      <c r="B26" s="2" t="s">
        <v>113</v>
      </c>
      <c r="C26" s="1" t="s">
        <v>114</v>
      </c>
      <c r="E26" s="1" t="s">
        <v>44</v>
      </c>
      <c r="F26" s="5" t="s">
        <v>115</v>
      </c>
      <c r="G26" s="1">
        <v>55.3</v>
      </c>
      <c r="H26" s="1">
        <v>209</v>
      </c>
      <c r="I26" s="1">
        <v>39</v>
      </c>
      <c r="J26" s="1">
        <v>80.900000000000006</v>
      </c>
      <c r="K26" s="1" t="s">
        <v>116</v>
      </c>
    </row>
    <row r="27" spans="1:11" s="1" customFormat="1" ht="29.25" customHeight="1">
      <c r="A27" s="1">
        <v>2016</v>
      </c>
      <c r="B27" s="2" t="s">
        <v>117</v>
      </c>
      <c r="C27" s="1" t="s">
        <v>118</v>
      </c>
      <c r="E27" s="1" t="s">
        <v>119</v>
      </c>
      <c r="F27" s="3" t="s">
        <v>93</v>
      </c>
      <c r="G27" s="1">
        <v>54.9</v>
      </c>
      <c r="H27" s="1">
        <v>374.3</v>
      </c>
      <c r="I27" s="1">
        <v>0</v>
      </c>
      <c r="J27" s="1">
        <v>504.6</v>
      </c>
      <c r="K27" s="1" t="s">
        <v>104</v>
      </c>
    </row>
    <row r="28" spans="1:11" s="1" customFormat="1" ht="27">
      <c r="A28" s="1">
        <v>2016</v>
      </c>
      <c r="B28" s="2" t="s">
        <v>120</v>
      </c>
      <c r="C28" s="1" t="s">
        <v>121</v>
      </c>
      <c r="E28" s="1" t="s">
        <v>46</v>
      </c>
      <c r="F28" s="6" t="s">
        <v>69</v>
      </c>
      <c r="G28" s="1">
        <v>42.2</v>
      </c>
      <c r="H28" s="1">
        <v>181.2</v>
      </c>
      <c r="I28" s="1">
        <v>0</v>
      </c>
      <c r="J28" s="1">
        <v>189.8</v>
      </c>
      <c r="K28" s="1" t="s">
        <v>122</v>
      </c>
    </row>
    <row r="29" spans="1:11" s="1" customFormat="1" ht="27">
      <c r="A29" s="1">
        <v>2017</v>
      </c>
      <c r="B29" s="2"/>
      <c r="C29" s="2" t="s">
        <v>147</v>
      </c>
      <c r="D29" s="2"/>
      <c r="F29" s="1" t="s">
        <v>96</v>
      </c>
      <c r="G29" s="1">
        <v>1.5</v>
      </c>
      <c r="H29" s="1">
        <v>5.62</v>
      </c>
      <c r="I29" s="1">
        <v>0</v>
      </c>
      <c r="J29" s="1">
        <v>5.7</v>
      </c>
      <c r="K29" s="1">
        <v>0</v>
      </c>
    </row>
    <row r="30" spans="1:11" s="1" customFormat="1" ht="27">
      <c r="A30" s="1">
        <v>2017</v>
      </c>
      <c r="B30" s="2"/>
      <c r="C30" s="1" t="s">
        <v>148</v>
      </c>
      <c r="E30" s="1" t="s">
        <v>46</v>
      </c>
      <c r="F30" s="1" t="s">
        <v>149</v>
      </c>
      <c r="G30" s="1">
        <v>0.7</v>
      </c>
      <c r="H30" s="1">
        <v>57.7</v>
      </c>
      <c r="I30" s="1">
        <v>0</v>
      </c>
      <c r="J30" s="1">
        <v>41.3</v>
      </c>
      <c r="K30" s="1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8"/>
  <sheetViews>
    <sheetView topLeftCell="B1" workbookViewId="0">
      <selection activeCell="H3" sqref="H3:L9"/>
    </sheetView>
  </sheetViews>
  <sheetFormatPr defaultRowHeight="14.25"/>
  <cols>
    <col min="1" max="1" width="23.75" customWidth="1"/>
    <col min="8" max="8" width="16.875" style="18" customWidth="1"/>
    <col min="9" max="12" width="10.625" style="18" customWidth="1"/>
  </cols>
  <sheetData>
    <row r="1" spans="1:12" ht="14.25" customHeight="1">
      <c r="A1" s="44" t="s">
        <v>391</v>
      </c>
      <c r="B1" s="47" t="s">
        <v>392</v>
      </c>
      <c r="C1" s="48"/>
      <c r="D1" s="47" t="s">
        <v>394</v>
      </c>
      <c r="E1" s="48"/>
    </row>
    <row r="2" spans="1:12" ht="14.25" customHeight="1">
      <c r="A2" s="45"/>
      <c r="B2" s="49" t="s">
        <v>393</v>
      </c>
      <c r="C2" s="50"/>
      <c r="D2" s="49" t="s">
        <v>395</v>
      </c>
      <c r="E2" s="50"/>
    </row>
    <row r="3" spans="1:12" ht="15">
      <c r="A3" s="46"/>
      <c r="B3" s="38" t="s">
        <v>354</v>
      </c>
      <c r="C3" s="38" t="s">
        <v>396</v>
      </c>
      <c r="D3" s="38" t="s">
        <v>354</v>
      </c>
      <c r="E3" s="38" t="s">
        <v>396</v>
      </c>
      <c r="H3" s="43" t="s">
        <v>404</v>
      </c>
      <c r="I3" s="42" t="s">
        <v>413</v>
      </c>
      <c r="J3" s="42"/>
      <c r="K3" s="42" t="s">
        <v>414</v>
      </c>
      <c r="L3" s="42"/>
    </row>
    <row r="4" spans="1:12" ht="28.5">
      <c r="A4" s="39" t="s">
        <v>397</v>
      </c>
      <c r="B4" s="38">
        <v>0.17177999999999999</v>
      </c>
      <c r="C4" s="38">
        <v>2</v>
      </c>
      <c r="D4" s="38">
        <v>0.68608999999999998</v>
      </c>
      <c r="E4" s="38">
        <v>1</v>
      </c>
      <c r="H4" s="43"/>
      <c r="I4" s="34" t="s">
        <v>408</v>
      </c>
      <c r="J4" s="34" t="s">
        <v>409</v>
      </c>
      <c r="K4" s="34" t="s">
        <v>408</v>
      </c>
      <c r="L4" s="34" t="s">
        <v>410</v>
      </c>
    </row>
    <row r="5" spans="1:12" ht="15">
      <c r="A5" s="39" t="s">
        <v>398</v>
      </c>
      <c r="B5" s="38">
        <v>0.18876000000000001</v>
      </c>
      <c r="C5" s="38">
        <v>3</v>
      </c>
      <c r="D5" s="38">
        <v>0.69613000000000003</v>
      </c>
      <c r="E5" s="38">
        <v>2</v>
      </c>
      <c r="H5" s="34" t="s">
        <v>402</v>
      </c>
      <c r="I5" s="36">
        <v>0.17177999999999999</v>
      </c>
      <c r="J5" s="34" t="s">
        <v>411</v>
      </c>
      <c r="K5" s="36">
        <v>0.68608999999999998</v>
      </c>
      <c r="L5" s="34" t="s">
        <v>411</v>
      </c>
    </row>
    <row r="6" spans="1:12" ht="15">
      <c r="A6" s="39" t="s">
        <v>399</v>
      </c>
      <c r="B6" s="38">
        <v>0.36742000000000002</v>
      </c>
      <c r="C6" s="38">
        <v>4</v>
      </c>
      <c r="D6" s="38">
        <v>3.3481999999999998</v>
      </c>
      <c r="E6" s="38">
        <v>3</v>
      </c>
      <c r="H6" s="34" t="s">
        <v>403</v>
      </c>
      <c r="I6" s="36">
        <v>0.18876000000000001</v>
      </c>
      <c r="J6" s="34" t="s">
        <v>411</v>
      </c>
      <c r="K6" s="36">
        <v>0.69613000000000003</v>
      </c>
      <c r="L6" s="34" t="s">
        <v>411</v>
      </c>
    </row>
    <row r="7" spans="1:12" ht="15">
      <c r="A7" s="39" t="s">
        <v>400</v>
      </c>
      <c r="B7" s="38">
        <v>0.15686</v>
      </c>
      <c r="C7" s="38">
        <v>1</v>
      </c>
      <c r="D7" s="38">
        <v>4.1277999999999997</v>
      </c>
      <c r="E7" s="38">
        <v>4</v>
      </c>
      <c r="H7" s="34" t="s">
        <v>405</v>
      </c>
      <c r="I7" s="36">
        <v>0.36742000000000002</v>
      </c>
      <c r="J7" s="34" t="s">
        <v>412</v>
      </c>
      <c r="K7" s="36">
        <v>3.3481999999999998</v>
      </c>
      <c r="L7" s="34" t="s">
        <v>412</v>
      </c>
    </row>
    <row r="8" spans="1:12" ht="15">
      <c r="A8" s="39" t="s">
        <v>401</v>
      </c>
      <c r="B8" s="38">
        <v>0.47053</v>
      </c>
      <c r="C8" s="38">
        <v>5</v>
      </c>
      <c r="D8" s="38">
        <v>5.6882000000000001</v>
      </c>
      <c r="E8" s="38">
        <v>5</v>
      </c>
      <c r="H8" s="34" t="s">
        <v>406</v>
      </c>
      <c r="I8" s="36">
        <v>0.15686</v>
      </c>
      <c r="J8" s="34" t="s">
        <v>411</v>
      </c>
      <c r="K8" s="36">
        <v>4.1277999999999997</v>
      </c>
      <c r="L8" s="34" t="s">
        <v>412</v>
      </c>
    </row>
    <row r="9" spans="1:12" ht="15" customHeight="1">
      <c r="H9" s="34" t="s">
        <v>407</v>
      </c>
      <c r="I9" s="36">
        <v>0.47053</v>
      </c>
      <c r="J9" s="34" t="s">
        <v>412</v>
      </c>
      <c r="K9" s="36">
        <v>5.6882000000000001</v>
      </c>
      <c r="L9" s="34" t="s">
        <v>412</v>
      </c>
    </row>
    <row r="10" spans="1:12" ht="15" customHeight="1"/>
    <row r="16" spans="1:12" ht="15" customHeight="1"/>
    <row r="17" ht="15" customHeight="1"/>
    <row r="19" ht="15" customHeight="1"/>
    <row r="20" ht="15" customHeight="1"/>
    <row r="21" ht="15" customHeight="1"/>
    <row r="25" ht="15" customHeight="1"/>
    <row r="27" ht="15" customHeight="1"/>
    <row r="28" ht="15" customHeight="1"/>
  </sheetData>
  <mergeCells count="8">
    <mergeCell ref="I3:J3"/>
    <mergeCell ref="K3:L3"/>
    <mergeCell ref="H3:H4"/>
    <mergeCell ref="A1:A3"/>
    <mergeCell ref="B1:C1"/>
    <mergeCell ref="B2:C2"/>
    <mergeCell ref="D1:E1"/>
    <mergeCell ref="D2:E2"/>
  </mergeCells>
  <phoneticPr fontId="1" type="noConversion"/>
  <hyperlinks>
    <hyperlink ref="B1" r:id="rId1" display="unsaved://ThtmlViewer.htm/orderBy=KS|Ranks the table."/>
    <hyperlink ref="B2" r:id="rId2" display="unsaved://ThtmlViewer.htm/orderBy=KS|Ranks the table."/>
    <hyperlink ref="D1" r:id="rId3" display="unsaved://ThtmlViewer.htm/orderBy=AD|Ranks the table."/>
    <hyperlink ref="D2" r:id="rId4" display="unsaved://ThtmlViewer.htm/orderBy=AD|Ranks the table."/>
    <hyperlink ref="A4" location="detailsId=5|Shows the details." display="detailsId=5|Shows the details."/>
    <hyperlink ref="A5" location="detailsId=4|Shows the details." display="detailsId=4|Shows the details."/>
    <hyperlink ref="A6" location="detailsId=2|Shows the details." display="detailsId=2|Shows the details."/>
    <hyperlink ref="A7" location="detailsId=1|Shows the details." display="detailsId=1|Shows the details."/>
    <hyperlink ref="A8" location="detailsId=3|Shows the details." display="detailsId=3|Shows the details."/>
    <hyperlink ref="A1" r:id="rId5" display="unsaved://ThtmlViewer.htm/orderBy=Name|Ranks the table.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6"/>
  <sheetViews>
    <sheetView topLeftCell="B1" workbookViewId="0">
      <selection activeCell="H13" sqref="H13"/>
    </sheetView>
  </sheetViews>
  <sheetFormatPr defaultColWidth="15.875" defaultRowHeight="14.25"/>
  <cols>
    <col min="1" max="1" width="12.125" style="18" customWidth="1"/>
    <col min="2" max="7" width="8.625" style="18" customWidth="1"/>
    <col min="8" max="16384" width="15.875" style="18"/>
  </cols>
  <sheetData>
    <row r="1" spans="1:8">
      <c r="A1" s="43" t="s">
        <v>415</v>
      </c>
      <c r="B1" s="42" t="s">
        <v>420</v>
      </c>
      <c r="C1" s="42"/>
      <c r="D1" s="42" t="s">
        <v>421</v>
      </c>
      <c r="E1" s="42"/>
      <c r="F1" s="43" t="s">
        <v>422</v>
      </c>
      <c r="G1" s="43"/>
    </row>
    <row r="2" spans="1:8" ht="27.75">
      <c r="A2" s="43"/>
      <c r="B2" s="34" t="s">
        <v>416</v>
      </c>
      <c r="C2" s="34" t="s">
        <v>417</v>
      </c>
      <c r="D2" s="34" t="s">
        <v>416</v>
      </c>
      <c r="E2" s="34" t="s">
        <v>417</v>
      </c>
      <c r="F2" s="34" t="s">
        <v>416</v>
      </c>
      <c r="G2" s="34" t="s">
        <v>417</v>
      </c>
    </row>
    <row r="3" spans="1:8">
      <c r="A3" s="34" t="s">
        <v>423</v>
      </c>
      <c r="B3" s="36">
        <v>9.6290000000000001E-2</v>
      </c>
      <c r="C3" s="34" t="s">
        <v>418</v>
      </c>
      <c r="D3" s="36">
        <v>0.73753999999999997</v>
      </c>
      <c r="E3" s="34" t="s">
        <v>418</v>
      </c>
      <c r="F3" s="36">
        <v>5.3185000000000002</v>
      </c>
      <c r="G3" s="34" t="s">
        <v>418</v>
      </c>
    </row>
    <row r="4" spans="1:8">
      <c r="A4" s="34" t="s">
        <v>427</v>
      </c>
      <c r="B4" s="36">
        <v>9.5990000000000006E-2</v>
      </c>
      <c r="C4" s="34" t="s">
        <v>418</v>
      </c>
      <c r="D4" s="36">
        <v>0.82045000000000001</v>
      </c>
      <c r="E4" s="34" t="s">
        <v>418</v>
      </c>
      <c r="F4" s="36">
        <v>5.4936999999999996</v>
      </c>
      <c r="G4" s="34" t="s">
        <v>418</v>
      </c>
    </row>
    <row r="5" spans="1:8" ht="14.25" customHeight="1">
      <c r="A5" s="34" t="s">
        <v>428</v>
      </c>
      <c r="B5" s="36">
        <v>6.9209999999999994E-2</v>
      </c>
      <c r="C5" s="34" t="s">
        <v>418</v>
      </c>
      <c r="D5" s="36">
        <v>0.68754000000000004</v>
      </c>
      <c r="E5" s="34" t="s">
        <v>418</v>
      </c>
      <c r="F5" s="36">
        <v>6.7122999999999999</v>
      </c>
      <c r="G5" s="34" t="s">
        <v>418</v>
      </c>
    </row>
    <row r="6" spans="1:8">
      <c r="A6" s="34" t="s">
        <v>426</v>
      </c>
      <c r="B6" s="36">
        <v>7.4749999999999997E-2</v>
      </c>
      <c r="C6" s="34" t="s">
        <v>418</v>
      </c>
      <c r="D6" s="36">
        <v>0.50963999999999998</v>
      </c>
      <c r="E6" s="34" t="s">
        <v>418</v>
      </c>
      <c r="F6" s="36">
        <v>12.621</v>
      </c>
      <c r="G6" s="34" t="s">
        <v>419</v>
      </c>
    </row>
    <row r="7" spans="1:8">
      <c r="A7" s="34" t="s">
        <v>429</v>
      </c>
      <c r="B7" s="36">
        <v>6.3579999999999998E-2</v>
      </c>
      <c r="C7" s="34" t="s">
        <v>418</v>
      </c>
      <c r="D7" s="36">
        <v>0.30851000000000001</v>
      </c>
      <c r="E7" s="34" t="s">
        <v>418</v>
      </c>
      <c r="F7" s="36">
        <v>13.053000000000001</v>
      </c>
      <c r="G7" s="34" t="s">
        <v>419</v>
      </c>
    </row>
    <row r="8" spans="1:8">
      <c r="A8" s="34" t="s">
        <v>424</v>
      </c>
      <c r="B8" s="36">
        <v>9.4460000000000002E-2</v>
      </c>
      <c r="C8" s="34" t="s">
        <v>418</v>
      </c>
      <c r="D8" s="36">
        <v>1.4438</v>
      </c>
      <c r="E8" s="34" t="s">
        <v>418</v>
      </c>
      <c r="F8" s="36">
        <v>15.862</v>
      </c>
      <c r="G8" s="34" t="s">
        <v>419</v>
      </c>
    </row>
    <row r="9" spans="1:8">
      <c r="A9" s="34" t="s">
        <v>425</v>
      </c>
      <c r="B9" s="36">
        <v>0.34844999999999998</v>
      </c>
      <c r="C9" s="34" t="s">
        <v>419</v>
      </c>
      <c r="D9" s="36">
        <v>22.600999999999999</v>
      </c>
      <c r="E9" s="34" t="s">
        <v>419</v>
      </c>
      <c r="F9" s="36">
        <v>95.692999999999998</v>
      </c>
      <c r="G9" s="34" t="s">
        <v>419</v>
      </c>
    </row>
    <row r="13" spans="1:8" ht="15" customHeight="1">
      <c r="B13" s="18" t="s">
        <v>431</v>
      </c>
      <c r="C13" s="18">
        <v>37</v>
      </c>
      <c r="D13" s="18">
        <f>C13*C14</f>
        <v>31.96134</v>
      </c>
      <c r="E13" s="18">
        <f>D13/D14</f>
        <v>234.69922161844622</v>
      </c>
      <c r="H13" s="18" t="e">
        <f>BurrMean(1.2057,0.7013,19.339,0.01376)</f>
        <v>#VALUE!</v>
      </c>
    </row>
    <row r="14" spans="1:8">
      <c r="B14" s="18" t="s">
        <v>432</v>
      </c>
      <c r="C14" s="18">
        <v>0.86382000000000003</v>
      </c>
      <c r="D14" s="18">
        <f>1-C14</f>
        <v>0.13617999999999997</v>
      </c>
      <c r="E14" s="18">
        <f>D13/(D14)^2</f>
        <v>1723.4485358969473</v>
      </c>
    </row>
    <row r="15" spans="1:8" ht="15" customHeight="1">
      <c r="A15" s="18" t="s">
        <v>430</v>
      </c>
      <c r="B15" s="18">
        <f>PI()/0.76421</f>
        <v>4.1109023090378214</v>
      </c>
      <c r="C15" s="18">
        <f>(B15*B16)/(SIN(B15))</f>
        <v>-55.364125371603052</v>
      </c>
    </row>
    <row r="16" spans="1:8">
      <c r="A16" s="18" t="s">
        <v>433</v>
      </c>
      <c r="B16" s="18">
        <v>11.103999999999999</v>
      </c>
      <c r="C16" s="18">
        <f>B16^2*(2*B15/SIN(2*B15)-(B15/SIN(B15))^2)</f>
        <v>-1978.7804977115738</v>
      </c>
    </row>
    <row r="19" ht="15" customHeight="1"/>
    <row r="24" ht="15" customHeight="1"/>
    <row r="25" ht="15" customHeight="1"/>
    <row r="27" ht="15" customHeight="1"/>
    <row r="28" ht="15" customHeight="1"/>
    <row r="29" ht="15" customHeight="1"/>
    <row r="33" ht="15" customHeight="1"/>
    <row r="35" ht="15" customHeight="1"/>
    <row r="36" ht="15" customHeight="1"/>
  </sheetData>
  <mergeCells count="4">
    <mergeCell ref="F1:G1"/>
    <mergeCell ref="A1:A2"/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5" sqref="F5"/>
    </sheetView>
  </sheetViews>
  <sheetFormatPr defaultRowHeight="14.25"/>
  <cols>
    <col min="3" max="3" width="9.5" bestFit="1" customWidth="1"/>
  </cols>
  <sheetData>
    <row r="1" spans="1:8">
      <c r="A1" t="s">
        <v>434</v>
      </c>
      <c r="B1" t="s">
        <v>435</v>
      </c>
      <c r="C1" t="s">
        <v>436</v>
      </c>
      <c r="F1" t="s">
        <v>434</v>
      </c>
      <c r="G1" t="s">
        <v>435</v>
      </c>
      <c r="H1" t="s">
        <v>436</v>
      </c>
    </row>
    <row r="2" spans="1:8">
      <c r="A2">
        <v>5.8823999999999996</v>
      </c>
      <c r="B2">
        <v>132.3648</v>
      </c>
      <c r="C2">
        <f>A2*B2</f>
        <v>778.62269951999997</v>
      </c>
      <c r="F2">
        <v>234.69919999999999</v>
      </c>
      <c r="G2">
        <v>132.3648</v>
      </c>
      <c r="H2">
        <f>F2*G2</f>
        <v>31065.912668159999</v>
      </c>
    </row>
    <row r="3" spans="1:8">
      <c r="A3" s="10" t="s">
        <v>437</v>
      </c>
      <c r="B3" s="10" t="s">
        <v>423</v>
      </c>
      <c r="F3" s="10" t="s">
        <v>441</v>
      </c>
      <c r="G3" s="10" t="s">
        <v>423</v>
      </c>
    </row>
    <row r="4" spans="1:8">
      <c r="A4" t="s">
        <v>438</v>
      </c>
      <c r="B4" t="s">
        <v>439</v>
      </c>
      <c r="C4" t="s">
        <v>440</v>
      </c>
      <c r="F4" t="s">
        <v>438</v>
      </c>
      <c r="G4" t="s">
        <v>439</v>
      </c>
      <c r="H4" t="s">
        <v>440</v>
      </c>
    </row>
    <row r="5" spans="1:8">
      <c r="A5">
        <v>5.8823999999999996</v>
      </c>
      <c r="B5">
        <v>2288988</v>
      </c>
      <c r="C5">
        <f>A2*B5+A5*(B2)^2</f>
        <v>13567805.249097424</v>
      </c>
      <c r="F5">
        <v>1723.4490000000001</v>
      </c>
      <c r="G5">
        <v>2288988</v>
      </c>
      <c r="H5">
        <f>F2*G5+F5*(G2)^2</f>
        <v>567419237.68807125</v>
      </c>
    </row>
    <row r="6" spans="1:8">
      <c r="C6" t="s">
        <v>431</v>
      </c>
      <c r="H6" t="s">
        <v>431</v>
      </c>
    </row>
    <row r="7" spans="1:8">
      <c r="C7">
        <f>(C2+2*(SQRT(C5)))/0.8</f>
        <v>10181.903831375588</v>
      </c>
      <c r="H7">
        <f>(H2+2*(SQRT(H5)))/0.8</f>
        <v>98383.799177492328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B1" sqref="B1"/>
    </sheetView>
  </sheetViews>
  <sheetFormatPr defaultRowHeight="13.5"/>
  <cols>
    <col min="1" max="1" width="9" style="1"/>
    <col min="2" max="2" width="14.25" style="2" customWidth="1"/>
    <col min="3" max="3" width="19" style="1" customWidth="1"/>
    <col min="4" max="4" width="12.25" style="1" customWidth="1"/>
    <col min="5" max="5" width="20.25" style="1" customWidth="1"/>
    <col min="6" max="16384" width="9" style="1"/>
  </cols>
  <sheetData>
    <row r="1" spans="1:5" ht="27">
      <c r="A1" s="1" t="s">
        <v>351</v>
      </c>
      <c r="B1" s="2" t="s">
        <v>38</v>
      </c>
      <c r="C1" s="1" t="s">
        <v>39</v>
      </c>
      <c r="D1" s="1" t="s">
        <v>352</v>
      </c>
      <c r="E1" s="1" t="s">
        <v>353</v>
      </c>
    </row>
    <row r="2" spans="1:5" ht="14.25">
      <c r="A2" s="1">
        <v>2000</v>
      </c>
      <c r="B2" s="2" t="s">
        <v>296</v>
      </c>
      <c r="C2" s="1">
        <v>11.9</v>
      </c>
      <c r="D2">
        <v>100280.1</v>
      </c>
      <c r="E2" s="1">
        <f>(743585.5/整体!D2)*C2</f>
        <v>88.239515616757458</v>
      </c>
    </row>
    <row r="3" spans="1:5" ht="14.25">
      <c r="A3" s="1">
        <v>2000</v>
      </c>
      <c r="B3" s="2" t="s">
        <v>297</v>
      </c>
      <c r="C3" s="1">
        <f>11.56+1.22+55</f>
        <v>67.78</v>
      </c>
      <c r="D3">
        <v>100280.1</v>
      </c>
      <c r="E3" s="1">
        <f>(743585.5/整体!D3)*C3</f>
        <v>502.59448474822022</v>
      </c>
    </row>
    <row r="4" spans="1:5" ht="14.25">
      <c r="A4" s="1">
        <v>2000</v>
      </c>
      <c r="B4" s="2" t="s">
        <v>298</v>
      </c>
      <c r="C4" s="1">
        <f>1.13+0.15+31.4</f>
        <v>32.68</v>
      </c>
      <c r="D4">
        <v>100280.1</v>
      </c>
      <c r="E4" s="1">
        <f>(743585.5/整体!D4)*C4</f>
        <v>242.32498910551544</v>
      </c>
    </row>
    <row r="5" spans="1:5" ht="14.25">
      <c r="A5" s="1">
        <v>2000</v>
      </c>
      <c r="B5" s="2" t="s">
        <v>299</v>
      </c>
      <c r="C5" s="1">
        <v>3</v>
      </c>
      <c r="D5">
        <v>100280.1</v>
      </c>
      <c r="E5" s="1">
        <f>(743585.5/整体!D5)*C5</f>
        <v>22.245256037838015</v>
      </c>
    </row>
    <row r="6" spans="1:5" ht="14.25">
      <c r="A6" s="1">
        <v>2001</v>
      </c>
      <c r="B6" s="2" t="s">
        <v>300</v>
      </c>
      <c r="C6" s="1">
        <v>45.2</v>
      </c>
      <c r="D6">
        <v>110863.1</v>
      </c>
      <c r="E6" s="1">
        <f>(743585.5/整体!D6)*C6</f>
        <v>303.16728108811679</v>
      </c>
    </row>
    <row r="7" spans="1:5" ht="14.25">
      <c r="A7" s="1">
        <v>2001</v>
      </c>
      <c r="B7" s="2" t="s">
        <v>301</v>
      </c>
      <c r="C7" s="1">
        <v>3.8</v>
      </c>
      <c r="D7">
        <v>110863.1</v>
      </c>
      <c r="E7" s="1">
        <f>(743585.5/整体!D7)*C7</f>
        <v>25.487514781744331</v>
      </c>
    </row>
    <row r="8" spans="1:5" ht="14.25">
      <c r="A8" s="1">
        <v>2001</v>
      </c>
      <c r="B8" s="2" t="s">
        <v>302</v>
      </c>
      <c r="C8" s="1">
        <f>24.5+6.9</f>
        <v>31.4</v>
      </c>
      <c r="D8">
        <v>110863.1</v>
      </c>
      <c r="E8" s="1">
        <f>(743585.5/整体!D8)*C8</f>
        <v>210.60735898599262</v>
      </c>
    </row>
    <row r="9" spans="1:5" ht="14.25">
      <c r="A9" s="1">
        <v>2001</v>
      </c>
      <c r="B9" s="2" t="s">
        <v>303</v>
      </c>
      <c r="C9" s="1">
        <v>0.8</v>
      </c>
      <c r="D9">
        <v>110863.1</v>
      </c>
      <c r="E9" s="1">
        <f>(743585.5/整体!D9)*C9</f>
        <v>5.3657925856303859</v>
      </c>
    </row>
    <row r="10" spans="1:5" ht="14.25">
      <c r="A10" s="1">
        <v>2001</v>
      </c>
      <c r="B10" s="2" t="s">
        <v>304</v>
      </c>
      <c r="C10" s="1">
        <v>5</v>
      </c>
      <c r="D10">
        <v>110863.1</v>
      </c>
      <c r="E10" s="1">
        <f>(743585.5/整体!D10)*C10</f>
        <v>33.536203660189912</v>
      </c>
    </row>
    <row r="11" spans="1:5" ht="14.25">
      <c r="A11" s="1">
        <v>2001</v>
      </c>
      <c r="B11" s="2" t="s">
        <v>305</v>
      </c>
      <c r="C11" s="1">
        <v>0.8</v>
      </c>
      <c r="D11">
        <v>110863.1</v>
      </c>
      <c r="E11" s="1">
        <f>(743585.5/整体!D11)*C11</f>
        <v>5.3657925856303859</v>
      </c>
    </row>
    <row r="12" spans="1:5" ht="14.25">
      <c r="A12" s="1">
        <v>2002</v>
      </c>
      <c r="B12" s="2" t="s">
        <v>312</v>
      </c>
      <c r="C12" s="1">
        <v>0.94</v>
      </c>
      <c r="D12">
        <v>121717.4</v>
      </c>
      <c r="E12" s="1">
        <f>(743585.5/整体!D12)*C12</f>
        <v>5.7425673732761293</v>
      </c>
    </row>
    <row r="13" spans="1:5" ht="14.25">
      <c r="A13" s="1">
        <v>2002</v>
      </c>
      <c r="B13" s="2" t="s">
        <v>315</v>
      </c>
      <c r="C13" s="1">
        <f>29.6+32.6+0.021</f>
        <v>62.221000000000004</v>
      </c>
      <c r="D13">
        <v>121717.4</v>
      </c>
      <c r="E13" s="1">
        <f>(743585.5/整体!D13)*C13</f>
        <v>380.11519631129158</v>
      </c>
    </row>
    <row r="14" spans="1:5" ht="14.25">
      <c r="A14" s="1">
        <v>2003</v>
      </c>
      <c r="B14" s="2" t="s">
        <v>318</v>
      </c>
      <c r="C14" s="1">
        <f>19.07+2.47</f>
        <v>21.54</v>
      </c>
      <c r="D14">
        <v>137422</v>
      </c>
      <c r="E14" s="1">
        <f>(743585.5/整体!D14)*C14</f>
        <v>116.55216537381204</v>
      </c>
    </row>
    <row r="15" spans="1:5" ht="14.25">
      <c r="A15" s="1">
        <v>2003</v>
      </c>
      <c r="B15" s="2" t="s">
        <v>320</v>
      </c>
      <c r="C15" s="1">
        <f>6.83+8.47+5.76</f>
        <v>21.060000000000002</v>
      </c>
      <c r="D15">
        <v>137422</v>
      </c>
      <c r="E15" s="1">
        <f>(743585.5/整体!D15)*C15</f>
        <v>113.95490263567697</v>
      </c>
    </row>
    <row r="16" spans="1:5" ht="14.25">
      <c r="A16" s="1">
        <v>2003</v>
      </c>
      <c r="B16" s="2" t="s">
        <v>322</v>
      </c>
      <c r="C16" s="1">
        <v>22.87</v>
      </c>
      <c r="D16">
        <v>137422</v>
      </c>
      <c r="E16" s="1">
        <f>(743585.5/整体!D16)*C16</f>
        <v>123.74874754406136</v>
      </c>
    </row>
    <row r="17" spans="1:5" ht="14.25">
      <c r="A17" s="1">
        <v>2004</v>
      </c>
      <c r="B17" s="2" t="s">
        <v>324</v>
      </c>
      <c r="C17" s="1">
        <v>1.48</v>
      </c>
      <c r="D17">
        <v>161840.20000000001</v>
      </c>
      <c r="E17" s="1">
        <f>(743585.5/整体!D17)*C17</f>
        <v>6.7999578596665105</v>
      </c>
    </row>
    <row r="18" spans="1:5" ht="14.25">
      <c r="A18" s="1">
        <v>2005</v>
      </c>
      <c r="B18" s="2" t="s">
        <v>326</v>
      </c>
      <c r="C18" s="1">
        <v>32.4</v>
      </c>
      <c r="D18">
        <v>187318.9</v>
      </c>
      <c r="E18" s="1">
        <f>(743585.5/整体!D18)*C18</f>
        <v>128.6158001141369</v>
      </c>
    </row>
    <row r="19" spans="1:5" ht="14.25">
      <c r="A19" s="1">
        <v>2005</v>
      </c>
      <c r="B19" s="2" t="s">
        <v>329</v>
      </c>
      <c r="C19" s="1">
        <v>0.27</v>
      </c>
      <c r="D19">
        <v>187318.9</v>
      </c>
      <c r="E19" s="1">
        <f>(743585.5/整体!D19)*C19</f>
        <v>1.0717983342844744</v>
      </c>
    </row>
    <row r="20" spans="1:5" ht="14.25">
      <c r="A20" s="1">
        <v>2005</v>
      </c>
      <c r="B20" s="2" t="s">
        <v>331</v>
      </c>
      <c r="C20" s="1">
        <v>35.19</v>
      </c>
      <c r="D20">
        <v>187318.9</v>
      </c>
      <c r="E20" s="1">
        <f>(743585.5/整体!D20)*C20</f>
        <v>139.6910495684098</v>
      </c>
    </row>
    <row r="21" spans="1:5" ht="14.25">
      <c r="A21" s="1">
        <v>2005</v>
      </c>
      <c r="B21" s="2" t="s">
        <v>334</v>
      </c>
      <c r="C21" s="1">
        <v>3.14</v>
      </c>
      <c r="D21">
        <v>187318.9</v>
      </c>
      <c r="E21" s="1">
        <f>(743585.5/整体!D21)*C21</f>
        <v>12.464617665382406</v>
      </c>
    </row>
    <row r="22" spans="1:5" ht="14.25">
      <c r="A22" s="1">
        <v>2005</v>
      </c>
      <c r="B22" s="2" t="s">
        <v>335</v>
      </c>
      <c r="C22" s="1">
        <v>37.56</v>
      </c>
      <c r="D22">
        <v>187318.9</v>
      </c>
      <c r="E22" s="1">
        <f>(743585.5/整体!D22)*C22</f>
        <v>149.09905716935131</v>
      </c>
    </row>
    <row r="23" spans="1:5" ht="14.25">
      <c r="A23" s="1">
        <v>2005</v>
      </c>
      <c r="B23" s="2" t="s">
        <v>337</v>
      </c>
      <c r="C23" s="1">
        <v>22.2</v>
      </c>
      <c r="D23">
        <v>187318.9</v>
      </c>
      <c r="E23" s="1">
        <f>(743585.5/整体!D23)*C23</f>
        <v>88.125640818945655</v>
      </c>
    </row>
    <row r="24" spans="1:5" ht="14.25">
      <c r="A24" s="1">
        <v>2005</v>
      </c>
      <c r="B24" s="2" t="s">
        <v>340</v>
      </c>
      <c r="C24" s="1">
        <v>1.49</v>
      </c>
      <c r="D24">
        <v>187318.9</v>
      </c>
      <c r="E24" s="1">
        <f>(743585.5/整体!D24)*C24</f>
        <v>5.9147389558661727</v>
      </c>
    </row>
    <row r="25" spans="1:5" ht="14.25">
      <c r="A25" s="1">
        <v>2005</v>
      </c>
      <c r="B25" s="2" t="s">
        <v>343</v>
      </c>
      <c r="C25" s="1">
        <v>121.3</v>
      </c>
      <c r="D25">
        <v>187318.9</v>
      </c>
      <c r="E25" s="1">
        <f>(743585.5/整体!D25)*C25</f>
        <v>481.51532573595085</v>
      </c>
    </row>
    <row r="26" spans="1:5" ht="14.25">
      <c r="A26" s="1">
        <v>2005</v>
      </c>
      <c r="B26" s="2" t="s">
        <v>343</v>
      </c>
      <c r="C26" s="1">
        <v>74.67</v>
      </c>
      <c r="D26">
        <v>187318.9</v>
      </c>
      <c r="E26" s="1">
        <f>(743585.5/整体!D26)*C26</f>
        <v>296.41178378156184</v>
      </c>
    </row>
    <row r="27" spans="1:5" ht="14.25">
      <c r="A27" s="1">
        <v>2006</v>
      </c>
      <c r="B27" s="2" t="s">
        <v>345</v>
      </c>
      <c r="C27" s="1">
        <v>12.3</v>
      </c>
      <c r="D27">
        <v>219438.5</v>
      </c>
      <c r="E27" s="1">
        <f>(743585.5/整体!D27)*C27</f>
        <v>41.679566940167746</v>
      </c>
    </row>
    <row r="28" spans="1:5" ht="14.25">
      <c r="A28" s="1">
        <v>2006</v>
      </c>
      <c r="B28" s="2" t="s">
        <v>348</v>
      </c>
      <c r="C28" s="1">
        <v>57.55</v>
      </c>
      <c r="D28">
        <v>219438.5</v>
      </c>
      <c r="E28" s="1">
        <f>(743585.5/整体!D28)*C28</f>
        <v>195.01293312249217</v>
      </c>
    </row>
    <row r="29" spans="1:5" ht="14.25">
      <c r="A29" s="1">
        <v>2006</v>
      </c>
      <c r="B29" s="2" t="s">
        <v>349</v>
      </c>
      <c r="C29" s="1">
        <v>77.06</v>
      </c>
      <c r="D29">
        <v>219438.5</v>
      </c>
      <c r="E29" s="1">
        <f>(743585.5/整体!D29)*C29</f>
        <v>261.12418117148997</v>
      </c>
    </row>
    <row r="30" spans="1:5" ht="14.25">
      <c r="A30" s="1">
        <v>2006</v>
      </c>
      <c r="B30" s="2" t="s">
        <v>350</v>
      </c>
      <c r="C30" s="1">
        <v>70.17</v>
      </c>
      <c r="D30">
        <v>219438.5</v>
      </c>
      <c r="E30" s="1">
        <f>(743585.5/整体!D30)*C30</f>
        <v>237.77684651963989</v>
      </c>
    </row>
    <row r="31" spans="1:5" ht="14.25">
      <c r="A31" s="1">
        <v>2007</v>
      </c>
      <c r="B31" s="2" t="s">
        <v>212</v>
      </c>
      <c r="C31" s="1">
        <v>0.59</v>
      </c>
      <c r="D31">
        <v>270232.3</v>
      </c>
      <c r="E31" s="1">
        <f>(743585.5/整体!D31)*C31</f>
        <v>1.6234752285348568</v>
      </c>
    </row>
    <row r="32" spans="1:5" ht="14.25">
      <c r="A32" s="1">
        <v>2007</v>
      </c>
      <c r="B32" s="2" t="s">
        <v>213</v>
      </c>
      <c r="C32" s="1">
        <v>22.98</v>
      </c>
      <c r="D32">
        <v>270232.3</v>
      </c>
      <c r="E32" s="1">
        <f>(743585.5/整体!D32)*C32</f>
        <v>63.232984324967816</v>
      </c>
    </row>
    <row r="33" spans="1:5" ht="14.25">
      <c r="A33" s="1">
        <v>2007</v>
      </c>
      <c r="B33" s="2" t="s">
        <v>215</v>
      </c>
      <c r="C33" s="1">
        <v>1.96</v>
      </c>
      <c r="D33">
        <v>270232.3</v>
      </c>
      <c r="E33" s="1">
        <f>(743585.5/整体!D33)*C33</f>
        <v>5.3932397422513887</v>
      </c>
    </row>
    <row r="34" spans="1:5" ht="14.25">
      <c r="A34" s="1">
        <v>2007</v>
      </c>
      <c r="B34" s="2" t="s">
        <v>216</v>
      </c>
      <c r="C34" s="1">
        <v>7.79</v>
      </c>
      <c r="D34">
        <v>270232.3</v>
      </c>
      <c r="E34" s="1">
        <f>(743585.5/整体!D34)*C34</f>
        <v>21.435376322519552</v>
      </c>
    </row>
    <row r="35" spans="1:5" ht="14.25">
      <c r="A35" s="1">
        <v>2007</v>
      </c>
      <c r="B35" s="2" t="s">
        <v>217</v>
      </c>
      <c r="C35" s="1">
        <v>0.43</v>
      </c>
      <c r="D35">
        <v>270232.3</v>
      </c>
      <c r="E35" s="1">
        <f>(743585.5/整体!D35)*C35</f>
        <v>1.1832107597796415</v>
      </c>
    </row>
    <row r="36" spans="1:5" ht="14.25">
      <c r="A36" s="1">
        <v>2007</v>
      </c>
      <c r="B36" s="2" t="s">
        <v>228</v>
      </c>
      <c r="C36" s="1">
        <v>5.04</v>
      </c>
      <c r="D36">
        <v>270232.3</v>
      </c>
      <c r="E36" s="1">
        <f>(743585.5/整体!D36)*C36</f>
        <v>13.868330765789286</v>
      </c>
    </row>
    <row r="37" spans="1:5" ht="14.25">
      <c r="A37" s="1">
        <v>2007</v>
      </c>
      <c r="B37" s="2" t="s">
        <v>218</v>
      </c>
      <c r="C37" s="1">
        <v>7.12</v>
      </c>
      <c r="D37">
        <v>270232.3</v>
      </c>
      <c r="E37" s="1">
        <f>(743585.5/整体!D37)*C37</f>
        <v>19.591768859607086</v>
      </c>
    </row>
    <row r="38" spans="1:5" ht="14.25">
      <c r="A38" s="1">
        <v>2008</v>
      </c>
      <c r="B38" s="2" t="s">
        <v>181</v>
      </c>
      <c r="C38" s="1">
        <v>7.67</v>
      </c>
      <c r="D38">
        <v>319515.5</v>
      </c>
      <c r="E38" s="1">
        <f>(743585.5/整体!D38)*C38</f>
        <v>17.849840727601634</v>
      </c>
    </row>
    <row r="39" spans="1:5" ht="14.25">
      <c r="A39" s="1">
        <v>2008</v>
      </c>
      <c r="B39" s="2" t="s">
        <v>182</v>
      </c>
      <c r="C39" s="1">
        <v>22.3</v>
      </c>
      <c r="D39">
        <v>319515.5</v>
      </c>
      <c r="E39" s="1">
        <f>(743585.5/整体!D39)*C39</f>
        <v>51.897190120667076</v>
      </c>
    </row>
    <row r="40" spans="1:5" ht="14.25">
      <c r="A40" s="1">
        <v>2008</v>
      </c>
      <c r="B40" s="2" t="s">
        <v>183</v>
      </c>
      <c r="C40" s="1">
        <v>3.3</v>
      </c>
      <c r="D40">
        <v>319515.5</v>
      </c>
      <c r="E40" s="1">
        <f>(743585.5/整体!D40)*C40</f>
        <v>7.6798532465561138</v>
      </c>
    </row>
    <row r="41" spans="1:5" ht="14.25">
      <c r="A41" s="1">
        <v>2008</v>
      </c>
      <c r="B41" s="2" t="s">
        <v>184</v>
      </c>
      <c r="C41" s="1">
        <v>14.86</v>
      </c>
      <c r="D41">
        <v>319515.5</v>
      </c>
      <c r="E41" s="1">
        <f>(743585.5/整体!D41)*C41</f>
        <v>34.582611892067831</v>
      </c>
    </row>
    <row r="42" spans="1:5" ht="14.25">
      <c r="A42" s="1">
        <v>2008</v>
      </c>
      <c r="B42" s="2" t="s">
        <v>185</v>
      </c>
      <c r="C42" s="1">
        <v>6.63</v>
      </c>
      <c r="D42">
        <v>319515.5</v>
      </c>
      <c r="E42" s="1">
        <f>(743585.5/整体!D42)*C42</f>
        <v>15.429523340808192</v>
      </c>
    </row>
    <row r="43" spans="1:5" ht="14.25">
      <c r="A43" s="1">
        <v>2008</v>
      </c>
      <c r="B43" s="2" t="s">
        <v>186</v>
      </c>
      <c r="C43" s="1">
        <v>4.03</v>
      </c>
      <c r="D43">
        <v>319515.5</v>
      </c>
      <c r="E43" s="1">
        <f>(743585.5/整体!D43)*C43</f>
        <v>9.3787298738245877</v>
      </c>
    </row>
    <row r="44" spans="1:5" ht="14.25">
      <c r="A44" s="1">
        <v>2008</v>
      </c>
      <c r="B44" s="2" t="s">
        <v>188</v>
      </c>
      <c r="C44" s="1">
        <v>132.74</v>
      </c>
      <c r="D44">
        <v>319515.5</v>
      </c>
      <c r="E44" s="1">
        <f>(743585.5/整体!D44)*C44</f>
        <v>308.91627877207839</v>
      </c>
    </row>
    <row r="45" spans="1:5" ht="14.25">
      <c r="A45" s="1">
        <v>2008</v>
      </c>
      <c r="B45" s="2" t="s">
        <v>189</v>
      </c>
      <c r="C45" s="1">
        <v>0.3</v>
      </c>
      <c r="D45">
        <v>319515.5</v>
      </c>
      <c r="E45" s="1">
        <f>(743585.5/整体!D45)*C45</f>
        <v>0.69816847695964668</v>
      </c>
    </row>
    <row r="46" spans="1:5" ht="14.25">
      <c r="A46" s="1">
        <v>2008</v>
      </c>
      <c r="B46" s="2" t="s">
        <v>190</v>
      </c>
      <c r="C46" s="1">
        <v>0.18</v>
      </c>
      <c r="D46">
        <v>319515.5</v>
      </c>
      <c r="E46" s="1">
        <f>(743585.5/整体!D46)*C46</f>
        <v>0.41890108617578803</v>
      </c>
    </row>
    <row r="47" spans="1:5" ht="14.25">
      <c r="A47" s="1">
        <v>2009</v>
      </c>
      <c r="B47" s="2" t="s">
        <v>171</v>
      </c>
      <c r="C47" s="1">
        <v>4.6500000000000004</v>
      </c>
      <c r="D47">
        <v>349081.4</v>
      </c>
      <c r="E47" s="1">
        <f>(743585.5/整体!D47)*C47</f>
        <v>9.9050610402043748</v>
      </c>
    </row>
    <row r="48" spans="1:5" ht="14.25">
      <c r="A48" s="1">
        <v>2009</v>
      </c>
      <c r="B48" s="2" t="s">
        <v>172</v>
      </c>
      <c r="C48" s="1">
        <v>14.29</v>
      </c>
      <c r="D48">
        <v>349081.4</v>
      </c>
      <c r="E48" s="1">
        <f>(743585.5/整体!D48)*C48</f>
        <v>30.439424142907637</v>
      </c>
    </row>
    <row r="49" spans="1:5" ht="14.25">
      <c r="A49" s="1">
        <v>2009</v>
      </c>
      <c r="B49" s="2" t="s">
        <v>173</v>
      </c>
      <c r="C49" s="1">
        <v>32.65</v>
      </c>
      <c r="D49">
        <v>349081.4</v>
      </c>
      <c r="E49" s="1">
        <f>(743585.5/整体!D49)*C49</f>
        <v>69.548439346811364</v>
      </c>
    </row>
    <row r="50" spans="1:5" ht="14.25">
      <c r="A50" s="1">
        <v>2009</v>
      </c>
      <c r="B50" s="2" t="s">
        <v>175</v>
      </c>
      <c r="C50" s="1">
        <v>24.04</v>
      </c>
      <c r="D50">
        <v>349081.4</v>
      </c>
      <c r="E50" s="1">
        <f>(743585.5/整体!D50)*C50</f>
        <v>51.208100517529715</v>
      </c>
    </row>
    <row r="51" spans="1:5" ht="14.25">
      <c r="A51" s="1">
        <v>2009</v>
      </c>
      <c r="B51" s="2" t="s">
        <v>232</v>
      </c>
      <c r="C51" s="1">
        <v>2.4</v>
      </c>
      <c r="D51">
        <v>349081.4</v>
      </c>
      <c r="E51" s="1">
        <f>(743585.5/整体!D51)*C51</f>
        <v>5.1122895691377419</v>
      </c>
    </row>
    <row r="52" spans="1:5" ht="14.25">
      <c r="A52" s="1">
        <v>2010</v>
      </c>
      <c r="B52" s="2">
        <v>1003</v>
      </c>
      <c r="C52" s="1">
        <v>32.15</v>
      </c>
      <c r="D52">
        <v>413030.3</v>
      </c>
      <c r="E52" s="1">
        <f>(743585.5/整体!D52)*C52</f>
        <v>57.880193838079194</v>
      </c>
    </row>
    <row r="53" spans="1:5" ht="14.25">
      <c r="A53" s="1">
        <v>2010</v>
      </c>
      <c r="B53" s="2">
        <v>1006</v>
      </c>
      <c r="C53" s="1">
        <v>0.53</v>
      </c>
      <c r="D53">
        <v>413030.3</v>
      </c>
      <c r="E53" s="1">
        <f>(743585.5/整体!D53)*C53</f>
        <v>0.95416804771950159</v>
      </c>
    </row>
    <row r="54" spans="1:5" ht="14.25">
      <c r="A54" s="1">
        <v>2010</v>
      </c>
      <c r="B54" s="2" t="s">
        <v>233</v>
      </c>
      <c r="C54" s="1">
        <v>0.32</v>
      </c>
      <c r="D54">
        <v>413030.3</v>
      </c>
      <c r="E54" s="1">
        <f>(743585.5/整体!D54)*C54</f>
        <v>0.57610146277403862</v>
      </c>
    </row>
    <row r="55" spans="1:5" ht="14.25">
      <c r="A55" s="1">
        <v>2010</v>
      </c>
      <c r="B55" s="2">
        <v>1008</v>
      </c>
      <c r="C55" s="1">
        <v>0.01</v>
      </c>
      <c r="D55">
        <v>413030.3</v>
      </c>
      <c r="E55" s="1">
        <f>(743585.5/整体!D55)*C55</f>
        <v>1.8003170711688707E-2</v>
      </c>
    </row>
    <row r="56" spans="1:5" ht="14.25">
      <c r="A56" s="1">
        <v>2010</v>
      </c>
      <c r="B56" s="2">
        <v>1010</v>
      </c>
      <c r="C56" s="1">
        <v>3.24</v>
      </c>
      <c r="D56">
        <v>413030.3</v>
      </c>
      <c r="E56" s="1">
        <f>(743585.5/整体!D56)*C56</f>
        <v>5.8330273105871413</v>
      </c>
    </row>
    <row r="57" spans="1:5" ht="14.25">
      <c r="A57" s="1">
        <v>2010</v>
      </c>
      <c r="B57" s="2">
        <v>1011</v>
      </c>
      <c r="C57" s="1">
        <v>3.24</v>
      </c>
      <c r="D57">
        <v>413030.3</v>
      </c>
      <c r="E57" s="1">
        <f>(743585.5/整体!D57)*C57</f>
        <v>5.8330273105871413</v>
      </c>
    </row>
    <row r="58" spans="1:5" ht="14.25">
      <c r="A58" s="1">
        <v>2010</v>
      </c>
      <c r="B58" s="2">
        <v>1013</v>
      </c>
      <c r="C58" s="1">
        <v>26.22</v>
      </c>
      <c r="D58">
        <v>413030.3</v>
      </c>
      <c r="E58" s="1">
        <f>(743585.5/整体!D58)*C58</f>
        <v>47.204313606047791</v>
      </c>
    </row>
    <row r="59" spans="1:5" ht="14.25">
      <c r="A59" s="1">
        <v>2011</v>
      </c>
      <c r="B59" s="2">
        <v>1105</v>
      </c>
      <c r="C59" s="1">
        <v>4.29</v>
      </c>
      <c r="D59">
        <v>489300.6</v>
      </c>
      <c r="E59" s="1">
        <f>(743585.5/整体!D59)*C59</f>
        <v>6.5194724776548414</v>
      </c>
    </row>
    <row r="60" spans="1:5" ht="14.25">
      <c r="A60" s="1">
        <v>2011</v>
      </c>
      <c r="B60" s="2" t="s">
        <v>236</v>
      </c>
      <c r="C60" s="1">
        <v>3.1</v>
      </c>
      <c r="D60">
        <v>489300.6</v>
      </c>
      <c r="E60" s="1">
        <f>(743585.5/整体!D60)*C60</f>
        <v>4.7110407181188831</v>
      </c>
    </row>
    <row r="61" spans="1:5" ht="14.25">
      <c r="A61" s="1">
        <v>2011</v>
      </c>
      <c r="B61" s="2">
        <v>1111</v>
      </c>
      <c r="C61" s="1">
        <v>5.32</v>
      </c>
      <c r="D61">
        <v>489300.6</v>
      </c>
      <c r="E61" s="1">
        <f>(743585.5/整体!D61)*C61</f>
        <v>8.0847537485136964</v>
      </c>
    </row>
    <row r="62" spans="1:5" ht="14.25">
      <c r="A62" s="1">
        <v>2011</v>
      </c>
      <c r="B62" s="2">
        <v>1117</v>
      </c>
      <c r="C62" s="1">
        <v>31.06</v>
      </c>
      <c r="D62">
        <v>489300.6</v>
      </c>
      <c r="E62" s="1">
        <f>(743585.5/整体!D62)*C62</f>
        <v>47.201588614442741</v>
      </c>
    </row>
    <row r="63" spans="1:5" ht="14.25">
      <c r="A63" s="1">
        <v>2011</v>
      </c>
      <c r="B63" s="2">
        <v>1119</v>
      </c>
      <c r="C63" s="1">
        <v>2.66</v>
      </c>
      <c r="D63">
        <v>489300.6</v>
      </c>
      <c r="E63" s="1">
        <f>(743585.5/整体!D63)*C63</f>
        <v>4.0423768742568482</v>
      </c>
    </row>
    <row r="64" spans="1:5" ht="14.25">
      <c r="A64" s="1">
        <v>2012</v>
      </c>
      <c r="B64" s="2" t="s">
        <v>239</v>
      </c>
      <c r="C64" s="1">
        <v>0.19</v>
      </c>
      <c r="D64">
        <v>540367.4</v>
      </c>
      <c r="E64" s="1">
        <f>(743585.5/整体!D64)*C64</f>
        <v>0.26145404959662627</v>
      </c>
    </row>
    <row r="65" spans="1:5" ht="14.25">
      <c r="A65" s="1">
        <v>2012</v>
      </c>
      <c r="B65" s="2" t="s">
        <v>160</v>
      </c>
      <c r="C65" s="1">
        <v>0.01</v>
      </c>
      <c r="D65">
        <v>540367.4</v>
      </c>
      <c r="E65" s="1">
        <f>(743585.5/整体!D65)*C65</f>
        <v>1.3760739452454014E-2</v>
      </c>
    </row>
    <row r="66" spans="1:5" ht="14.25">
      <c r="A66" s="1">
        <v>2012</v>
      </c>
      <c r="B66" s="2">
        <v>1208</v>
      </c>
      <c r="C66" s="1">
        <v>4.29</v>
      </c>
      <c r="D66">
        <v>540367.4</v>
      </c>
      <c r="E66" s="1">
        <f>(743585.5/整体!D66)*C66</f>
        <v>5.9033572251027717</v>
      </c>
    </row>
    <row r="67" spans="1:5" ht="14.25">
      <c r="A67" s="1">
        <v>2012</v>
      </c>
      <c r="B67" s="2">
        <v>1209</v>
      </c>
      <c r="C67" s="1">
        <v>3.06</v>
      </c>
      <c r="D67">
        <v>540367.4</v>
      </c>
      <c r="E67" s="1">
        <f>(743585.5/整体!D67)*C67</f>
        <v>4.2107862724509282</v>
      </c>
    </row>
    <row r="68" spans="1:5" ht="14.25">
      <c r="A68" s="1">
        <v>2012</v>
      </c>
      <c r="B68" s="2">
        <v>1210</v>
      </c>
      <c r="C68" s="1">
        <v>41.75</v>
      </c>
      <c r="D68">
        <v>540367.4</v>
      </c>
      <c r="E68" s="1">
        <f>(743585.5/整体!D68)*C68</f>
        <v>57.451087213995507</v>
      </c>
    </row>
    <row r="69" spans="1:5" ht="14.25">
      <c r="A69" s="1">
        <v>2012</v>
      </c>
      <c r="B69" s="2">
        <v>1211</v>
      </c>
      <c r="C69" s="1">
        <v>42.38</v>
      </c>
      <c r="D69">
        <v>540367.4</v>
      </c>
      <c r="E69" s="1">
        <f>(743585.5/整体!D69)*C69</f>
        <v>58.318013799500115</v>
      </c>
    </row>
    <row r="70" spans="1:5" ht="14.25">
      <c r="A70" s="1">
        <v>2012</v>
      </c>
      <c r="B70" s="2">
        <v>1213</v>
      </c>
      <c r="C70" s="1">
        <v>18.23</v>
      </c>
      <c r="D70">
        <v>540367.4</v>
      </c>
      <c r="E70" s="1">
        <f>(743585.5/整体!D70)*C70</f>
        <v>25.085828021823669</v>
      </c>
    </row>
    <row r="71" spans="1:5" ht="14.25">
      <c r="A71" s="1">
        <v>2012</v>
      </c>
      <c r="B71" s="2" t="s">
        <v>242</v>
      </c>
      <c r="C71" s="1">
        <v>16.14</v>
      </c>
      <c r="D71">
        <v>540367.4</v>
      </c>
      <c r="E71" s="1">
        <f>(743585.5/整体!D71)*C71</f>
        <v>22.20983347626078</v>
      </c>
    </row>
    <row r="72" spans="1:5" ht="14.25">
      <c r="A72" s="1">
        <v>2012</v>
      </c>
      <c r="B72" s="2" t="s">
        <v>243</v>
      </c>
      <c r="C72" s="1">
        <v>0.24</v>
      </c>
      <c r="D72">
        <v>540367.4</v>
      </c>
      <c r="E72" s="1">
        <f>(743585.5/整体!D72)*C72</f>
        <v>0.33025774685889631</v>
      </c>
    </row>
    <row r="73" spans="1:5" ht="14.25">
      <c r="A73" s="1">
        <v>2013</v>
      </c>
      <c r="B73" s="2" t="s">
        <v>125</v>
      </c>
      <c r="C73" s="1">
        <v>0.44</v>
      </c>
      <c r="D73">
        <v>595244.4</v>
      </c>
      <c r="E73" s="1">
        <f>(743585.5/整体!D73)*C73</f>
        <v>0.54965257967987602</v>
      </c>
    </row>
    <row r="74" spans="1:5" ht="14.25">
      <c r="A74" s="1">
        <v>2013</v>
      </c>
      <c r="B74" s="2" t="s">
        <v>127</v>
      </c>
      <c r="C74" s="1">
        <v>2.31</v>
      </c>
      <c r="D74">
        <v>595244.4</v>
      </c>
      <c r="E74" s="1">
        <f>(743585.5/整体!D74)*C74</f>
        <v>2.8856760433193491</v>
      </c>
    </row>
    <row r="75" spans="1:5" ht="14.25">
      <c r="A75" s="1">
        <v>2013</v>
      </c>
      <c r="B75" s="2" t="s">
        <v>128</v>
      </c>
      <c r="C75" s="1">
        <v>0.38</v>
      </c>
      <c r="D75">
        <v>595244.4</v>
      </c>
      <c r="E75" s="1">
        <f>(743585.5/整体!D75)*C75</f>
        <v>0.47469995517807478</v>
      </c>
    </row>
    <row r="76" spans="1:5" ht="14.25">
      <c r="A76" s="1">
        <v>2013</v>
      </c>
      <c r="B76" s="2" t="s">
        <v>129</v>
      </c>
      <c r="C76" s="1">
        <v>7.69</v>
      </c>
      <c r="D76">
        <v>595244.4</v>
      </c>
      <c r="E76" s="1">
        <f>(743585.5/整体!D76)*C76</f>
        <v>9.6064280403141975</v>
      </c>
    </row>
    <row r="77" spans="1:5" ht="14.25">
      <c r="A77" s="1">
        <v>2013</v>
      </c>
      <c r="B77" s="2" t="s">
        <v>130</v>
      </c>
      <c r="C77" s="1">
        <v>0.56999999999999995</v>
      </c>
      <c r="D77">
        <v>595244.4</v>
      </c>
      <c r="E77" s="1">
        <f>(743585.5/整体!D77)*C77</f>
        <v>0.71204993276711204</v>
      </c>
    </row>
    <row r="78" spans="1:5" ht="14.25">
      <c r="A78" s="1">
        <v>2013</v>
      </c>
      <c r="B78" s="2" t="s">
        <v>131</v>
      </c>
      <c r="C78" s="1">
        <v>14.95</v>
      </c>
      <c r="D78">
        <v>595244.4</v>
      </c>
      <c r="E78" s="1">
        <f>(743585.5/整体!D78)*C78</f>
        <v>18.67569560503215</v>
      </c>
    </row>
    <row r="79" spans="1:5" ht="14.25">
      <c r="A79" s="1">
        <v>2013</v>
      </c>
      <c r="B79" s="2" t="s">
        <v>132</v>
      </c>
      <c r="C79" s="1">
        <v>16.48</v>
      </c>
      <c r="D79">
        <v>595244.4</v>
      </c>
      <c r="E79" s="1">
        <f>(743585.5/整体!D79)*C79</f>
        <v>20.586987529828086</v>
      </c>
    </row>
    <row r="80" spans="1:5" ht="14.25">
      <c r="A80" s="1">
        <v>2013</v>
      </c>
      <c r="B80" s="2" t="s">
        <v>133</v>
      </c>
      <c r="C80" s="1">
        <v>64.930000000000007</v>
      </c>
      <c r="D80">
        <v>595244.4</v>
      </c>
      <c r="E80" s="1">
        <f>(743585.5/整体!D80)*C80</f>
        <v>81.111231815032625</v>
      </c>
    </row>
    <row r="81" spans="1:5" ht="14.25">
      <c r="A81" s="1">
        <v>2013</v>
      </c>
      <c r="B81" s="2" t="s">
        <v>98</v>
      </c>
      <c r="C81" s="1">
        <v>34.92</v>
      </c>
      <c r="D81">
        <v>595244.4</v>
      </c>
      <c r="E81" s="1">
        <f>(743585.5/整体!D81)*C81</f>
        <v>43.622427460048343</v>
      </c>
    </row>
    <row r="82" spans="1:5" ht="14.25">
      <c r="A82" s="1">
        <v>2013</v>
      </c>
      <c r="B82" s="2" t="s">
        <v>274</v>
      </c>
      <c r="C82" s="1">
        <v>0.12</v>
      </c>
      <c r="D82">
        <v>595244.4</v>
      </c>
      <c r="E82" s="1">
        <f>(743585.5/整体!D82)*C82</f>
        <v>0.14990524900360255</v>
      </c>
    </row>
    <row r="83" spans="1:5" ht="14.25">
      <c r="A83" s="1">
        <v>2013</v>
      </c>
      <c r="B83" s="2" t="s">
        <v>275</v>
      </c>
      <c r="C83" s="1">
        <v>2.66</v>
      </c>
      <c r="D83">
        <v>595244.4</v>
      </c>
      <c r="E83" s="1">
        <f>(743585.5/整体!D83)*C83</f>
        <v>3.3228996862465237</v>
      </c>
    </row>
    <row r="84" spans="1:5" ht="14.25">
      <c r="A84" s="1">
        <v>2014</v>
      </c>
      <c r="B84" s="2" t="s">
        <v>64</v>
      </c>
      <c r="C84" s="1">
        <v>2.17</v>
      </c>
      <c r="D84">
        <v>643974</v>
      </c>
      <c r="E84" s="1">
        <f>(743585.5/整体!D84)*C84</f>
        <v>2.5056609971831159</v>
      </c>
    </row>
    <row r="85" spans="1:5" ht="14.25">
      <c r="A85" s="1">
        <v>2014</v>
      </c>
      <c r="B85" s="2" t="s">
        <v>79</v>
      </c>
      <c r="C85" s="1">
        <v>80.8</v>
      </c>
      <c r="D85">
        <v>643974</v>
      </c>
      <c r="E85" s="1">
        <f>(743585.5/整体!D85)*C85</f>
        <v>93.298344964237671</v>
      </c>
    </row>
    <row r="86" spans="1:5" ht="14.25">
      <c r="A86" s="1">
        <v>2014</v>
      </c>
      <c r="B86" s="2" t="s">
        <v>84</v>
      </c>
      <c r="C86" s="1">
        <v>4.45</v>
      </c>
      <c r="D86">
        <v>643974</v>
      </c>
      <c r="E86" s="1">
        <f>(743585.5/整体!D86)*C86</f>
        <v>5.1383370679561597</v>
      </c>
    </row>
    <row r="87" spans="1:5" ht="14.25">
      <c r="A87" s="1">
        <v>2014</v>
      </c>
      <c r="B87" s="2" t="s">
        <v>85</v>
      </c>
      <c r="C87" s="1">
        <v>42.75</v>
      </c>
      <c r="D87">
        <v>643974</v>
      </c>
      <c r="E87" s="1">
        <f>(743585.5/整体!D87)*C87</f>
        <v>49.362676326994567</v>
      </c>
    </row>
    <row r="88" spans="1:5" ht="14.25">
      <c r="A88" s="1">
        <v>2014</v>
      </c>
      <c r="B88" s="2" t="s">
        <v>89</v>
      </c>
      <c r="C88" s="1">
        <v>4.5199999999999996</v>
      </c>
      <c r="D88">
        <v>643974</v>
      </c>
      <c r="E88" s="1">
        <f>(743585.5/整体!D88)*C88</f>
        <v>5.2191648420588397</v>
      </c>
    </row>
    <row r="89" spans="1:5" ht="14.25">
      <c r="A89" s="1">
        <v>2015</v>
      </c>
      <c r="B89" s="2" t="s">
        <v>51</v>
      </c>
      <c r="C89" s="1">
        <v>0.06</v>
      </c>
      <c r="D89">
        <v>689052.1</v>
      </c>
      <c r="E89" s="1">
        <f>(743585.5/整体!D89)*C89</f>
        <v>6.4748558200461187E-2</v>
      </c>
    </row>
    <row r="90" spans="1:5" ht="14.25">
      <c r="A90" s="1">
        <v>2015</v>
      </c>
      <c r="B90" s="2" t="s">
        <v>53</v>
      </c>
      <c r="C90" s="1">
        <v>10.98</v>
      </c>
      <c r="D90">
        <v>689052.1</v>
      </c>
      <c r="E90" s="1">
        <f>(743585.5/整体!D90)*C90</f>
        <v>11.848986150684397</v>
      </c>
    </row>
    <row r="91" spans="1:5" ht="14.25">
      <c r="A91" s="1">
        <v>2015</v>
      </c>
      <c r="B91" s="2" t="s">
        <v>54</v>
      </c>
      <c r="C91" s="1">
        <v>2.48</v>
      </c>
      <c r="D91">
        <v>689052.1</v>
      </c>
      <c r="E91" s="1">
        <f>(743585.5/整体!D91)*C91</f>
        <v>2.6762737389523954</v>
      </c>
    </row>
    <row r="92" spans="1:5" ht="14.25">
      <c r="A92" s="1">
        <v>2015</v>
      </c>
      <c r="B92" s="2" t="s">
        <v>57</v>
      </c>
      <c r="C92" s="1">
        <v>24.69</v>
      </c>
      <c r="D92">
        <v>689052.1</v>
      </c>
      <c r="E92" s="1">
        <f>(743585.5/整体!D92)*C92</f>
        <v>26.64403169948978</v>
      </c>
    </row>
    <row r="93" spans="1:5" ht="14.25">
      <c r="A93" s="1">
        <v>2015</v>
      </c>
      <c r="B93" s="2" t="s">
        <v>58</v>
      </c>
      <c r="C93" s="1">
        <v>6.95</v>
      </c>
      <c r="D93">
        <v>689052.1</v>
      </c>
      <c r="E93" s="1">
        <f>(743585.5/整体!D93)*C93</f>
        <v>7.5000413248867543</v>
      </c>
    </row>
    <row r="94" spans="1:5" ht="14.25">
      <c r="A94" s="1">
        <v>2015</v>
      </c>
      <c r="B94" s="2" t="s">
        <v>62</v>
      </c>
      <c r="C94" s="1">
        <v>27.02</v>
      </c>
      <c r="D94">
        <v>689052.1</v>
      </c>
      <c r="E94" s="1">
        <f>(743585.5/整体!D94)*C94</f>
        <v>29.158434042941018</v>
      </c>
    </row>
    <row r="95" spans="1:5" ht="14.25">
      <c r="A95" s="1">
        <v>2016</v>
      </c>
      <c r="B95" s="2" t="s">
        <v>43</v>
      </c>
      <c r="C95" s="1">
        <v>0.35</v>
      </c>
      <c r="D95">
        <v>743585.5</v>
      </c>
      <c r="E95" s="1">
        <f>(743585.5/整体!D95)*C95</f>
        <v>0.35</v>
      </c>
    </row>
    <row r="96" spans="1:5" ht="14.25">
      <c r="A96" s="1">
        <v>2016</v>
      </c>
      <c r="B96" s="2" t="s">
        <v>45</v>
      </c>
      <c r="C96" s="1">
        <v>1.1200000000000001</v>
      </c>
      <c r="D96">
        <v>743585.5</v>
      </c>
      <c r="E96" s="1">
        <f>(743585.5/整体!D96)*C96</f>
        <v>1.1200000000000001</v>
      </c>
    </row>
    <row r="97" spans="1:5" ht="14.25">
      <c r="A97" s="1">
        <v>2016</v>
      </c>
      <c r="B97" s="2" t="s">
        <v>70</v>
      </c>
      <c r="C97" s="1">
        <v>0.4</v>
      </c>
      <c r="D97">
        <v>743585.5</v>
      </c>
      <c r="E97" s="1">
        <f>(743585.5/整体!D97)*C97</f>
        <v>0.4</v>
      </c>
    </row>
    <row r="98" spans="1:5" ht="14.25">
      <c r="A98" s="1">
        <v>2016</v>
      </c>
      <c r="B98" s="2" t="s">
        <v>47</v>
      </c>
      <c r="C98" s="1">
        <v>9.19</v>
      </c>
      <c r="D98">
        <v>743585.5</v>
      </c>
      <c r="E98" s="1">
        <f>(743585.5/整体!D98)*C98</f>
        <v>9.19</v>
      </c>
    </row>
    <row r="99" spans="1:5" ht="14.25">
      <c r="A99" s="1">
        <v>2016</v>
      </c>
      <c r="B99" s="2" t="s">
        <v>113</v>
      </c>
      <c r="C99" s="1">
        <v>8.92</v>
      </c>
      <c r="D99">
        <v>743585.5</v>
      </c>
      <c r="E99" s="1">
        <f>(743585.5/整体!D99)*C99</f>
        <v>8.92</v>
      </c>
    </row>
    <row r="100" spans="1:5" ht="14.25">
      <c r="A100" s="1">
        <v>2016</v>
      </c>
      <c r="B100" s="2" t="s">
        <v>117</v>
      </c>
      <c r="C100" s="1">
        <v>6.38</v>
      </c>
      <c r="D100">
        <v>743585.5</v>
      </c>
      <c r="E100" s="1">
        <f>(743585.5/整体!D100)*C100</f>
        <v>6.38</v>
      </c>
    </row>
    <row r="101" spans="1:5" ht="14.25">
      <c r="A101" s="1">
        <v>2016</v>
      </c>
      <c r="B101" s="2" t="s">
        <v>120</v>
      </c>
      <c r="C101" s="1">
        <v>7.59</v>
      </c>
      <c r="D101">
        <v>743585.5</v>
      </c>
      <c r="E101" s="1">
        <f>(743585.5/整体!D101)*C101</f>
        <v>7.59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"/>
  <sheetViews>
    <sheetView topLeftCell="A63" workbookViewId="0">
      <selection activeCell="G77" sqref="G77"/>
    </sheetView>
  </sheetViews>
  <sheetFormatPr defaultRowHeight="13.5"/>
  <cols>
    <col min="1" max="1" width="9" style="1"/>
    <col min="2" max="2" width="14.25" style="2" customWidth="1"/>
    <col min="3" max="3" width="14.25" style="1" customWidth="1"/>
    <col min="4" max="4" width="6.5" style="1" customWidth="1"/>
    <col min="5" max="5" width="14.25" style="1" customWidth="1"/>
    <col min="6" max="6" width="16.375" style="1" customWidth="1"/>
    <col min="7" max="7" width="19" style="1" customWidth="1"/>
    <col min="8" max="8" width="12.875" style="1" customWidth="1"/>
    <col min="9" max="11" width="14.125" style="1" customWidth="1"/>
    <col min="12" max="16384" width="9" style="1"/>
  </cols>
  <sheetData>
    <row r="1" spans="1:11" ht="27">
      <c r="A1" s="1" t="s">
        <v>230</v>
      </c>
      <c r="B1" s="2" t="s">
        <v>38</v>
      </c>
      <c r="C1" s="1" t="s">
        <v>42</v>
      </c>
      <c r="D1" s="1" t="s">
        <v>193</v>
      </c>
      <c r="E1" s="1" t="s">
        <v>50</v>
      </c>
      <c r="F1" s="1" t="s">
        <v>66</v>
      </c>
      <c r="G1" s="1" t="s">
        <v>39</v>
      </c>
      <c r="H1" s="1" t="s">
        <v>40</v>
      </c>
      <c r="I1" s="1" t="s">
        <v>41</v>
      </c>
      <c r="J1" s="1" t="s">
        <v>77</v>
      </c>
      <c r="K1" s="1" t="s">
        <v>78</v>
      </c>
    </row>
    <row r="2" spans="1:11">
      <c r="A2" s="1">
        <v>2007</v>
      </c>
      <c r="B2" s="2" t="s">
        <v>212</v>
      </c>
      <c r="C2" s="1" t="s">
        <v>200</v>
      </c>
      <c r="D2" s="1" t="s">
        <v>224</v>
      </c>
      <c r="E2" s="1" t="s">
        <v>208</v>
      </c>
      <c r="F2" s="1" t="s">
        <v>209</v>
      </c>
      <c r="G2" s="1">
        <v>0.59</v>
      </c>
      <c r="H2" s="1">
        <f>10.98+0.24</f>
        <v>11.22</v>
      </c>
      <c r="J2" s="1" t="s">
        <v>223</v>
      </c>
      <c r="K2" s="1" t="s">
        <v>223</v>
      </c>
    </row>
    <row r="3" spans="1:11" ht="27">
      <c r="A3" s="1">
        <v>2007</v>
      </c>
      <c r="B3" s="2" t="s">
        <v>213</v>
      </c>
      <c r="C3" s="1" t="s">
        <v>201</v>
      </c>
      <c r="D3" s="1" t="s">
        <v>225</v>
      </c>
      <c r="E3" s="1" t="s">
        <v>210</v>
      </c>
      <c r="F3" s="1" t="s">
        <v>219</v>
      </c>
      <c r="G3" s="1">
        <v>22.98</v>
      </c>
      <c r="H3" s="1">
        <v>112.17</v>
      </c>
      <c r="I3" s="1">
        <v>4</v>
      </c>
      <c r="J3" s="1">
        <v>40.590000000000003</v>
      </c>
      <c r="K3" s="1" t="s">
        <v>223</v>
      </c>
    </row>
    <row r="4" spans="1:11" s="9" customFormat="1">
      <c r="A4" s="9">
        <v>2007</v>
      </c>
      <c r="B4" s="8" t="s">
        <v>214</v>
      </c>
      <c r="C4" s="9" t="s">
        <v>202</v>
      </c>
      <c r="D4" s="9" t="s">
        <v>225</v>
      </c>
      <c r="E4" s="9" t="s">
        <v>4</v>
      </c>
    </row>
    <row r="5" spans="1:11">
      <c r="A5" s="1">
        <v>2007</v>
      </c>
      <c r="B5" s="2" t="s">
        <v>215</v>
      </c>
      <c r="C5" s="1" t="s">
        <v>203</v>
      </c>
      <c r="D5" s="1" t="s">
        <v>225</v>
      </c>
      <c r="E5" s="1" t="s">
        <v>150</v>
      </c>
      <c r="F5" s="1" t="s">
        <v>220</v>
      </c>
      <c r="G5" s="1">
        <v>1.96</v>
      </c>
      <c r="H5" s="1">
        <v>7.79</v>
      </c>
      <c r="I5" s="1" t="s">
        <v>223</v>
      </c>
      <c r="J5" s="1" t="s">
        <v>223</v>
      </c>
      <c r="K5" s="1" t="s">
        <v>223</v>
      </c>
    </row>
    <row r="6" spans="1:11">
      <c r="A6" s="1">
        <v>2007</v>
      </c>
      <c r="B6" s="2" t="s">
        <v>216</v>
      </c>
      <c r="C6" s="1" t="s">
        <v>204</v>
      </c>
      <c r="D6" s="1" t="s">
        <v>226</v>
      </c>
      <c r="E6" s="1" t="s">
        <v>205</v>
      </c>
      <c r="F6" s="1" t="s">
        <v>221</v>
      </c>
      <c r="G6" s="1">
        <v>7.79</v>
      </c>
      <c r="H6" s="1" t="s">
        <v>223</v>
      </c>
      <c r="I6" s="1" t="s">
        <v>223</v>
      </c>
      <c r="J6" s="1" t="s">
        <v>223</v>
      </c>
      <c r="K6" s="1" t="s">
        <v>223</v>
      </c>
    </row>
    <row r="7" spans="1:11">
      <c r="A7" s="1">
        <v>2007</v>
      </c>
      <c r="B7" s="2" t="s">
        <v>217</v>
      </c>
      <c r="C7" s="1" t="s">
        <v>206</v>
      </c>
      <c r="D7" s="1" t="s">
        <v>226</v>
      </c>
      <c r="E7" s="1" t="s">
        <v>2</v>
      </c>
      <c r="F7" s="1" t="s">
        <v>222</v>
      </c>
      <c r="G7" s="1">
        <v>0.43</v>
      </c>
      <c r="H7" s="1">
        <v>25.84</v>
      </c>
      <c r="I7" s="1">
        <v>2</v>
      </c>
      <c r="J7" s="1">
        <v>6.11</v>
      </c>
      <c r="K7" s="1" t="s">
        <v>223</v>
      </c>
    </row>
    <row r="8" spans="1:11">
      <c r="A8" s="1">
        <v>2007</v>
      </c>
      <c r="B8" s="2" t="s">
        <v>228</v>
      </c>
      <c r="C8" s="1" t="s">
        <v>229</v>
      </c>
      <c r="D8" s="1" t="s">
        <v>227</v>
      </c>
      <c r="E8" s="1" t="s">
        <v>222</v>
      </c>
      <c r="F8" s="1" t="s">
        <v>222</v>
      </c>
      <c r="G8" s="1">
        <v>5.04</v>
      </c>
      <c r="H8" s="1">
        <v>263.69</v>
      </c>
      <c r="I8" s="1" t="s">
        <v>223</v>
      </c>
      <c r="J8" s="1" t="s">
        <v>223</v>
      </c>
      <c r="K8" s="1" t="s">
        <v>223</v>
      </c>
    </row>
    <row r="9" spans="1:11" ht="27">
      <c r="A9" s="1">
        <v>2007</v>
      </c>
      <c r="B9" s="2" t="s">
        <v>218</v>
      </c>
      <c r="C9" s="1" t="s">
        <v>207</v>
      </c>
      <c r="D9" s="1" t="s">
        <v>227</v>
      </c>
      <c r="E9" s="1" t="s">
        <v>211</v>
      </c>
      <c r="F9" s="1" t="s">
        <v>221</v>
      </c>
      <c r="G9" s="1">
        <v>7.12</v>
      </c>
      <c r="H9" s="1" t="s">
        <v>223</v>
      </c>
      <c r="I9" s="1" t="s">
        <v>223</v>
      </c>
      <c r="J9" s="1" t="s">
        <v>223</v>
      </c>
      <c r="K9" s="1" t="s">
        <v>223</v>
      </c>
    </row>
    <row r="10" spans="1:11">
      <c r="A10" s="1">
        <v>2008</v>
      </c>
      <c r="B10" s="2" t="s">
        <v>181</v>
      </c>
      <c r="C10" s="1" t="s">
        <v>22</v>
      </c>
      <c r="D10" s="1" t="s">
        <v>194</v>
      </c>
      <c r="E10" s="1" t="s">
        <v>165</v>
      </c>
      <c r="F10" s="1" t="s">
        <v>149</v>
      </c>
      <c r="G10" s="1">
        <v>7.67</v>
      </c>
      <c r="H10" s="1" t="s">
        <v>223</v>
      </c>
      <c r="I10" s="1" t="s">
        <v>223</v>
      </c>
      <c r="J10" s="1" t="s">
        <v>223</v>
      </c>
      <c r="K10" s="1" t="s">
        <v>223</v>
      </c>
    </row>
    <row r="11" spans="1:11">
      <c r="A11" s="1">
        <v>2008</v>
      </c>
      <c r="B11" s="2" t="s">
        <v>182</v>
      </c>
      <c r="C11" s="1" t="s">
        <v>14</v>
      </c>
      <c r="D11" s="1" t="s">
        <v>195</v>
      </c>
      <c r="E11" s="1" t="s">
        <v>3</v>
      </c>
      <c r="F11" s="1" t="s">
        <v>46</v>
      </c>
      <c r="G11" s="1">
        <v>22.3</v>
      </c>
      <c r="H11" s="1" t="s">
        <v>223</v>
      </c>
      <c r="I11" s="1" t="s">
        <v>223</v>
      </c>
      <c r="J11" s="1" t="s">
        <v>223</v>
      </c>
      <c r="K11" s="1" t="s">
        <v>223</v>
      </c>
    </row>
    <row r="12" spans="1:11">
      <c r="A12" s="1">
        <v>2008</v>
      </c>
      <c r="B12" s="2" t="s">
        <v>183</v>
      </c>
      <c r="C12" s="1" t="s">
        <v>5</v>
      </c>
      <c r="D12" s="1" t="s">
        <v>196</v>
      </c>
      <c r="E12" s="1" t="s">
        <v>150</v>
      </c>
      <c r="F12" s="1" t="s">
        <v>191</v>
      </c>
      <c r="G12" s="1">
        <v>3.3</v>
      </c>
      <c r="H12" s="1" t="s">
        <v>223</v>
      </c>
      <c r="I12" s="1" t="s">
        <v>223</v>
      </c>
      <c r="J12" s="1" t="s">
        <v>223</v>
      </c>
      <c r="K12" s="1" t="s">
        <v>223</v>
      </c>
    </row>
    <row r="13" spans="1:11">
      <c r="A13" s="1">
        <v>2008</v>
      </c>
      <c r="B13" s="2" t="s">
        <v>184</v>
      </c>
      <c r="C13" s="1" t="s">
        <v>6</v>
      </c>
      <c r="D13" s="1" t="s">
        <v>196</v>
      </c>
      <c r="E13" s="1" t="s">
        <v>150</v>
      </c>
      <c r="F13" s="1" t="s">
        <v>192</v>
      </c>
      <c r="G13" s="1">
        <v>14.86</v>
      </c>
      <c r="H13" s="1" t="s">
        <v>223</v>
      </c>
      <c r="I13" s="1" t="s">
        <v>223</v>
      </c>
      <c r="J13" s="1" t="s">
        <v>223</v>
      </c>
      <c r="K13" s="1" t="s">
        <v>223</v>
      </c>
    </row>
    <row r="14" spans="1:11">
      <c r="A14" s="1">
        <v>2008</v>
      </c>
      <c r="B14" s="2" t="s">
        <v>185</v>
      </c>
      <c r="C14" s="1" t="s">
        <v>15</v>
      </c>
      <c r="D14" s="1" t="s">
        <v>197</v>
      </c>
      <c r="E14" s="1" t="s">
        <v>162</v>
      </c>
      <c r="F14" s="1" t="s">
        <v>143</v>
      </c>
      <c r="G14" s="1">
        <v>6.63</v>
      </c>
      <c r="H14" s="1" t="s">
        <v>223</v>
      </c>
      <c r="I14" s="1" t="s">
        <v>223</v>
      </c>
      <c r="J14" s="1" t="s">
        <v>223</v>
      </c>
      <c r="K14" s="1" t="s">
        <v>223</v>
      </c>
    </row>
    <row r="15" spans="1:11">
      <c r="A15" s="1">
        <v>2008</v>
      </c>
      <c r="B15" s="2" t="s">
        <v>186</v>
      </c>
      <c r="C15" s="1" t="s">
        <v>23</v>
      </c>
      <c r="D15" s="1" t="s">
        <v>197</v>
      </c>
      <c r="E15" s="1" t="s">
        <v>180</v>
      </c>
      <c r="F15" s="1" t="s">
        <v>46</v>
      </c>
      <c r="G15" s="1">
        <v>4.03</v>
      </c>
      <c r="H15" s="1" t="s">
        <v>223</v>
      </c>
      <c r="I15" s="1" t="s">
        <v>223</v>
      </c>
      <c r="J15" s="1" t="s">
        <v>223</v>
      </c>
      <c r="K15" s="1" t="s">
        <v>223</v>
      </c>
    </row>
    <row r="16" spans="1:11" s="9" customFormat="1">
      <c r="A16" s="9">
        <v>2008</v>
      </c>
      <c r="B16" s="8" t="s">
        <v>187</v>
      </c>
      <c r="C16" s="9" t="s">
        <v>16</v>
      </c>
      <c r="D16" s="9" t="s">
        <v>198</v>
      </c>
      <c r="E16" s="9" t="s">
        <v>4</v>
      </c>
      <c r="G16" s="9" t="s">
        <v>67</v>
      </c>
      <c r="K16" s="1"/>
    </row>
    <row r="17" spans="1:11">
      <c r="A17" s="1">
        <v>2008</v>
      </c>
      <c r="B17" s="2" t="s">
        <v>188</v>
      </c>
      <c r="C17" s="1" t="s">
        <v>17</v>
      </c>
      <c r="D17" s="1" t="s">
        <v>198</v>
      </c>
      <c r="E17" s="1" t="s">
        <v>3</v>
      </c>
      <c r="F17" s="1" t="s">
        <v>167</v>
      </c>
      <c r="G17" s="1">
        <v>132.74</v>
      </c>
      <c r="H17" s="1">
        <f>737.05+242.97</f>
        <v>980.02</v>
      </c>
      <c r="I17" s="1">
        <v>26</v>
      </c>
      <c r="J17" s="1" t="s">
        <v>223</v>
      </c>
      <c r="K17" s="1" t="s">
        <v>223</v>
      </c>
    </row>
    <row r="18" spans="1:11">
      <c r="A18" s="1">
        <v>2008</v>
      </c>
      <c r="B18" s="2" t="s">
        <v>189</v>
      </c>
      <c r="C18" s="1" t="s">
        <v>24</v>
      </c>
      <c r="D18" s="1" t="s">
        <v>198</v>
      </c>
      <c r="E18" s="1" t="s">
        <v>4</v>
      </c>
      <c r="F18" s="1" t="s">
        <v>48</v>
      </c>
      <c r="G18" s="1">
        <v>0.3</v>
      </c>
      <c r="H18" s="1" t="s">
        <v>223</v>
      </c>
      <c r="I18" s="1" t="s">
        <v>223</v>
      </c>
      <c r="J18" s="1" t="s">
        <v>223</v>
      </c>
      <c r="K18" s="1" t="s">
        <v>223</v>
      </c>
    </row>
    <row r="19" spans="1:11">
      <c r="A19" s="1">
        <v>2008</v>
      </c>
      <c r="B19" s="2" t="s">
        <v>190</v>
      </c>
      <c r="C19" s="1" t="s">
        <v>25</v>
      </c>
      <c r="D19" s="1" t="s">
        <v>199</v>
      </c>
      <c r="E19" s="1" t="s">
        <v>165</v>
      </c>
      <c r="F19" s="1" t="s">
        <v>46</v>
      </c>
      <c r="G19" s="1">
        <v>0.18</v>
      </c>
      <c r="H19" s="1" t="s">
        <v>223</v>
      </c>
      <c r="I19" s="1" t="s">
        <v>223</v>
      </c>
      <c r="J19" s="1" t="s">
        <v>223</v>
      </c>
      <c r="K19" s="1" t="s">
        <v>223</v>
      </c>
    </row>
    <row r="20" spans="1:11" s="9" customFormat="1">
      <c r="A20" s="9">
        <v>2009</v>
      </c>
      <c r="B20" s="8" t="s">
        <v>168</v>
      </c>
      <c r="C20" s="9" t="s">
        <v>7</v>
      </c>
      <c r="D20" s="9" t="s">
        <v>195</v>
      </c>
      <c r="E20" s="9" t="s">
        <v>0</v>
      </c>
      <c r="G20" s="9" t="s">
        <v>67</v>
      </c>
      <c r="K20" s="1"/>
    </row>
    <row r="21" spans="1:11" s="9" customFormat="1">
      <c r="A21" s="9">
        <v>2009</v>
      </c>
      <c r="B21" s="8" t="s">
        <v>169</v>
      </c>
      <c r="C21" s="9" t="s">
        <v>26</v>
      </c>
      <c r="D21" s="9" t="s">
        <v>195</v>
      </c>
      <c r="E21" s="9" t="s">
        <v>3</v>
      </c>
      <c r="G21" s="9" t="s">
        <v>67</v>
      </c>
      <c r="K21" s="1"/>
    </row>
    <row r="22" spans="1:11" s="9" customFormat="1">
      <c r="A22" s="9">
        <v>2009</v>
      </c>
      <c r="B22" s="8" t="s">
        <v>170</v>
      </c>
      <c r="C22" s="9" t="s">
        <v>8</v>
      </c>
      <c r="D22" s="9" t="s">
        <v>196</v>
      </c>
      <c r="E22" s="9" t="s">
        <v>165</v>
      </c>
      <c r="G22" s="9" t="s">
        <v>67</v>
      </c>
      <c r="K22" s="1"/>
    </row>
    <row r="23" spans="1:11">
      <c r="A23" s="1">
        <v>2009</v>
      </c>
      <c r="B23" s="2" t="s">
        <v>171</v>
      </c>
      <c r="C23" s="1" t="s">
        <v>27</v>
      </c>
      <c r="D23" s="1" t="s">
        <v>196</v>
      </c>
      <c r="E23" s="1" t="s">
        <v>3</v>
      </c>
      <c r="F23" s="1" t="s">
        <v>46</v>
      </c>
      <c r="G23" s="1">
        <v>4.6500000000000004</v>
      </c>
      <c r="H23" s="1" t="s">
        <v>223</v>
      </c>
      <c r="I23" s="1" t="s">
        <v>67</v>
      </c>
      <c r="J23" s="1" t="s">
        <v>67</v>
      </c>
      <c r="K23" s="1" t="s">
        <v>67</v>
      </c>
    </row>
    <row r="24" spans="1:11">
      <c r="A24" s="1">
        <v>2009</v>
      </c>
      <c r="B24" s="2" t="s">
        <v>172</v>
      </c>
      <c r="C24" s="1" t="s">
        <v>18</v>
      </c>
      <c r="D24" s="1" t="s">
        <v>197</v>
      </c>
      <c r="E24" s="1" t="s">
        <v>3</v>
      </c>
      <c r="F24" s="1" t="s">
        <v>178</v>
      </c>
      <c r="G24" s="1">
        <v>14.29</v>
      </c>
      <c r="H24" s="1" t="s">
        <v>223</v>
      </c>
      <c r="I24" s="1" t="s">
        <v>67</v>
      </c>
      <c r="J24" s="1" t="s">
        <v>67</v>
      </c>
      <c r="K24" s="1" t="s">
        <v>67</v>
      </c>
    </row>
    <row r="25" spans="1:11">
      <c r="A25" s="1">
        <v>2009</v>
      </c>
      <c r="B25" s="2" t="s">
        <v>173</v>
      </c>
      <c r="C25" s="1" t="s">
        <v>19</v>
      </c>
      <c r="D25" s="1" t="s">
        <v>197</v>
      </c>
      <c r="E25" s="1" t="s">
        <v>150</v>
      </c>
      <c r="F25" s="1" t="s">
        <v>177</v>
      </c>
      <c r="G25" s="1">
        <v>32.65</v>
      </c>
      <c r="H25" s="1" t="s">
        <v>67</v>
      </c>
      <c r="I25" s="1" t="s">
        <v>67</v>
      </c>
      <c r="J25" s="1" t="s">
        <v>67</v>
      </c>
      <c r="K25" s="1" t="s">
        <v>67</v>
      </c>
    </row>
    <row r="26" spans="1:11" s="9" customFormat="1">
      <c r="A26" s="9">
        <v>2009</v>
      </c>
      <c r="B26" s="8" t="s">
        <v>174</v>
      </c>
      <c r="C26" s="9" t="s">
        <v>9</v>
      </c>
      <c r="D26" s="9" t="s">
        <v>197</v>
      </c>
      <c r="E26" s="9" t="s">
        <v>2</v>
      </c>
      <c r="G26" s="9" t="s">
        <v>67</v>
      </c>
    </row>
    <row r="27" spans="1:11">
      <c r="A27" s="1">
        <v>2009</v>
      </c>
      <c r="B27" s="2" t="s">
        <v>175</v>
      </c>
      <c r="C27" s="1" t="s">
        <v>28</v>
      </c>
      <c r="D27" s="1" t="s">
        <v>198</v>
      </c>
      <c r="E27" s="1" t="s">
        <v>3</v>
      </c>
      <c r="F27" s="1" t="s">
        <v>143</v>
      </c>
      <c r="G27" s="1">
        <v>24.04</v>
      </c>
      <c r="H27" s="1">
        <f>6.91+167.82</f>
        <v>174.73</v>
      </c>
      <c r="I27" s="1">
        <v>19</v>
      </c>
      <c r="J27" s="1" t="s">
        <v>67</v>
      </c>
      <c r="K27" s="1" t="s">
        <v>67</v>
      </c>
    </row>
    <row r="28" spans="1:11">
      <c r="A28" s="1">
        <v>2009</v>
      </c>
      <c r="B28" s="2" t="s">
        <v>176</v>
      </c>
      <c r="C28" s="1" t="s">
        <v>29</v>
      </c>
      <c r="D28" s="1" t="s">
        <v>199</v>
      </c>
      <c r="E28" s="1" t="s">
        <v>2</v>
      </c>
      <c r="F28" s="1" t="s">
        <v>179</v>
      </c>
      <c r="G28" s="1">
        <v>2.4</v>
      </c>
      <c r="H28" s="1" t="s">
        <v>67</v>
      </c>
      <c r="I28" s="1" t="s">
        <v>67</v>
      </c>
      <c r="J28" s="1" t="s">
        <v>67</v>
      </c>
      <c r="K28" s="1" t="s">
        <v>67</v>
      </c>
    </row>
    <row r="29" spans="1:11" s="9" customFormat="1">
      <c r="A29" s="9">
        <v>2010</v>
      </c>
      <c r="B29" s="8">
        <v>1002</v>
      </c>
      <c r="C29" s="9" t="s">
        <v>30</v>
      </c>
      <c r="E29" s="9" t="s">
        <v>2</v>
      </c>
      <c r="G29" s="9" t="s">
        <v>67</v>
      </c>
    </row>
    <row r="30" spans="1:11">
      <c r="A30" s="1">
        <v>2010</v>
      </c>
      <c r="B30" s="2">
        <v>1003</v>
      </c>
      <c r="C30" s="1" t="s">
        <v>31</v>
      </c>
      <c r="E30" s="1" t="s">
        <v>3</v>
      </c>
      <c r="F30" s="1" t="s">
        <v>143</v>
      </c>
      <c r="G30" s="1">
        <v>32.15</v>
      </c>
      <c r="H30" s="1">
        <f>236.3+84.24</f>
        <v>320.54000000000002</v>
      </c>
      <c r="I30" s="1">
        <v>5</v>
      </c>
      <c r="J30" s="1" t="s">
        <v>67</v>
      </c>
      <c r="K30" s="1" t="s">
        <v>67</v>
      </c>
    </row>
    <row r="31" spans="1:11">
      <c r="A31" s="1">
        <v>2010</v>
      </c>
      <c r="B31" s="2">
        <v>1006</v>
      </c>
      <c r="C31" s="1" t="s">
        <v>32</v>
      </c>
      <c r="E31" s="1" t="s">
        <v>0</v>
      </c>
      <c r="F31" s="1" t="s">
        <v>110</v>
      </c>
      <c r="G31" s="1">
        <v>0.53</v>
      </c>
      <c r="H31" s="1" t="s">
        <v>223</v>
      </c>
      <c r="I31" s="1">
        <v>0</v>
      </c>
      <c r="J31" s="1" t="s">
        <v>67</v>
      </c>
      <c r="K31" s="1" t="s">
        <v>223</v>
      </c>
    </row>
    <row r="32" spans="1:11">
      <c r="A32" s="1">
        <v>2010</v>
      </c>
      <c r="B32" s="2">
        <v>1008</v>
      </c>
      <c r="C32" s="1" t="s">
        <v>33</v>
      </c>
      <c r="E32" s="1" t="s">
        <v>0</v>
      </c>
      <c r="F32" s="1" t="s">
        <v>48</v>
      </c>
      <c r="G32" s="1">
        <v>0.01</v>
      </c>
      <c r="H32" s="1" t="s">
        <v>223</v>
      </c>
      <c r="I32" s="1">
        <v>0</v>
      </c>
      <c r="J32" s="1" t="s">
        <v>67</v>
      </c>
      <c r="K32" s="1" t="s">
        <v>223</v>
      </c>
    </row>
    <row r="33" spans="1:11">
      <c r="A33" s="1">
        <v>2010</v>
      </c>
      <c r="B33" s="2">
        <v>1010</v>
      </c>
      <c r="C33" s="1" t="s">
        <v>10</v>
      </c>
      <c r="E33" s="1" t="s">
        <v>0</v>
      </c>
      <c r="F33" s="1" t="s">
        <v>110</v>
      </c>
      <c r="G33" s="1">
        <v>3.24</v>
      </c>
      <c r="H33" s="1" t="s">
        <v>223</v>
      </c>
      <c r="I33" s="1">
        <v>0</v>
      </c>
      <c r="J33" s="1" t="s">
        <v>67</v>
      </c>
      <c r="K33" s="1" t="s">
        <v>223</v>
      </c>
    </row>
    <row r="34" spans="1:11">
      <c r="A34" s="1">
        <v>2010</v>
      </c>
      <c r="B34" s="2">
        <v>1011</v>
      </c>
      <c r="C34" s="1" t="s">
        <v>34</v>
      </c>
      <c r="E34" s="1" t="s">
        <v>150</v>
      </c>
      <c r="F34" s="1" t="s">
        <v>110</v>
      </c>
      <c r="G34" s="1">
        <v>3.24</v>
      </c>
      <c r="H34" s="1" t="s">
        <v>223</v>
      </c>
      <c r="I34" s="1">
        <v>0</v>
      </c>
      <c r="J34" s="1" t="s">
        <v>67</v>
      </c>
      <c r="K34" s="1" t="s">
        <v>223</v>
      </c>
    </row>
    <row r="35" spans="1:11">
      <c r="A35" s="1">
        <v>2010</v>
      </c>
      <c r="B35" s="2">
        <v>1013</v>
      </c>
      <c r="C35" s="1" t="s">
        <v>11</v>
      </c>
      <c r="E35" s="1" t="s">
        <v>0</v>
      </c>
      <c r="F35" s="1" t="s">
        <v>110</v>
      </c>
      <c r="G35" s="1">
        <v>26.22</v>
      </c>
      <c r="H35" s="1">
        <v>61.07</v>
      </c>
      <c r="I35" s="1">
        <v>0</v>
      </c>
      <c r="J35" s="1" t="s">
        <v>67</v>
      </c>
      <c r="K35" s="1">
        <v>500</v>
      </c>
    </row>
    <row r="36" spans="1:11" s="9" customFormat="1">
      <c r="A36" s="9">
        <v>2011</v>
      </c>
      <c r="B36" s="8">
        <v>1103</v>
      </c>
      <c r="C36" s="9" t="s">
        <v>12</v>
      </c>
      <c r="E36" s="9" t="s">
        <v>3</v>
      </c>
      <c r="G36" s="9" t="s">
        <v>67</v>
      </c>
    </row>
    <row r="37" spans="1:11" s="9" customFormat="1">
      <c r="A37" s="9">
        <v>2011</v>
      </c>
      <c r="B37" s="8">
        <v>1104</v>
      </c>
      <c r="C37" s="9" t="s">
        <v>13</v>
      </c>
      <c r="E37" s="9" t="s">
        <v>3</v>
      </c>
      <c r="G37" s="9" t="s">
        <v>67</v>
      </c>
    </row>
    <row r="38" spans="1:11">
      <c r="A38" s="1">
        <v>2011</v>
      </c>
      <c r="B38" s="2">
        <v>1105</v>
      </c>
      <c r="C38" s="1" t="s">
        <v>35</v>
      </c>
      <c r="E38" s="1" t="s">
        <v>1</v>
      </c>
      <c r="F38" s="1" t="s">
        <v>166</v>
      </c>
      <c r="G38" s="1">
        <v>4.29</v>
      </c>
      <c r="H38" s="1" t="s">
        <v>67</v>
      </c>
      <c r="I38" s="1">
        <v>0</v>
      </c>
      <c r="J38" s="1" t="s">
        <v>67</v>
      </c>
      <c r="K38" s="1" t="s">
        <v>67</v>
      </c>
    </row>
    <row r="39" spans="1:11" s="9" customFormat="1">
      <c r="A39" s="9">
        <v>2011</v>
      </c>
      <c r="B39" s="8">
        <v>1108</v>
      </c>
      <c r="C39" s="9" t="s">
        <v>20</v>
      </c>
      <c r="E39" s="9" t="s">
        <v>2</v>
      </c>
      <c r="G39" s="9" t="s">
        <v>67</v>
      </c>
    </row>
    <row r="40" spans="1:11">
      <c r="A40" s="1">
        <v>2011</v>
      </c>
      <c r="B40" s="2">
        <v>1111</v>
      </c>
      <c r="C40" s="1" t="s">
        <v>21</v>
      </c>
      <c r="E40" s="1" t="s">
        <v>150</v>
      </c>
      <c r="F40" s="1" t="s">
        <v>110</v>
      </c>
      <c r="G40" s="1">
        <v>5.32</v>
      </c>
      <c r="H40" s="1">
        <v>56.76</v>
      </c>
      <c r="I40" s="1">
        <v>0</v>
      </c>
      <c r="J40" s="1" t="s">
        <v>67</v>
      </c>
      <c r="K40" s="1">
        <v>150</v>
      </c>
    </row>
    <row r="41" spans="1:11">
      <c r="A41" s="1">
        <v>2011</v>
      </c>
      <c r="B41" s="2">
        <v>1117</v>
      </c>
      <c r="C41" s="1" t="s">
        <v>36</v>
      </c>
      <c r="E41" s="1" t="s">
        <v>165</v>
      </c>
      <c r="F41" s="1" t="s">
        <v>167</v>
      </c>
      <c r="G41" s="1">
        <v>31.06</v>
      </c>
      <c r="H41" s="1" t="s">
        <v>67</v>
      </c>
      <c r="I41" s="1">
        <v>0</v>
      </c>
      <c r="J41" s="1" t="s">
        <v>67</v>
      </c>
      <c r="K41" s="1" t="s">
        <v>67</v>
      </c>
    </row>
    <row r="42" spans="1:11">
      <c r="A42" s="1">
        <v>2011</v>
      </c>
      <c r="B42" s="2">
        <v>1119</v>
      </c>
      <c r="C42" s="1" t="s">
        <v>37</v>
      </c>
      <c r="E42" s="1" t="s">
        <v>2</v>
      </c>
      <c r="F42" s="1" t="s">
        <v>49</v>
      </c>
      <c r="G42" s="1">
        <v>2.66</v>
      </c>
    </row>
    <row r="43" spans="1:11">
      <c r="A43" s="1">
        <v>2012</v>
      </c>
      <c r="B43" s="2" t="s">
        <v>160</v>
      </c>
      <c r="C43" s="2" t="s">
        <v>151</v>
      </c>
      <c r="D43" s="2"/>
      <c r="E43" s="2" t="s">
        <v>46</v>
      </c>
      <c r="F43" s="1" t="s">
        <v>46</v>
      </c>
      <c r="G43" s="1">
        <v>0.01</v>
      </c>
      <c r="H43" s="1" t="s">
        <v>67</v>
      </c>
      <c r="I43" s="1">
        <v>0</v>
      </c>
      <c r="J43" s="1" t="s">
        <v>67</v>
      </c>
      <c r="K43" s="1" t="s">
        <v>67</v>
      </c>
    </row>
    <row r="44" spans="1:11">
      <c r="A44" s="1">
        <v>2012</v>
      </c>
      <c r="B44" s="2">
        <v>1208</v>
      </c>
      <c r="C44" s="2" t="s">
        <v>152</v>
      </c>
      <c r="D44" s="2"/>
      <c r="E44" s="2" t="s">
        <v>46</v>
      </c>
      <c r="F44" s="1" t="s">
        <v>143</v>
      </c>
      <c r="G44" s="1">
        <v>4.29</v>
      </c>
      <c r="H44" s="1">
        <v>46.26</v>
      </c>
      <c r="I44" s="1">
        <v>9</v>
      </c>
      <c r="J44" s="1" t="s">
        <v>67</v>
      </c>
      <c r="K44" s="1">
        <v>604</v>
      </c>
    </row>
    <row r="45" spans="1:11">
      <c r="A45" s="1">
        <v>2012</v>
      </c>
      <c r="B45" s="2">
        <v>1209</v>
      </c>
      <c r="C45" s="2" t="s">
        <v>153</v>
      </c>
      <c r="D45" s="2"/>
      <c r="E45" s="2" t="s">
        <v>44</v>
      </c>
      <c r="F45" s="1" t="s">
        <v>163</v>
      </c>
      <c r="G45" s="1">
        <v>3.06</v>
      </c>
      <c r="H45" s="1" t="s">
        <v>67</v>
      </c>
      <c r="I45" s="1">
        <v>0</v>
      </c>
      <c r="J45" s="1" t="s">
        <v>67</v>
      </c>
      <c r="K45" s="1" t="s">
        <v>67</v>
      </c>
    </row>
    <row r="46" spans="1:11" ht="27">
      <c r="A46" s="1">
        <v>2012</v>
      </c>
      <c r="B46" s="2">
        <v>1210</v>
      </c>
      <c r="C46" s="2" t="s">
        <v>154</v>
      </c>
      <c r="D46" s="2"/>
      <c r="E46" s="2" t="s">
        <v>158</v>
      </c>
      <c r="F46" s="1" t="s">
        <v>164</v>
      </c>
      <c r="G46" s="1">
        <v>41.75</v>
      </c>
      <c r="H46" s="1" t="s">
        <v>67</v>
      </c>
      <c r="I46" s="1">
        <v>0</v>
      </c>
      <c r="J46" s="1" t="s">
        <v>67</v>
      </c>
      <c r="K46" s="1" t="s">
        <v>67</v>
      </c>
    </row>
    <row r="47" spans="1:11">
      <c r="A47" s="1">
        <v>2012</v>
      </c>
      <c r="B47" s="2">
        <v>1211</v>
      </c>
      <c r="C47" s="2" t="s">
        <v>155</v>
      </c>
      <c r="D47" s="2"/>
      <c r="E47" s="2" t="s">
        <v>48</v>
      </c>
      <c r="F47" s="1" t="s">
        <v>161</v>
      </c>
      <c r="G47" s="1">
        <v>42.38</v>
      </c>
      <c r="H47" s="1" t="s">
        <v>67</v>
      </c>
      <c r="I47" s="1">
        <v>0</v>
      </c>
      <c r="J47" s="1" t="s">
        <v>67</v>
      </c>
      <c r="K47" s="1" t="s">
        <v>67</v>
      </c>
    </row>
    <row r="48" spans="1:11">
      <c r="A48" s="1">
        <v>2012</v>
      </c>
      <c r="B48" s="2">
        <v>1213</v>
      </c>
      <c r="C48" s="2" t="s">
        <v>156</v>
      </c>
      <c r="D48" s="2"/>
      <c r="E48" s="2" t="s">
        <v>46</v>
      </c>
      <c r="F48" s="1" t="s">
        <v>143</v>
      </c>
      <c r="G48" s="1">
        <v>18.23</v>
      </c>
      <c r="H48" s="1">
        <v>223.8</v>
      </c>
      <c r="I48" s="1">
        <v>0</v>
      </c>
      <c r="J48" s="1" t="s">
        <v>67</v>
      </c>
      <c r="K48" s="1">
        <v>1421</v>
      </c>
    </row>
    <row r="49" spans="1:11" s="9" customFormat="1">
      <c r="A49" s="9">
        <v>2012</v>
      </c>
      <c r="B49" s="8">
        <v>1214</v>
      </c>
      <c r="C49" s="8" t="s">
        <v>157</v>
      </c>
      <c r="D49" s="8"/>
      <c r="E49" s="8" t="s">
        <v>159</v>
      </c>
      <c r="G49" s="9" t="s">
        <v>67</v>
      </c>
    </row>
    <row r="50" spans="1:11" s="11" customFormat="1">
      <c r="A50" s="11">
        <v>2013</v>
      </c>
      <c r="B50" s="12" t="s">
        <v>125</v>
      </c>
      <c r="C50" s="11" t="s">
        <v>126</v>
      </c>
      <c r="E50" s="11" t="s">
        <v>49</v>
      </c>
      <c r="F50" s="11" t="s">
        <v>49</v>
      </c>
      <c r="G50" s="11">
        <v>200</v>
      </c>
      <c r="H50" s="11">
        <v>20.2</v>
      </c>
      <c r="I50" s="11">
        <v>0</v>
      </c>
      <c r="J50" s="11">
        <v>0.02</v>
      </c>
      <c r="K50" s="11" t="s">
        <v>67</v>
      </c>
    </row>
    <row r="51" spans="1:11" s="11" customFormat="1">
      <c r="A51" s="11">
        <v>2013</v>
      </c>
      <c r="B51" s="12" t="s">
        <v>127</v>
      </c>
      <c r="C51" s="11" t="s">
        <v>140</v>
      </c>
      <c r="E51" s="11" t="s">
        <v>46</v>
      </c>
      <c r="F51" s="11" t="s">
        <v>143</v>
      </c>
      <c r="G51" s="11">
        <v>10.5</v>
      </c>
      <c r="H51" s="11">
        <v>179.5</v>
      </c>
      <c r="I51" s="11">
        <v>0</v>
      </c>
      <c r="J51" s="11">
        <v>123</v>
      </c>
      <c r="K51" s="11">
        <v>1400</v>
      </c>
    </row>
    <row r="52" spans="1:11" s="11" customFormat="1" ht="27">
      <c r="A52" s="11">
        <v>2013</v>
      </c>
      <c r="B52" s="12" t="s">
        <v>128</v>
      </c>
      <c r="C52" s="11" t="s">
        <v>139</v>
      </c>
      <c r="E52" s="11" t="s">
        <v>44</v>
      </c>
      <c r="F52" s="11" t="s">
        <v>144</v>
      </c>
      <c r="G52" s="11">
        <v>9.84</v>
      </c>
      <c r="H52" s="11">
        <v>167.7</v>
      </c>
      <c r="I52" s="11">
        <v>3</v>
      </c>
      <c r="J52" s="11">
        <v>43.1</v>
      </c>
      <c r="K52" s="11">
        <v>2600</v>
      </c>
    </row>
    <row r="53" spans="1:11" s="11" customFormat="1">
      <c r="A53" s="11">
        <v>2013</v>
      </c>
      <c r="B53" s="12" t="s">
        <v>129</v>
      </c>
      <c r="C53" s="11" t="s">
        <v>138</v>
      </c>
      <c r="E53" s="11" t="s">
        <v>110</v>
      </c>
      <c r="F53" s="11" t="s">
        <v>110</v>
      </c>
      <c r="G53" s="11">
        <v>27.3</v>
      </c>
      <c r="H53" s="11">
        <v>30.6</v>
      </c>
      <c r="I53" s="11">
        <v>4</v>
      </c>
      <c r="J53" s="11">
        <v>20.6</v>
      </c>
      <c r="K53" s="11">
        <v>1600</v>
      </c>
    </row>
    <row r="54" spans="1:11" s="11" customFormat="1">
      <c r="A54" s="11">
        <v>2013</v>
      </c>
      <c r="B54" s="12" t="s">
        <v>130</v>
      </c>
      <c r="C54" s="11" t="s">
        <v>136</v>
      </c>
      <c r="E54" s="11" t="s">
        <v>49</v>
      </c>
      <c r="F54" s="11" t="s">
        <v>93</v>
      </c>
      <c r="G54" s="11">
        <v>2.3199999999999998</v>
      </c>
      <c r="H54" s="11">
        <v>76.599999999999994</v>
      </c>
      <c r="I54" s="11">
        <v>0</v>
      </c>
      <c r="J54" s="11">
        <v>238.5</v>
      </c>
      <c r="K54" s="11">
        <v>500</v>
      </c>
    </row>
    <row r="55" spans="1:11" s="11" customFormat="1">
      <c r="A55" s="11">
        <v>2013</v>
      </c>
      <c r="B55" s="12" t="s">
        <v>131</v>
      </c>
      <c r="C55" s="11" t="s">
        <v>137</v>
      </c>
      <c r="E55" s="11" t="s">
        <v>46</v>
      </c>
      <c r="F55" s="11" t="s">
        <v>146</v>
      </c>
      <c r="G55" s="11">
        <v>159.19999999999999</v>
      </c>
      <c r="H55" s="11">
        <v>1024.2</v>
      </c>
      <c r="I55" s="11">
        <v>88</v>
      </c>
      <c r="J55" s="11">
        <v>461.5</v>
      </c>
      <c r="K55" s="11">
        <v>79700</v>
      </c>
    </row>
    <row r="56" spans="1:11" s="11" customFormat="1" ht="40.5">
      <c r="A56" s="11">
        <v>2013</v>
      </c>
      <c r="B56" s="12" t="s">
        <v>132</v>
      </c>
      <c r="C56" s="11" t="s">
        <v>135</v>
      </c>
      <c r="E56" s="11" t="s">
        <v>110</v>
      </c>
      <c r="F56" s="11" t="s">
        <v>145</v>
      </c>
      <c r="G56" s="11">
        <v>33.49</v>
      </c>
      <c r="H56" s="11">
        <v>295.7</v>
      </c>
      <c r="I56" s="11">
        <v>3</v>
      </c>
      <c r="J56" s="11">
        <v>110.3</v>
      </c>
      <c r="K56" s="11">
        <v>2900</v>
      </c>
    </row>
    <row r="57" spans="1:11" s="11" customFormat="1" ht="27">
      <c r="A57" s="11">
        <v>2013</v>
      </c>
      <c r="B57" s="12" t="s">
        <v>133</v>
      </c>
      <c r="C57" s="11" t="s">
        <v>134</v>
      </c>
      <c r="E57" s="11" t="s">
        <v>46</v>
      </c>
      <c r="F57" s="11" t="s">
        <v>141</v>
      </c>
      <c r="G57" s="11">
        <v>234.97</v>
      </c>
      <c r="H57" s="11">
        <v>1138.2</v>
      </c>
      <c r="I57" s="11">
        <v>35</v>
      </c>
      <c r="J57" s="11">
        <v>725.8</v>
      </c>
      <c r="K57" s="11" t="s">
        <v>142</v>
      </c>
    </row>
    <row r="58" spans="1:11" s="11" customFormat="1" ht="27">
      <c r="A58" s="11">
        <v>2013</v>
      </c>
      <c r="B58" s="12" t="s">
        <v>98</v>
      </c>
      <c r="C58" s="11" t="s">
        <v>99</v>
      </c>
      <c r="E58" s="11" t="s">
        <v>110</v>
      </c>
      <c r="F58" s="11" t="s">
        <v>123</v>
      </c>
      <c r="G58" s="11">
        <f>365.4+44.3</f>
        <v>409.7</v>
      </c>
      <c r="H58" s="11">
        <v>1094.3</v>
      </c>
      <c r="I58" s="11">
        <v>10</v>
      </c>
      <c r="J58" s="11">
        <f>600.9+27</f>
        <v>627.9</v>
      </c>
      <c r="K58" s="11" t="s">
        <v>124</v>
      </c>
    </row>
    <row r="59" spans="1:11" s="11" customFormat="1">
      <c r="A59" s="11">
        <v>2014</v>
      </c>
      <c r="B59" s="12" t="s">
        <v>64</v>
      </c>
      <c r="C59" s="11" t="s">
        <v>65</v>
      </c>
      <c r="E59" s="11" t="s">
        <v>46</v>
      </c>
      <c r="F59" s="11" t="s">
        <v>75</v>
      </c>
      <c r="G59" s="11">
        <f>7.4+0.74</f>
        <v>8.14</v>
      </c>
      <c r="H59" s="11">
        <f>25.4+10.2</f>
        <v>35.599999999999994</v>
      </c>
      <c r="I59" s="11">
        <v>0</v>
      </c>
      <c r="J59" s="11">
        <f>4.3+18.8</f>
        <v>23.1</v>
      </c>
      <c r="K59" s="11" t="s">
        <v>100</v>
      </c>
    </row>
    <row r="60" spans="1:11" s="11" customFormat="1" ht="27">
      <c r="A60" s="11">
        <v>2014</v>
      </c>
      <c r="B60" s="12" t="s">
        <v>79</v>
      </c>
      <c r="C60" s="11" t="s">
        <v>80</v>
      </c>
      <c r="E60" s="11" t="s">
        <v>76</v>
      </c>
      <c r="F60" s="13" t="s">
        <v>82</v>
      </c>
      <c r="G60" s="14">
        <v>384.8</v>
      </c>
      <c r="H60" s="14">
        <f>1107.3+37.3</f>
        <v>1144.5999999999999</v>
      </c>
      <c r="I60" s="11">
        <v>76</v>
      </c>
      <c r="J60" s="14">
        <v>1913.9</v>
      </c>
      <c r="K60" s="11">
        <v>40000</v>
      </c>
    </row>
    <row r="61" spans="1:11" s="11" customFormat="1" ht="40.5">
      <c r="A61" s="11">
        <v>2014</v>
      </c>
      <c r="B61" s="12" t="s">
        <v>84</v>
      </c>
      <c r="C61" s="11" t="s">
        <v>83</v>
      </c>
      <c r="E61" s="11" t="s">
        <v>101</v>
      </c>
      <c r="F61" s="13" t="s">
        <v>81</v>
      </c>
      <c r="G61" s="14">
        <v>33.700000000000003</v>
      </c>
      <c r="H61" s="11">
        <v>254.3</v>
      </c>
      <c r="I61" s="14">
        <v>13</v>
      </c>
      <c r="J61" s="14">
        <v>190.2</v>
      </c>
      <c r="K61" s="11" t="s">
        <v>102</v>
      </c>
    </row>
    <row r="62" spans="1:11" s="11" customFormat="1" ht="27">
      <c r="A62" s="11">
        <v>2014</v>
      </c>
      <c r="B62" s="12" t="s">
        <v>85</v>
      </c>
      <c r="C62" s="11" t="s">
        <v>86</v>
      </c>
      <c r="E62" s="11" t="s">
        <v>87</v>
      </c>
      <c r="F62" s="11" t="s">
        <v>97</v>
      </c>
      <c r="G62" s="11">
        <v>176.7</v>
      </c>
      <c r="H62" s="11">
        <v>952.4</v>
      </c>
      <c r="I62" s="11">
        <v>11</v>
      </c>
      <c r="J62" s="11">
        <v>884.9</v>
      </c>
      <c r="K62" s="11" t="s">
        <v>103</v>
      </c>
    </row>
    <row r="63" spans="1:11" s="11" customFormat="1" ht="27">
      <c r="A63" s="11">
        <v>2014</v>
      </c>
      <c r="B63" s="12" t="s">
        <v>89</v>
      </c>
      <c r="C63" s="11" t="s">
        <v>88</v>
      </c>
      <c r="E63" s="11" t="s">
        <v>90</v>
      </c>
      <c r="F63" s="11" t="s">
        <v>48</v>
      </c>
      <c r="G63" s="11">
        <v>9.5</v>
      </c>
      <c r="H63" s="11">
        <v>125.4</v>
      </c>
      <c r="I63" s="11">
        <v>0</v>
      </c>
      <c r="J63" s="14">
        <v>39.5</v>
      </c>
      <c r="K63" s="11">
        <v>60</v>
      </c>
    </row>
    <row r="64" spans="1:11" s="11" customFormat="1">
      <c r="A64" s="11">
        <v>2015</v>
      </c>
      <c r="B64" s="12" t="s">
        <v>51</v>
      </c>
      <c r="C64" s="11" t="s">
        <v>52</v>
      </c>
      <c r="E64" s="11" t="s">
        <v>49</v>
      </c>
      <c r="F64" s="11" t="s">
        <v>76</v>
      </c>
      <c r="G64" s="11">
        <v>0.7</v>
      </c>
      <c r="H64" s="11">
        <v>9</v>
      </c>
      <c r="J64" s="11">
        <v>1.8</v>
      </c>
      <c r="K64" s="11">
        <v>2000</v>
      </c>
    </row>
    <row r="65" spans="1:11" s="11" customFormat="1" ht="40.5">
      <c r="A65" s="11">
        <v>2015</v>
      </c>
      <c r="B65" s="12" t="s">
        <v>53</v>
      </c>
      <c r="C65" s="11" t="s">
        <v>56</v>
      </c>
      <c r="E65" s="11" t="s">
        <v>48</v>
      </c>
      <c r="F65" s="11" t="s">
        <v>91</v>
      </c>
      <c r="G65" s="11">
        <v>91.4</v>
      </c>
      <c r="H65" s="11">
        <v>352.8</v>
      </c>
      <c r="I65" s="11">
        <v>0</v>
      </c>
      <c r="J65" s="11">
        <v>272.89999999999998</v>
      </c>
      <c r="K65" s="11" t="s">
        <v>104</v>
      </c>
    </row>
    <row r="66" spans="1:11" s="11" customFormat="1">
      <c r="A66" s="11">
        <v>2015</v>
      </c>
      <c r="B66" s="12" t="s">
        <v>54</v>
      </c>
      <c r="C66" s="11" t="s">
        <v>55</v>
      </c>
      <c r="E66" s="11" t="s">
        <v>46</v>
      </c>
      <c r="F66" s="11" t="s">
        <v>75</v>
      </c>
      <c r="G66" s="11">
        <v>12.99</v>
      </c>
      <c r="H66" s="11">
        <v>165.2</v>
      </c>
      <c r="I66" s="11">
        <v>0</v>
      </c>
      <c r="J66" s="11">
        <v>46.5</v>
      </c>
      <c r="K66" s="11" t="s">
        <v>105</v>
      </c>
    </row>
    <row r="67" spans="1:11" s="11" customFormat="1" ht="27">
      <c r="A67" s="11">
        <v>2015</v>
      </c>
      <c r="B67" s="12" t="s">
        <v>57</v>
      </c>
      <c r="C67" s="11" t="s">
        <v>60</v>
      </c>
      <c r="E67" s="11" t="s">
        <v>44</v>
      </c>
      <c r="F67" s="11" t="s">
        <v>92</v>
      </c>
      <c r="G67" s="11">
        <v>181.9</v>
      </c>
      <c r="H67" s="11">
        <v>773.6</v>
      </c>
      <c r="I67" s="11">
        <f>26+7</f>
        <v>33</v>
      </c>
      <c r="J67" s="11">
        <v>483.6</v>
      </c>
      <c r="K67" s="11" t="s">
        <v>106</v>
      </c>
    </row>
    <row r="68" spans="1:11" s="11" customFormat="1">
      <c r="A68" s="11">
        <v>2015</v>
      </c>
      <c r="B68" s="12" t="s">
        <v>58</v>
      </c>
      <c r="C68" s="11" t="s">
        <v>61</v>
      </c>
      <c r="E68" s="11" t="s">
        <v>44</v>
      </c>
      <c r="F68" s="11" t="s">
        <v>74</v>
      </c>
      <c r="G68" s="11">
        <v>14</v>
      </c>
      <c r="H68" s="11">
        <v>99</v>
      </c>
      <c r="I68" s="11">
        <v>0</v>
      </c>
      <c r="J68" s="11">
        <v>57.24</v>
      </c>
      <c r="K68" s="11" t="s">
        <v>67</v>
      </c>
    </row>
    <row r="69" spans="1:11" s="11" customFormat="1">
      <c r="A69" s="11">
        <v>2015</v>
      </c>
      <c r="B69" s="12" t="s">
        <v>62</v>
      </c>
      <c r="C69" s="11" t="s">
        <v>63</v>
      </c>
      <c r="E69" s="11" t="s">
        <v>46</v>
      </c>
      <c r="F69" s="11" t="s">
        <v>93</v>
      </c>
      <c r="G69" s="14">
        <v>266.39999999999998</v>
      </c>
      <c r="H69" s="14">
        <v>747.9</v>
      </c>
      <c r="I69" s="11">
        <f>19+5</f>
        <v>24</v>
      </c>
      <c r="J69" s="14">
        <v>562.29999999999995</v>
      </c>
      <c r="K69" s="14" t="s">
        <v>107</v>
      </c>
    </row>
    <row r="70" spans="1:11" s="11" customFormat="1">
      <c r="A70" s="11">
        <v>2016</v>
      </c>
      <c r="B70" s="12" t="s">
        <v>43</v>
      </c>
      <c r="C70" s="11" t="s">
        <v>59</v>
      </c>
      <c r="E70" s="11" t="s">
        <v>44</v>
      </c>
      <c r="F70" s="11" t="s">
        <v>96</v>
      </c>
      <c r="G70" s="11">
        <v>84</v>
      </c>
      <c r="H70" s="14">
        <v>79.400000000000006</v>
      </c>
      <c r="I70" s="11">
        <f>69+6</f>
        <v>75</v>
      </c>
      <c r="J70" s="14">
        <v>28.1</v>
      </c>
      <c r="K70" s="11">
        <v>16000</v>
      </c>
    </row>
    <row r="71" spans="1:11" s="11" customFormat="1">
      <c r="A71" s="11">
        <v>2016</v>
      </c>
      <c r="B71" s="12" t="s">
        <v>72</v>
      </c>
      <c r="C71" s="11" t="s">
        <v>73</v>
      </c>
      <c r="E71" s="11" t="s">
        <v>49</v>
      </c>
      <c r="F71" s="11" t="s">
        <v>95</v>
      </c>
      <c r="G71" s="11">
        <v>1.9</v>
      </c>
      <c r="H71" s="14">
        <v>30.7</v>
      </c>
      <c r="I71" s="11">
        <v>0</v>
      </c>
      <c r="J71" s="14">
        <v>2.2999999999999998</v>
      </c>
      <c r="K71" s="11" t="s">
        <v>67</v>
      </c>
    </row>
    <row r="72" spans="1:11" s="11" customFormat="1" ht="27">
      <c r="A72" s="11">
        <v>2016</v>
      </c>
      <c r="B72" s="12" t="s">
        <v>45</v>
      </c>
      <c r="C72" s="11" t="s">
        <v>68</v>
      </c>
      <c r="E72" s="11" t="s">
        <v>46</v>
      </c>
      <c r="F72" s="11" t="s">
        <v>94</v>
      </c>
      <c r="G72" s="11">
        <v>8.1999999999999993</v>
      </c>
      <c r="H72" s="14">
        <v>79.900000000000006</v>
      </c>
      <c r="I72" s="11">
        <v>1</v>
      </c>
      <c r="J72" s="14">
        <v>39.1</v>
      </c>
      <c r="K72" s="11" t="s">
        <v>108</v>
      </c>
    </row>
    <row r="73" spans="1:11" s="11" customFormat="1" ht="27">
      <c r="A73" s="11">
        <v>2016</v>
      </c>
      <c r="B73" s="12" t="s">
        <v>70</v>
      </c>
      <c r="C73" s="11" t="s">
        <v>71</v>
      </c>
      <c r="E73" s="11" t="s">
        <v>46</v>
      </c>
      <c r="F73" s="11" t="s">
        <v>82</v>
      </c>
      <c r="G73" s="11">
        <v>17.7</v>
      </c>
      <c r="H73" s="11">
        <v>110.3</v>
      </c>
      <c r="I73" s="11">
        <f>3+3</f>
        <v>6</v>
      </c>
      <c r="J73" s="11">
        <v>50.2</v>
      </c>
      <c r="K73" s="11" t="s">
        <v>109</v>
      </c>
    </row>
    <row r="74" spans="1:11" s="11" customFormat="1" ht="27">
      <c r="A74" s="11">
        <v>2016</v>
      </c>
      <c r="B74" s="12" t="s">
        <v>47</v>
      </c>
      <c r="C74" s="11" t="s">
        <v>10</v>
      </c>
      <c r="E74" s="11" t="s">
        <v>248</v>
      </c>
      <c r="F74" s="11" t="s">
        <v>249</v>
      </c>
      <c r="G74" s="11">
        <v>117.1</v>
      </c>
      <c r="H74" s="11">
        <v>248</v>
      </c>
      <c r="I74" s="11">
        <f>29+15</f>
        <v>44</v>
      </c>
      <c r="J74" s="11">
        <v>98</v>
      </c>
      <c r="K74" s="11" t="s">
        <v>250</v>
      </c>
    </row>
    <row r="75" spans="1:11" s="11" customFormat="1">
      <c r="A75" s="11">
        <v>2016</v>
      </c>
      <c r="B75" s="12" t="s">
        <v>251</v>
      </c>
      <c r="C75" s="11" t="s">
        <v>252</v>
      </c>
      <c r="E75" s="11" t="s">
        <v>253</v>
      </c>
      <c r="F75" s="13" t="s">
        <v>254</v>
      </c>
      <c r="G75" s="11">
        <v>55.3</v>
      </c>
      <c r="H75" s="11">
        <v>209</v>
      </c>
      <c r="I75" s="11">
        <v>39</v>
      </c>
      <c r="J75" s="11">
        <v>80.900000000000006</v>
      </c>
      <c r="K75" s="11" t="s">
        <v>255</v>
      </c>
    </row>
    <row r="76" spans="1:11" s="11" customFormat="1" ht="29.25" customHeight="1">
      <c r="A76" s="11">
        <v>2016</v>
      </c>
      <c r="B76" s="12" t="s">
        <v>256</v>
      </c>
      <c r="C76" s="11" t="s">
        <v>257</v>
      </c>
      <c r="E76" s="11" t="s">
        <v>258</v>
      </c>
      <c r="F76" s="13" t="s">
        <v>259</v>
      </c>
      <c r="G76" s="11">
        <v>54.9</v>
      </c>
      <c r="H76" s="11">
        <v>374.3</v>
      </c>
      <c r="I76" s="11">
        <v>0</v>
      </c>
      <c r="J76" s="11">
        <v>504.6</v>
      </c>
      <c r="K76" s="11" t="s">
        <v>260</v>
      </c>
    </row>
    <row r="77" spans="1:11" s="11" customFormat="1">
      <c r="A77" s="11">
        <v>2016</v>
      </c>
      <c r="B77" s="12" t="s">
        <v>261</v>
      </c>
      <c r="C77" s="11" t="s">
        <v>262</v>
      </c>
      <c r="E77" s="11" t="s">
        <v>263</v>
      </c>
      <c r="F77" s="11" t="s">
        <v>69</v>
      </c>
      <c r="G77" s="11">
        <v>42.2</v>
      </c>
      <c r="H77" s="11">
        <v>181.2</v>
      </c>
      <c r="I77" s="11">
        <v>0</v>
      </c>
      <c r="J77" s="11">
        <v>189.8</v>
      </c>
      <c r="K77" s="11" t="s">
        <v>264</v>
      </c>
    </row>
    <row r="78" spans="1:11" s="11" customFormat="1">
      <c r="A78" s="11">
        <v>2017</v>
      </c>
      <c r="B78" s="12"/>
      <c r="C78" s="12" t="s">
        <v>265</v>
      </c>
      <c r="D78" s="12"/>
      <c r="F78" s="11" t="s">
        <v>266</v>
      </c>
      <c r="G78" s="11">
        <v>1.5</v>
      </c>
      <c r="H78" s="11">
        <v>5.62</v>
      </c>
      <c r="I78" s="11">
        <v>0</v>
      </c>
      <c r="J78" s="11">
        <v>5.7</v>
      </c>
      <c r="K78" s="11">
        <v>0</v>
      </c>
    </row>
    <row r="79" spans="1:11" s="11" customFormat="1">
      <c r="A79" s="11">
        <v>2017</v>
      </c>
      <c r="B79" s="12"/>
      <c r="C79" s="11" t="s">
        <v>267</v>
      </c>
      <c r="E79" s="11" t="s">
        <v>263</v>
      </c>
      <c r="F79" s="11" t="s">
        <v>268</v>
      </c>
      <c r="G79" s="11">
        <v>0.7</v>
      </c>
      <c r="H79" s="11">
        <v>57.7</v>
      </c>
      <c r="I79" s="11">
        <v>0</v>
      </c>
      <c r="J79" s="11">
        <v>41.3</v>
      </c>
      <c r="K79" s="11">
        <v>0</v>
      </c>
    </row>
  </sheetData>
  <sortState ref="A3:N17">
    <sortCondition ref="B3:B1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D7" sqref="D7"/>
    </sheetView>
  </sheetViews>
  <sheetFormatPr defaultRowHeight="13.5"/>
  <cols>
    <col min="1" max="1" width="9" style="1"/>
    <col min="2" max="2" width="14.25" style="2" customWidth="1"/>
    <col min="3" max="3" width="14.25" style="1" customWidth="1"/>
    <col min="4" max="4" width="6.5" style="1" customWidth="1"/>
    <col min="5" max="5" width="14.25" style="1" customWidth="1"/>
    <col min="6" max="6" width="16.375" style="1" customWidth="1"/>
    <col min="7" max="7" width="19" style="1" customWidth="1"/>
    <col min="8" max="8" width="12.875" style="1" customWidth="1"/>
    <col min="9" max="11" width="14.125" style="1" customWidth="1"/>
    <col min="12" max="16384" width="9" style="1"/>
  </cols>
  <sheetData>
    <row r="1" spans="1:11" ht="27">
      <c r="A1" s="1" t="s">
        <v>351</v>
      </c>
      <c r="B1" s="2" t="s">
        <v>38</v>
      </c>
      <c r="C1" s="1" t="s">
        <v>42</v>
      </c>
      <c r="D1" s="1" t="s">
        <v>193</v>
      </c>
      <c r="E1" s="1" t="s">
        <v>50</v>
      </c>
      <c r="F1" s="1" t="s">
        <v>66</v>
      </c>
      <c r="G1" s="1" t="s">
        <v>39</v>
      </c>
      <c r="H1" s="1" t="s">
        <v>40</v>
      </c>
      <c r="I1" s="1" t="s">
        <v>41</v>
      </c>
      <c r="J1" s="1" t="s">
        <v>77</v>
      </c>
      <c r="K1" s="1" t="s">
        <v>78</v>
      </c>
    </row>
    <row r="2" spans="1:11">
      <c r="A2" s="1">
        <v>2000</v>
      </c>
      <c r="B2" s="2" t="s">
        <v>296</v>
      </c>
      <c r="C2" s="1" t="s">
        <v>295</v>
      </c>
      <c r="D2" s="1" t="s">
        <v>271</v>
      </c>
      <c r="E2" s="1" t="s">
        <v>282</v>
      </c>
      <c r="F2" s="1" t="s">
        <v>282</v>
      </c>
      <c r="G2" s="1">
        <v>11.9</v>
      </c>
      <c r="I2" s="1">
        <v>1</v>
      </c>
    </row>
    <row r="3" spans="1:11">
      <c r="A3" s="1">
        <v>2000</v>
      </c>
      <c r="B3" s="2" t="s">
        <v>297</v>
      </c>
      <c r="C3" s="1" t="s">
        <v>289</v>
      </c>
      <c r="D3" s="1" t="s">
        <v>271</v>
      </c>
      <c r="E3" s="1" t="s">
        <v>291</v>
      </c>
      <c r="F3" s="1" t="s">
        <v>290</v>
      </c>
      <c r="G3" s="1">
        <f>11.56+1.22+55</f>
        <v>67.78</v>
      </c>
      <c r="I3" s="1">
        <v>1</v>
      </c>
    </row>
    <row r="4" spans="1:11">
      <c r="A4" s="1">
        <v>2000</v>
      </c>
      <c r="B4" s="2" t="s">
        <v>298</v>
      </c>
      <c r="C4" s="1" t="s">
        <v>292</v>
      </c>
      <c r="D4" s="1" t="s">
        <v>272</v>
      </c>
      <c r="F4" s="1" t="s">
        <v>290</v>
      </c>
      <c r="G4" s="1">
        <f>1.13+0.15+31.4</f>
        <v>32.68</v>
      </c>
    </row>
    <row r="5" spans="1:11">
      <c r="A5" s="1">
        <v>2000</v>
      </c>
      <c r="B5" s="2" t="s">
        <v>299</v>
      </c>
      <c r="C5" s="1" t="s">
        <v>293</v>
      </c>
      <c r="D5" s="1" t="s">
        <v>272</v>
      </c>
      <c r="F5" s="1" t="s">
        <v>294</v>
      </c>
      <c r="G5" s="1">
        <v>3</v>
      </c>
    </row>
    <row r="6" spans="1:11">
      <c r="A6" s="1">
        <v>2001</v>
      </c>
      <c r="B6" s="2" t="s">
        <v>300</v>
      </c>
      <c r="C6" s="1" t="s">
        <v>306</v>
      </c>
      <c r="D6" s="1" t="s">
        <v>269</v>
      </c>
      <c r="F6" s="1" t="s">
        <v>282</v>
      </c>
      <c r="G6" s="1">
        <v>45.2</v>
      </c>
      <c r="H6" s="1">
        <v>521</v>
      </c>
      <c r="I6" s="1">
        <v>122</v>
      </c>
      <c r="J6" s="1">
        <v>12.2</v>
      </c>
    </row>
    <row r="7" spans="1:11">
      <c r="A7" s="1">
        <v>2001</v>
      </c>
      <c r="B7" s="2" t="s">
        <v>301</v>
      </c>
      <c r="C7" s="1" t="s">
        <v>307</v>
      </c>
      <c r="D7" s="1" t="s">
        <v>270</v>
      </c>
      <c r="F7" s="1" t="s">
        <v>279</v>
      </c>
      <c r="G7" s="1">
        <v>3.8</v>
      </c>
    </row>
    <row r="8" spans="1:11">
      <c r="A8" s="1">
        <v>2001</v>
      </c>
      <c r="B8" s="2" t="s">
        <v>302</v>
      </c>
      <c r="C8" s="1" t="s">
        <v>308</v>
      </c>
      <c r="D8" s="1" t="s">
        <v>270</v>
      </c>
      <c r="F8" s="1" t="s">
        <v>279</v>
      </c>
      <c r="G8" s="1">
        <f>24.5+6.9</f>
        <v>31.4</v>
      </c>
      <c r="H8" s="1">
        <f>532+159</f>
        <v>691</v>
      </c>
      <c r="I8" s="1">
        <v>14</v>
      </c>
    </row>
    <row r="9" spans="1:11">
      <c r="A9" s="1">
        <v>2001</v>
      </c>
      <c r="B9" s="2" t="s">
        <v>303</v>
      </c>
      <c r="C9" s="1" t="s">
        <v>309</v>
      </c>
      <c r="D9" s="1" t="s">
        <v>270</v>
      </c>
      <c r="F9" s="1" t="s">
        <v>279</v>
      </c>
      <c r="G9" s="1">
        <v>0.8</v>
      </c>
    </row>
    <row r="10" spans="1:11">
      <c r="A10" s="1">
        <v>2001</v>
      </c>
      <c r="B10" s="2" t="s">
        <v>304</v>
      </c>
      <c r="C10" s="1" t="s">
        <v>310</v>
      </c>
      <c r="D10" s="1" t="s">
        <v>270</v>
      </c>
      <c r="F10" s="1" t="s">
        <v>279</v>
      </c>
      <c r="G10" s="1">
        <v>5</v>
      </c>
      <c r="H10" s="1">
        <v>100</v>
      </c>
    </row>
    <row r="11" spans="1:11">
      <c r="A11" s="1">
        <v>2001</v>
      </c>
      <c r="B11" s="2" t="s">
        <v>305</v>
      </c>
      <c r="C11" s="1" t="s">
        <v>311</v>
      </c>
      <c r="D11" s="1" t="s">
        <v>272</v>
      </c>
      <c r="F11" s="1" t="s">
        <v>282</v>
      </c>
      <c r="G11" s="1">
        <v>0.8</v>
      </c>
      <c r="H11" s="1">
        <v>24</v>
      </c>
    </row>
    <row r="12" spans="1:11">
      <c r="A12" s="1">
        <v>2002</v>
      </c>
      <c r="B12" s="2" t="s">
        <v>312</v>
      </c>
      <c r="C12" s="1" t="s">
        <v>313</v>
      </c>
      <c r="D12" s="1" t="s">
        <v>271</v>
      </c>
      <c r="F12" s="1" t="s">
        <v>294</v>
      </c>
      <c r="G12" s="1">
        <v>0.94</v>
      </c>
      <c r="H12" s="1">
        <v>46.3</v>
      </c>
    </row>
    <row r="13" spans="1:11">
      <c r="A13" s="1">
        <v>2002</v>
      </c>
      <c r="B13" s="2" t="s">
        <v>315</v>
      </c>
      <c r="C13" s="1" t="s">
        <v>314</v>
      </c>
      <c r="D13" s="1" t="s">
        <v>272</v>
      </c>
      <c r="F13" s="1" t="s">
        <v>316</v>
      </c>
      <c r="G13" s="1">
        <f>29.6+32.6+0.021</f>
        <v>62.221000000000004</v>
      </c>
      <c r="H13" s="1">
        <f>792.2+221</f>
        <v>1013.2</v>
      </c>
      <c r="I13" s="1">
        <v>40</v>
      </c>
      <c r="J13" s="1">
        <v>33.5</v>
      </c>
    </row>
    <row r="14" spans="1:11">
      <c r="A14" s="1">
        <v>2003</v>
      </c>
      <c r="B14" s="2" t="s">
        <v>318</v>
      </c>
      <c r="C14" s="1" t="s">
        <v>317</v>
      </c>
      <c r="D14" s="1" t="s">
        <v>270</v>
      </c>
      <c r="F14" s="1" t="s">
        <v>283</v>
      </c>
      <c r="G14" s="1">
        <f>19.07+2.47</f>
        <v>21.54</v>
      </c>
      <c r="H14" s="1">
        <f>477.6+69.1</f>
        <v>546.70000000000005</v>
      </c>
      <c r="I14" s="1">
        <v>3</v>
      </c>
      <c r="J14" s="1">
        <f>30.9+0.03</f>
        <v>30.93</v>
      </c>
      <c r="K14" s="1">
        <f>5950+870</f>
        <v>6820</v>
      </c>
    </row>
    <row r="15" spans="1:11">
      <c r="A15" s="1">
        <v>2003</v>
      </c>
      <c r="B15" s="2" t="s">
        <v>320</v>
      </c>
      <c r="C15" s="1" t="s">
        <v>319</v>
      </c>
      <c r="D15" s="1" t="s">
        <v>271</v>
      </c>
      <c r="F15" s="1" t="s">
        <v>323</v>
      </c>
      <c r="G15" s="1">
        <f>6.83+8.47+5.76</f>
        <v>21.060000000000002</v>
      </c>
      <c r="H15" s="1">
        <f>188.4+509.7+148.3</f>
        <v>846.40000000000009</v>
      </c>
      <c r="I15" s="1">
        <v>2</v>
      </c>
      <c r="J15" s="1">
        <f>7.6+13.3+0.84</f>
        <v>21.74</v>
      </c>
      <c r="K15" s="1">
        <v>9820</v>
      </c>
    </row>
    <row r="16" spans="1:11">
      <c r="A16" s="1">
        <v>2003</v>
      </c>
      <c r="B16" s="2" t="s">
        <v>322</v>
      </c>
      <c r="C16" s="1" t="s">
        <v>321</v>
      </c>
      <c r="D16" s="1" t="s">
        <v>272</v>
      </c>
      <c r="F16" s="1" t="s">
        <v>279</v>
      </c>
      <c r="G16" s="1">
        <v>22.87</v>
      </c>
      <c r="H16" s="1">
        <v>641</v>
      </c>
      <c r="I16" s="1">
        <v>19</v>
      </c>
      <c r="J16" s="1">
        <v>13.9</v>
      </c>
      <c r="K16" s="1">
        <v>5400</v>
      </c>
    </row>
    <row r="17" spans="1:11">
      <c r="A17" s="1">
        <v>2004</v>
      </c>
      <c r="B17" s="2" t="s">
        <v>324</v>
      </c>
      <c r="G17" s="1">
        <v>1.48</v>
      </c>
    </row>
    <row r="18" spans="1:11">
      <c r="A18" s="1">
        <v>2005</v>
      </c>
      <c r="B18" s="2" t="s">
        <v>326</v>
      </c>
      <c r="C18" s="1" t="s">
        <v>325</v>
      </c>
      <c r="D18" s="1" t="s">
        <v>270</v>
      </c>
      <c r="F18" s="1" t="s">
        <v>327</v>
      </c>
      <c r="G18" s="1">
        <v>32.4</v>
      </c>
      <c r="I18" s="1">
        <v>3</v>
      </c>
    </row>
    <row r="19" spans="1:11">
      <c r="A19" s="1">
        <v>2005</v>
      </c>
      <c r="B19" s="2" t="s">
        <v>329</v>
      </c>
      <c r="C19" s="1" t="s">
        <v>328</v>
      </c>
      <c r="D19" s="1" t="s">
        <v>270</v>
      </c>
      <c r="F19" s="1" t="s">
        <v>294</v>
      </c>
      <c r="G19" s="1">
        <v>0.27</v>
      </c>
      <c r="H19" s="1">
        <v>13.1</v>
      </c>
      <c r="J19" s="1">
        <v>0.28999999999999998</v>
      </c>
    </row>
    <row r="20" spans="1:11" ht="40.5">
      <c r="A20" s="1">
        <v>2005</v>
      </c>
      <c r="B20" s="2" t="s">
        <v>331</v>
      </c>
      <c r="C20" s="1" t="s">
        <v>330</v>
      </c>
      <c r="D20" s="1" t="s">
        <v>271</v>
      </c>
      <c r="F20" s="1" t="s">
        <v>332</v>
      </c>
      <c r="G20" s="1">
        <v>35.19</v>
      </c>
      <c r="I20" s="1">
        <v>7</v>
      </c>
    </row>
    <row r="21" spans="1:11">
      <c r="A21" s="1">
        <v>2005</v>
      </c>
      <c r="B21" s="2" t="s">
        <v>334</v>
      </c>
      <c r="C21" s="1" t="s">
        <v>333</v>
      </c>
      <c r="D21" s="1" t="s">
        <v>271</v>
      </c>
      <c r="F21" s="1" t="s">
        <v>279</v>
      </c>
      <c r="G21" s="1">
        <v>3.14</v>
      </c>
    </row>
    <row r="22" spans="1:11">
      <c r="A22" s="1">
        <v>2005</v>
      </c>
      <c r="B22" s="2" t="s">
        <v>335</v>
      </c>
      <c r="C22" s="1" t="s">
        <v>240</v>
      </c>
      <c r="D22" s="1" t="s">
        <v>272</v>
      </c>
      <c r="F22" s="1" t="s">
        <v>327</v>
      </c>
      <c r="G22" s="1">
        <v>37.56</v>
      </c>
      <c r="I22" s="1">
        <v>4</v>
      </c>
    </row>
    <row r="23" spans="1:11" ht="27">
      <c r="A23" s="1">
        <v>2005</v>
      </c>
      <c r="B23" s="2" t="s">
        <v>337</v>
      </c>
      <c r="C23" s="1" t="s">
        <v>336</v>
      </c>
      <c r="D23" s="1" t="s">
        <v>272</v>
      </c>
      <c r="F23" s="1" t="s">
        <v>338</v>
      </c>
      <c r="G23" s="1">
        <v>22.2</v>
      </c>
      <c r="I23" s="1">
        <v>18</v>
      </c>
    </row>
    <row r="24" spans="1:11">
      <c r="A24" s="1">
        <v>2005</v>
      </c>
      <c r="B24" s="2" t="s">
        <v>340</v>
      </c>
      <c r="C24" s="1" t="s">
        <v>339</v>
      </c>
      <c r="D24" s="1" t="s">
        <v>272</v>
      </c>
      <c r="F24" s="1" t="s">
        <v>341</v>
      </c>
      <c r="G24" s="1">
        <v>1.49</v>
      </c>
      <c r="I24" s="1">
        <v>13</v>
      </c>
    </row>
    <row r="25" spans="1:11">
      <c r="A25" s="1">
        <v>2005</v>
      </c>
      <c r="B25" s="2" t="s">
        <v>343</v>
      </c>
      <c r="C25" s="1" t="s">
        <v>342</v>
      </c>
      <c r="D25" s="1" t="s">
        <v>272</v>
      </c>
      <c r="F25" s="1" t="s">
        <v>323</v>
      </c>
      <c r="G25" s="1">
        <v>121.3</v>
      </c>
      <c r="I25" s="1">
        <v>25</v>
      </c>
    </row>
    <row r="26" spans="1:11">
      <c r="A26" s="1">
        <v>2005</v>
      </c>
      <c r="B26" s="2" t="s">
        <v>343</v>
      </c>
      <c r="C26" s="1" t="s">
        <v>344</v>
      </c>
      <c r="D26" s="1" t="s">
        <v>273</v>
      </c>
      <c r="F26" s="1" t="s">
        <v>282</v>
      </c>
      <c r="G26" s="1">
        <v>74.67</v>
      </c>
      <c r="H26" s="1">
        <v>402.79</v>
      </c>
      <c r="I26" s="1">
        <v>67</v>
      </c>
      <c r="J26" s="1">
        <v>13.08</v>
      </c>
      <c r="K26" s="1">
        <v>9400</v>
      </c>
    </row>
    <row r="27" spans="1:11">
      <c r="A27" s="1">
        <v>2006</v>
      </c>
      <c r="B27" s="2" t="s">
        <v>345</v>
      </c>
      <c r="C27" s="1" t="s">
        <v>346</v>
      </c>
      <c r="D27" s="1" t="s">
        <v>347</v>
      </c>
      <c r="F27" s="1" t="s">
        <v>279</v>
      </c>
      <c r="G27" s="1">
        <v>12.3</v>
      </c>
      <c r="H27" s="1">
        <v>778.12</v>
      </c>
      <c r="J27" s="1">
        <v>21.19</v>
      </c>
    </row>
    <row r="28" spans="1:11">
      <c r="A28" s="1">
        <v>2006</v>
      </c>
      <c r="B28" s="2" t="s">
        <v>348</v>
      </c>
      <c r="C28" s="1" t="s">
        <v>295</v>
      </c>
      <c r="D28" s="1" t="s">
        <v>270</v>
      </c>
      <c r="F28" s="1" t="s">
        <v>327</v>
      </c>
      <c r="G28" s="1">
        <v>57.55</v>
      </c>
      <c r="H28" s="1">
        <f>402.81+107.7</f>
        <v>510.51</v>
      </c>
    </row>
    <row r="29" spans="1:11">
      <c r="A29" s="1">
        <v>2006</v>
      </c>
      <c r="B29" s="2" t="s">
        <v>349</v>
      </c>
      <c r="C29" s="1" t="s">
        <v>289</v>
      </c>
      <c r="D29" s="1" t="s">
        <v>271</v>
      </c>
      <c r="F29" s="1" t="s">
        <v>283</v>
      </c>
      <c r="G29" s="1">
        <v>77.06</v>
      </c>
      <c r="H29" s="1">
        <f>473.49+167.75</f>
        <v>641.24</v>
      </c>
      <c r="I29" s="1">
        <v>1</v>
      </c>
    </row>
    <row r="30" spans="1:11">
      <c r="A30" s="1">
        <v>2006</v>
      </c>
      <c r="B30" s="2" t="s">
        <v>350</v>
      </c>
      <c r="C30" s="1" t="s">
        <v>292</v>
      </c>
      <c r="D30" s="1" t="s">
        <v>271</v>
      </c>
      <c r="F30" s="1" t="s">
        <v>327</v>
      </c>
      <c r="G30" s="1">
        <v>70.17</v>
      </c>
      <c r="H30" s="1">
        <f>345.6+145.52</f>
        <v>491.12</v>
      </c>
      <c r="I30" s="1">
        <f>230+96</f>
        <v>326</v>
      </c>
      <c r="J30" s="1">
        <f>68.8+103.2</f>
        <v>172</v>
      </c>
    </row>
    <row r="31" spans="1:11">
      <c r="A31" s="1">
        <v>2007</v>
      </c>
      <c r="B31" s="2" t="s">
        <v>212</v>
      </c>
      <c r="C31" s="1" t="s">
        <v>200</v>
      </c>
      <c r="D31" s="1" t="s">
        <v>224</v>
      </c>
      <c r="E31" s="1" t="s">
        <v>208</v>
      </c>
      <c r="F31" s="1" t="s">
        <v>209</v>
      </c>
      <c r="G31" s="1">
        <v>0.59</v>
      </c>
      <c r="H31" s="1">
        <f>10.98+0.24</f>
        <v>11.22</v>
      </c>
      <c r="I31" s="1" t="s">
        <v>231</v>
      </c>
      <c r="J31" s="1" t="s">
        <v>223</v>
      </c>
      <c r="K31" s="1" t="s">
        <v>223</v>
      </c>
    </row>
    <row r="32" spans="1:11" ht="27">
      <c r="A32" s="1">
        <v>2007</v>
      </c>
      <c r="B32" s="2" t="s">
        <v>213</v>
      </c>
      <c r="C32" s="1" t="s">
        <v>201</v>
      </c>
      <c r="D32" s="1" t="s">
        <v>225</v>
      </c>
      <c r="E32" s="1" t="s">
        <v>210</v>
      </c>
      <c r="F32" s="1" t="s">
        <v>219</v>
      </c>
      <c r="G32" s="1">
        <v>22.98</v>
      </c>
      <c r="H32" s="1">
        <v>112.17</v>
      </c>
      <c r="I32" s="1">
        <v>4</v>
      </c>
      <c r="J32" s="1">
        <v>40.590000000000003</v>
      </c>
      <c r="K32" s="1" t="s">
        <v>223</v>
      </c>
    </row>
    <row r="33" spans="1:11">
      <c r="A33" s="1">
        <v>2007</v>
      </c>
      <c r="B33" s="2" t="s">
        <v>215</v>
      </c>
      <c r="C33" s="1" t="s">
        <v>203</v>
      </c>
      <c r="D33" s="1" t="s">
        <v>225</v>
      </c>
      <c r="E33" s="1" t="s">
        <v>150</v>
      </c>
      <c r="F33" s="1" t="s">
        <v>220</v>
      </c>
      <c r="G33" s="1">
        <v>1.96</v>
      </c>
      <c r="H33" s="1">
        <v>7.79</v>
      </c>
      <c r="I33" s="1" t="s">
        <v>223</v>
      </c>
      <c r="J33" s="1" t="s">
        <v>223</v>
      </c>
      <c r="K33" s="1" t="s">
        <v>223</v>
      </c>
    </row>
    <row r="34" spans="1:11">
      <c r="A34" s="1">
        <v>2007</v>
      </c>
      <c r="B34" s="2" t="s">
        <v>216</v>
      </c>
      <c r="C34" s="1" t="s">
        <v>204</v>
      </c>
      <c r="D34" s="1" t="s">
        <v>226</v>
      </c>
      <c r="E34" s="1" t="s">
        <v>205</v>
      </c>
      <c r="F34" s="1" t="s">
        <v>221</v>
      </c>
      <c r="G34" s="1">
        <v>7.79</v>
      </c>
      <c r="H34" s="1" t="s">
        <v>223</v>
      </c>
      <c r="I34" s="1" t="s">
        <v>223</v>
      </c>
      <c r="J34" s="1" t="s">
        <v>223</v>
      </c>
      <c r="K34" s="1" t="s">
        <v>223</v>
      </c>
    </row>
    <row r="35" spans="1:11">
      <c r="A35" s="1">
        <v>2007</v>
      </c>
      <c r="B35" s="2" t="s">
        <v>217</v>
      </c>
      <c r="C35" s="1" t="s">
        <v>206</v>
      </c>
      <c r="D35" s="1" t="s">
        <v>226</v>
      </c>
      <c r="E35" s="1" t="s">
        <v>2</v>
      </c>
      <c r="F35" s="1" t="s">
        <v>222</v>
      </c>
      <c r="G35" s="1">
        <v>0.43</v>
      </c>
      <c r="H35" s="1">
        <v>25.84</v>
      </c>
      <c r="I35" s="1">
        <v>2</v>
      </c>
      <c r="J35" s="1">
        <v>6.11</v>
      </c>
      <c r="K35" s="1" t="s">
        <v>223</v>
      </c>
    </row>
    <row r="36" spans="1:11">
      <c r="A36" s="1">
        <v>2007</v>
      </c>
      <c r="B36" s="2" t="s">
        <v>228</v>
      </c>
      <c r="C36" s="1" t="s">
        <v>229</v>
      </c>
      <c r="D36" s="1" t="s">
        <v>227</v>
      </c>
      <c r="E36" s="1" t="s">
        <v>222</v>
      </c>
      <c r="F36" s="1" t="s">
        <v>222</v>
      </c>
      <c r="G36" s="1">
        <v>5.04</v>
      </c>
      <c r="H36" s="1">
        <v>263.69</v>
      </c>
      <c r="I36" s="1" t="s">
        <v>223</v>
      </c>
      <c r="J36" s="1" t="s">
        <v>223</v>
      </c>
      <c r="K36" s="1" t="s">
        <v>223</v>
      </c>
    </row>
    <row r="37" spans="1:11" ht="27">
      <c r="A37" s="1">
        <v>2007</v>
      </c>
      <c r="B37" s="2" t="s">
        <v>218</v>
      </c>
      <c r="C37" s="1" t="s">
        <v>207</v>
      </c>
      <c r="D37" s="1" t="s">
        <v>227</v>
      </c>
      <c r="E37" s="1" t="s">
        <v>211</v>
      </c>
      <c r="F37" s="1" t="s">
        <v>221</v>
      </c>
      <c r="G37" s="1">
        <v>7.12</v>
      </c>
      <c r="H37" s="1" t="s">
        <v>223</v>
      </c>
      <c r="I37" s="1" t="s">
        <v>223</v>
      </c>
      <c r="J37" s="1" t="s">
        <v>223</v>
      </c>
      <c r="K37" s="1" t="s">
        <v>223</v>
      </c>
    </row>
    <row r="38" spans="1:11">
      <c r="A38" s="1">
        <v>2008</v>
      </c>
      <c r="B38" s="2" t="s">
        <v>181</v>
      </c>
      <c r="C38" s="1" t="s">
        <v>22</v>
      </c>
      <c r="D38" s="1" t="s">
        <v>194</v>
      </c>
      <c r="E38" s="1" t="s">
        <v>165</v>
      </c>
      <c r="F38" s="1" t="s">
        <v>149</v>
      </c>
      <c r="G38" s="1">
        <v>7.67</v>
      </c>
      <c r="H38" s="1" t="s">
        <v>223</v>
      </c>
      <c r="I38" s="1" t="s">
        <v>223</v>
      </c>
      <c r="J38" s="1" t="s">
        <v>223</v>
      </c>
      <c r="K38" s="1" t="s">
        <v>223</v>
      </c>
    </row>
    <row r="39" spans="1:11">
      <c r="A39" s="1">
        <v>2008</v>
      </c>
      <c r="B39" s="2" t="s">
        <v>182</v>
      </c>
      <c r="C39" s="1" t="s">
        <v>14</v>
      </c>
      <c r="D39" s="1" t="s">
        <v>195</v>
      </c>
      <c r="E39" s="1" t="s">
        <v>3</v>
      </c>
      <c r="F39" s="1" t="s">
        <v>46</v>
      </c>
      <c r="G39" s="1">
        <v>22.3</v>
      </c>
      <c r="H39" s="1" t="s">
        <v>223</v>
      </c>
      <c r="I39" s="1" t="s">
        <v>223</v>
      </c>
      <c r="J39" s="1" t="s">
        <v>223</v>
      </c>
      <c r="K39" s="1" t="s">
        <v>223</v>
      </c>
    </row>
    <row r="40" spans="1:11">
      <c r="A40" s="1">
        <v>2008</v>
      </c>
      <c r="B40" s="2" t="s">
        <v>183</v>
      </c>
      <c r="C40" s="1" t="s">
        <v>5</v>
      </c>
      <c r="D40" s="1" t="s">
        <v>196</v>
      </c>
      <c r="E40" s="1" t="s">
        <v>150</v>
      </c>
      <c r="F40" s="1" t="s">
        <v>191</v>
      </c>
      <c r="G40" s="1">
        <v>3.3</v>
      </c>
      <c r="H40" s="1" t="s">
        <v>223</v>
      </c>
      <c r="I40" s="1" t="s">
        <v>223</v>
      </c>
      <c r="J40" s="1" t="s">
        <v>223</v>
      </c>
      <c r="K40" s="1" t="s">
        <v>223</v>
      </c>
    </row>
    <row r="41" spans="1:11">
      <c r="A41" s="1">
        <v>2008</v>
      </c>
      <c r="B41" s="2" t="s">
        <v>184</v>
      </c>
      <c r="C41" s="1" t="s">
        <v>6</v>
      </c>
      <c r="D41" s="1" t="s">
        <v>196</v>
      </c>
      <c r="E41" s="1" t="s">
        <v>150</v>
      </c>
      <c r="F41" s="1" t="s">
        <v>192</v>
      </c>
      <c r="G41" s="1">
        <v>14.86</v>
      </c>
      <c r="H41" s="1" t="s">
        <v>223</v>
      </c>
      <c r="I41" s="1" t="s">
        <v>223</v>
      </c>
      <c r="J41" s="1" t="s">
        <v>223</v>
      </c>
      <c r="K41" s="1" t="s">
        <v>223</v>
      </c>
    </row>
    <row r="42" spans="1:11">
      <c r="A42" s="1">
        <v>2008</v>
      </c>
      <c r="B42" s="2" t="s">
        <v>185</v>
      </c>
      <c r="C42" s="1" t="s">
        <v>15</v>
      </c>
      <c r="D42" s="1" t="s">
        <v>197</v>
      </c>
      <c r="E42" s="1" t="s">
        <v>162</v>
      </c>
      <c r="F42" s="1" t="s">
        <v>143</v>
      </c>
      <c r="G42" s="1">
        <v>6.63</v>
      </c>
      <c r="H42" s="1" t="s">
        <v>223</v>
      </c>
      <c r="I42" s="1" t="s">
        <v>223</v>
      </c>
      <c r="J42" s="1" t="s">
        <v>223</v>
      </c>
      <c r="K42" s="1" t="s">
        <v>223</v>
      </c>
    </row>
    <row r="43" spans="1:11">
      <c r="A43" s="1">
        <v>2008</v>
      </c>
      <c r="B43" s="2" t="s">
        <v>186</v>
      </c>
      <c r="C43" s="1" t="s">
        <v>23</v>
      </c>
      <c r="D43" s="1" t="s">
        <v>197</v>
      </c>
      <c r="E43" s="1" t="s">
        <v>180</v>
      </c>
      <c r="F43" s="1" t="s">
        <v>46</v>
      </c>
      <c r="G43" s="1">
        <v>4.03</v>
      </c>
      <c r="H43" s="1" t="s">
        <v>223</v>
      </c>
      <c r="I43" s="1" t="s">
        <v>223</v>
      </c>
      <c r="J43" s="1" t="s">
        <v>223</v>
      </c>
      <c r="K43" s="1" t="s">
        <v>223</v>
      </c>
    </row>
    <row r="44" spans="1:11">
      <c r="A44" s="1">
        <v>2008</v>
      </c>
      <c r="B44" s="2" t="s">
        <v>188</v>
      </c>
      <c r="C44" s="1" t="s">
        <v>17</v>
      </c>
      <c r="D44" s="1" t="s">
        <v>198</v>
      </c>
      <c r="E44" s="1" t="s">
        <v>3</v>
      </c>
      <c r="F44" s="1" t="s">
        <v>167</v>
      </c>
      <c r="G44" s="1">
        <v>132.74</v>
      </c>
      <c r="H44" s="1">
        <f>737.05+242.97</f>
        <v>980.02</v>
      </c>
      <c r="I44" s="1">
        <v>26</v>
      </c>
      <c r="J44" s="1" t="s">
        <v>223</v>
      </c>
      <c r="K44" s="1" t="s">
        <v>223</v>
      </c>
    </row>
    <row r="45" spans="1:11">
      <c r="A45" s="1">
        <v>2008</v>
      </c>
      <c r="B45" s="2" t="s">
        <v>189</v>
      </c>
      <c r="C45" s="1" t="s">
        <v>24</v>
      </c>
      <c r="D45" s="1" t="s">
        <v>198</v>
      </c>
      <c r="E45" s="1" t="s">
        <v>4</v>
      </c>
      <c r="F45" s="1" t="s">
        <v>48</v>
      </c>
      <c r="G45" s="1">
        <v>0.3</v>
      </c>
      <c r="H45" s="1" t="s">
        <v>223</v>
      </c>
      <c r="I45" s="1" t="s">
        <v>223</v>
      </c>
      <c r="J45" s="1" t="s">
        <v>223</v>
      </c>
      <c r="K45" s="1" t="s">
        <v>223</v>
      </c>
    </row>
    <row r="46" spans="1:11">
      <c r="A46" s="1">
        <v>2008</v>
      </c>
      <c r="B46" s="2" t="s">
        <v>190</v>
      </c>
      <c r="C46" s="1" t="s">
        <v>25</v>
      </c>
      <c r="D46" s="1" t="s">
        <v>199</v>
      </c>
      <c r="E46" s="1" t="s">
        <v>165</v>
      </c>
      <c r="F46" s="1" t="s">
        <v>46</v>
      </c>
      <c r="G46" s="1">
        <v>0.18</v>
      </c>
      <c r="H46" s="1" t="s">
        <v>223</v>
      </c>
      <c r="I46" s="1" t="s">
        <v>223</v>
      </c>
      <c r="J46" s="1" t="s">
        <v>223</v>
      </c>
      <c r="K46" s="1" t="s">
        <v>223</v>
      </c>
    </row>
    <row r="47" spans="1:11">
      <c r="A47" s="1">
        <v>2009</v>
      </c>
      <c r="B47" s="2" t="s">
        <v>171</v>
      </c>
      <c r="C47" s="1" t="s">
        <v>27</v>
      </c>
      <c r="D47" s="1" t="s">
        <v>196</v>
      </c>
      <c r="E47" s="1" t="s">
        <v>3</v>
      </c>
      <c r="F47" s="1" t="s">
        <v>46</v>
      </c>
      <c r="G47" s="1">
        <v>4.6500000000000004</v>
      </c>
      <c r="H47" s="1" t="s">
        <v>223</v>
      </c>
      <c r="I47" s="1" t="s">
        <v>67</v>
      </c>
      <c r="J47" s="1" t="s">
        <v>67</v>
      </c>
      <c r="K47" s="1" t="s">
        <v>67</v>
      </c>
    </row>
    <row r="48" spans="1:11">
      <c r="A48" s="1">
        <v>2009</v>
      </c>
      <c r="B48" s="2" t="s">
        <v>172</v>
      </c>
      <c r="C48" s="1" t="s">
        <v>18</v>
      </c>
      <c r="D48" s="1" t="s">
        <v>197</v>
      </c>
      <c r="E48" s="1" t="s">
        <v>3</v>
      </c>
      <c r="F48" s="1" t="s">
        <v>93</v>
      </c>
      <c r="G48" s="1">
        <v>14.29</v>
      </c>
      <c r="H48" s="1" t="s">
        <v>223</v>
      </c>
      <c r="I48" s="1" t="s">
        <v>67</v>
      </c>
      <c r="J48" s="1" t="s">
        <v>67</v>
      </c>
      <c r="K48" s="1" t="s">
        <v>67</v>
      </c>
    </row>
    <row r="49" spans="1:11">
      <c r="A49" s="1">
        <v>2009</v>
      </c>
      <c r="B49" s="2" t="s">
        <v>173</v>
      </c>
      <c r="C49" s="1" t="s">
        <v>19</v>
      </c>
      <c r="D49" s="1" t="s">
        <v>197</v>
      </c>
      <c r="E49" s="1" t="s">
        <v>150</v>
      </c>
      <c r="F49" s="1" t="s">
        <v>177</v>
      </c>
      <c r="G49" s="1">
        <v>32.65</v>
      </c>
      <c r="H49" s="1" t="s">
        <v>67</v>
      </c>
      <c r="I49" s="1" t="s">
        <v>67</v>
      </c>
      <c r="J49" s="1" t="s">
        <v>67</v>
      </c>
      <c r="K49" s="1" t="s">
        <v>67</v>
      </c>
    </row>
    <row r="50" spans="1:11">
      <c r="A50" s="1">
        <v>2009</v>
      </c>
      <c r="B50" s="2" t="s">
        <v>175</v>
      </c>
      <c r="C50" s="1" t="s">
        <v>28</v>
      </c>
      <c r="D50" s="1" t="s">
        <v>198</v>
      </c>
      <c r="E50" s="1" t="s">
        <v>3</v>
      </c>
      <c r="F50" s="1" t="s">
        <v>143</v>
      </c>
      <c r="G50" s="1">
        <v>24.04</v>
      </c>
      <c r="H50" s="1">
        <f>6.91+167.82</f>
        <v>174.73</v>
      </c>
      <c r="I50" s="1">
        <v>19</v>
      </c>
      <c r="J50" s="1" t="s">
        <v>67</v>
      </c>
      <c r="K50" s="1" t="s">
        <v>67</v>
      </c>
    </row>
    <row r="51" spans="1:11">
      <c r="A51" s="1">
        <v>2009</v>
      </c>
      <c r="B51" s="2" t="s">
        <v>232</v>
      </c>
      <c r="C51" s="1" t="s">
        <v>29</v>
      </c>
      <c r="D51" s="1" t="s">
        <v>199</v>
      </c>
      <c r="E51" s="1" t="s">
        <v>2</v>
      </c>
      <c r="F51" s="1" t="s">
        <v>179</v>
      </c>
      <c r="G51" s="1">
        <v>2.4</v>
      </c>
      <c r="H51" s="1" t="s">
        <v>67</v>
      </c>
      <c r="I51" s="1" t="s">
        <v>67</v>
      </c>
      <c r="J51" s="1" t="s">
        <v>67</v>
      </c>
      <c r="K51" s="1" t="s">
        <v>67</v>
      </c>
    </row>
    <row r="52" spans="1:11">
      <c r="A52" s="1">
        <v>2010</v>
      </c>
      <c r="B52" s="2">
        <v>1003</v>
      </c>
      <c r="C52" s="1" t="s">
        <v>31</v>
      </c>
      <c r="E52" s="1" t="s">
        <v>3</v>
      </c>
      <c r="F52" s="1" t="s">
        <v>143</v>
      </c>
      <c r="G52" s="1">
        <v>32.15</v>
      </c>
      <c r="H52" s="1">
        <f>236.3+84.24</f>
        <v>320.54000000000002</v>
      </c>
      <c r="I52" s="1">
        <v>5</v>
      </c>
      <c r="J52" s="1" t="s">
        <v>67</v>
      </c>
      <c r="K52" s="1" t="s">
        <v>67</v>
      </c>
    </row>
    <row r="53" spans="1:11">
      <c r="A53" s="1">
        <v>2010</v>
      </c>
      <c r="B53" s="2">
        <v>1006</v>
      </c>
      <c r="C53" s="1" t="s">
        <v>32</v>
      </c>
      <c r="E53" s="1" t="s">
        <v>0</v>
      </c>
      <c r="F53" s="1" t="s">
        <v>110</v>
      </c>
      <c r="G53" s="1">
        <v>0.53</v>
      </c>
      <c r="H53" s="1" t="s">
        <v>223</v>
      </c>
      <c r="I53" s="1">
        <v>0</v>
      </c>
      <c r="J53" s="1" t="s">
        <v>67</v>
      </c>
      <c r="K53" s="1" t="s">
        <v>223</v>
      </c>
    </row>
    <row r="54" spans="1:11">
      <c r="A54" s="1">
        <v>2010</v>
      </c>
      <c r="B54" s="2" t="s">
        <v>233</v>
      </c>
      <c r="C54" s="1" t="s">
        <v>234</v>
      </c>
      <c r="F54" s="1" t="s">
        <v>235</v>
      </c>
      <c r="G54" s="1">
        <v>0.32</v>
      </c>
    </row>
    <row r="55" spans="1:11">
      <c r="A55" s="1">
        <v>2010</v>
      </c>
      <c r="B55" s="2">
        <v>1008</v>
      </c>
      <c r="C55" s="1" t="s">
        <v>33</v>
      </c>
      <c r="E55" s="1" t="s">
        <v>0</v>
      </c>
      <c r="F55" s="1" t="s">
        <v>48</v>
      </c>
      <c r="G55" s="1">
        <v>0.01</v>
      </c>
      <c r="H55" s="1" t="s">
        <v>223</v>
      </c>
      <c r="I55" s="1">
        <v>0</v>
      </c>
      <c r="J55" s="1" t="s">
        <v>67</v>
      </c>
      <c r="K55" s="1" t="s">
        <v>223</v>
      </c>
    </row>
    <row r="56" spans="1:11">
      <c r="A56" s="1">
        <v>2010</v>
      </c>
      <c r="B56" s="2">
        <v>1010</v>
      </c>
      <c r="C56" s="1" t="s">
        <v>10</v>
      </c>
      <c r="E56" s="1" t="s">
        <v>0</v>
      </c>
      <c r="F56" s="1" t="s">
        <v>110</v>
      </c>
      <c r="G56" s="1">
        <v>3.24</v>
      </c>
      <c r="H56" s="1" t="s">
        <v>223</v>
      </c>
      <c r="I56" s="1">
        <v>0</v>
      </c>
      <c r="J56" s="1" t="s">
        <v>67</v>
      </c>
      <c r="K56" s="1" t="s">
        <v>223</v>
      </c>
    </row>
    <row r="57" spans="1:11">
      <c r="A57" s="1">
        <v>2010</v>
      </c>
      <c r="B57" s="2">
        <v>1011</v>
      </c>
      <c r="C57" s="1" t="s">
        <v>34</v>
      </c>
      <c r="E57" s="1" t="s">
        <v>150</v>
      </c>
      <c r="F57" s="1" t="s">
        <v>110</v>
      </c>
      <c r="G57" s="1">
        <v>3.24</v>
      </c>
      <c r="H57" s="1" t="s">
        <v>223</v>
      </c>
      <c r="I57" s="1">
        <v>0</v>
      </c>
      <c r="J57" s="1" t="s">
        <v>67</v>
      </c>
      <c r="K57" s="1" t="s">
        <v>223</v>
      </c>
    </row>
    <row r="58" spans="1:11">
      <c r="A58" s="1">
        <v>2010</v>
      </c>
      <c r="B58" s="2">
        <v>1013</v>
      </c>
      <c r="C58" s="1" t="s">
        <v>11</v>
      </c>
      <c r="E58" s="1" t="s">
        <v>0</v>
      </c>
      <c r="F58" s="1" t="s">
        <v>110</v>
      </c>
      <c r="G58" s="1">
        <v>26.22</v>
      </c>
      <c r="H58" s="1">
        <v>61.07</v>
      </c>
      <c r="I58" s="1">
        <v>0</v>
      </c>
      <c r="J58" s="1" t="s">
        <v>67</v>
      </c>
      <c r="K58" s="1">
        <v>500</v>
      </c>
    </row>
    <row r="59" spans="1:11">
      <c r="A59" s="1">
        <v>2011</v>
      </c>
      <c r="B59" s="2">
        <v>1105</v>
      </c>
      <c r="C59" s="1" t="s">
        <v>35</v>
      </c>
      <c r="E59" s="1" t="s">
        <v>1</v>
      </c>
      <c r="F59" s="1" t="s">
        <v>166</v>
      </c>
      <c r="G59" s="1">
        <v>4.29</v>
      </c>
      <c r="H59" s="1" t="s">
        <v>67</v>
      </c>
      <c r="I59" s="1">
        <v>0</v>
      </c>
      <c r="J59" s="1" t="s">
        <v>67</v>
      </c>
      <c r="K59" s="1" t="s">
        <v>67</v>
      </c>
    </row>
    <row r="60" spans="1:11">
      <c r="A60" s="1">
        <v>2011</v>
      </c>
      <c r="B60" s="2" t="s">
        <v>236</v>
      </c>
      <c r="C60" s="1" t="s">
        <v>237</v>
      </c>
      <c r="F60" s="1" t="s">
        <v>238</v>
      </c>
      <c r="G60" s="1">
        <v>3.1</v>
      </c>
      <c r="H60" s="1" t="s">
        <v>231</v>
      </c>
      <c r="I60" s="1">
        <v>0</v>
      </c>
      <c r="J60" s="1" t="s">
        <v>231</v>
      </c>
      <c r="K60" s="1" t="s">
        <v>231</v>
      </c>
    </row>
    <row r="61" spans="1:11">
      <c r="A61" s="1">
        <v>2011</v>
      </c>
      <c r="B61" s="2">
        <v>1111</v>
      </c>
      <c r="C61" s="1" t="s">
        <v>21</v>
      </c>
      <c r="E61" s="1" t="s">
        <v>150</v>
      </c>
      <c r="F61" s="1" t="s">
        <v>110</v>
      </c>
      <c r="G61" s="1">
        <v>5.32</v>
      </c>
      <c r="H61" s="1">
        <v>56.76</v>
      </c>
      <c r="I61" s="1">
        <v>0</v>
      </c>
      <c r="J61" s="1" t="s">
        <v>67</v>
      </c>
      <c r="K61" s="1">
        <v>150</v>
      </c>
    </row>
    <row r="62" spans="1:11">
      <c r="A62" s="1">
        <v>2011</v>
      </c>
      <c r="B62" s="2">
        <v>1117</v>
      </c>
      <c r="C62" s="1" t="s">
        <v>36</v>
      </c>
      <c r="E62" s="1" t="s">
        <v>165</v>
      </c>
      <c r="F62" s="1" t="s">
        <v>167</v>
      </c>
      <c r="G62" s="1">
        <v>31.06</v>
      </c>
      <c r="H62" s="1" t="s">
        <v>67</v>
      </c>
      <c r="I62" s="1">
        <v>0</v>
      </c>
      <c r="J62" s="1" t="s">
        <v>67</v>
      </c>
      <c r="K62" s="1" t="s">
        <v>67</v>
      </c>
    </row>
    <row r="63" spans="1:11">
      <c r="A63" s="1">
        <v>2011</v>
      </c>
      <c r="B63" s="2">
        <v>1119</v>
      </c>
      <c r="C63" s="1" t="s">
        <v>37</v>
      </c>
      <c r="E63" s="1" t="s">
        <v>2</v>
      </c>
      <c r="F63" s="1" t="s">
        <v>49</v>
      </c>
      <c r="G63" s="1">
        <v>2.66</v>
      </c>
      <c r="H63" s="1" t="s">
        <v>231</v>
      </c>
      <c r="I63" s="1">
        <v>0</v>
      </c>
      <c r="J63" s="1" t="s">
        <v>231</v>
      </c>
      <c r="K63" s="1" t="s">
        <v>231</v>
      </c>
    </row>
    <row r="64" spans="1:11">
      <c r="A64" s="1">
        <v>2012</v>
      </c>
      <c r="B64" s="2" t="s">
        <v>239</v>
      </c>
      <c r="C64" s="1" t="s">
        <v>240</v>
      </c>
      <c r="F64" s="1" t="s">
        <v>241</v>
      </c>
      <c r="G64" s="1">
        <v>0.19</v>
      </c>
      <c r="H64" s="1" t="s">
        <v>231</v>
      </c>
      <c r="I64" s="1">
        <v>0</v>
      </c>
      <c r="J64" s="1" t="s">
        <v>231</v>
      </c>
      <c r="K64" s="1" t="s">
        <v>231</v>
      </c>
    </row>
    <row r="65" spans="1:11">
      <c r="A65" s="1">
        <v>2012</v>
      </c>
      <c r="B65" s="2" t="s">
        <v>160</v>
      </c>
      <c r="C65" s="2" t="s">
        <v>151</v>
      </c>
      <c r="D65" s="2"/>
      <c r="E65" s="2" t="s">
        <v>46</v>
      </c>
      <c r="F65" s="1" t="s">
        <v>46</v>
      </c>
      <c r="G65" s="1">
        <v>0.01</v>
      </c>
      <c r="H65" s="1" t="s">
        <v>67</v>
      </c>
      <c r="I65" s="1">
        <v>0</v>
      </c>
      <c r="J65" s="1" t="s">
        <v>67</v>
      </c>
      <c r="K65" s="1" t="s">
        <v>67</v>
      </c>
    </row>
    <row r="66" spans="1:11">
      <c r="A66" s="1">
        <v>2012</v>
      </c>
      <c r="B66" s="2">
        <v>1208</v>
      </c>
      <c r="C66" s="2" t="s">
        <v>152</v>
      </c>
      <c r="D66" s="2"/>
      <c r="E66" s="2" t="s">
        <v>46</v>
      </c>
      <c r="F66" s="1" t="s">
        <v>143</v>
      </c>
      <c r="G66" s="1">
        <v>4.29</v>
      </c>
      <c r="H66" s="1">
        <v>46.26</v>
      </c>
      <c r="I66" s="1">
        <v>9</v>
      </c>
      <c r="J66" s="1" t="s">
        <v>67</v>
      </c>
      <c r="K66" s="1">
        <v>604</v>
      </c>
    </row>
    <row r="67" spans="1:11">
      <c r="A67" s="1">
        <v>2012</v>
      </c>
      <c r="B67" s="2">
        <v>1209</v>
      </c>
      <c r="C67" s="2" t="s">
        <v>153</v>
      </c>
      <c r="D67" s="2"/>
      <c r="E67" s="2" t="s">
        <v>44</v>
      </c>
      <c r="F67" s="1" t="s">
        <v>163</v>
      </c>
      <c r="G67" s="1">
        <v>3.06</v>
      </c>
      <c r="H67" s="1" t="s">
        <v>67</v>
      </c>
      <c r="I67" s="1">
        <v>0</v>
      </c>
      <c r="J67" s="1" t="s">
        <v>67</v>
      </c>
      <c r="K67" s="1" t="s">
        <v>67</v>
      </c>
    </row>
    <row r="68" spans="1:11" ht="27">
      <c r="A68" s="1">
        <v>2012</v>
      </c>
      <c r="B68" s="2">
        <v>1210</v>
      </c>
      <c r="C68" s="2" t="s">
        <v>154</v>
      </c>
      <c r="D68" s="2"/>
      <c r="E68" s="2" t="s">
        <v>158</v>
      </c>
      <c r="F68" s="1" t="s">
        <v>164</v>
      </c>
      <c r="G68" s="1">
        <v>41.75</v>
      </c>
      <c r="H68" s="1" t="s">
        <v>67</v>
      </c>
      <c r="I68" s="1">
        <v>0</v>
      </c>
      <c r="J68" s="1" t="s">
        <v>67</v>
      </c>
      <c r="K68" s="1" t="s">
        <v>67</v>
      </c>
    </row>
    <row r="69" spans="1:11">
      <c r="A69" s="1">
        <v>2012</v>
      </c>
      <c r="B69" s="2">
        <v>1211</v>
      </c>
      <c r="C69" s="2" t="s">
        <v>155</v>
      </c>
      <c r="D69" s="2"/>
      <c r="E69" s="2" t="s">
        <v>48</v>
      </c>
      <c r="F69" s="1" t="s">
        <v>161</v>
      </c>
      <c r="G69" s="1">
        <v>42.38</v>
      </c>
      <c r="H69" s="1" t="s">
        <v>67</v>
      </c>
      <c r="I69" s="1">
        <v>0</v>
      </c>
      <c r="J69" s="1" t="s">
        <v>67</v>
      </c>
      <c r="K69" s="1" t="s">
        <v>67</v>
      </c>
    </row>
    <row r="70" spans="1:11">
      <c r="A70" s="1">
        <v>2012</v>
      </c>
      <c r="B70" s="2">
        <v>1213</v>
      </c>
      <c r="C70" s="2" t="s">
        <v>156</v>
      </c>
      <c r="D70" s="2"/>
      <c r="E70" s="2" t="s">
        <v>46</v>
      </c>
      <c r="F70" s="1" t="s">
        <v>143</v>
      </c>
      <c r="G70" s="1">
        <v>18.23</v>
      </c>
      <c r="H70" s="1">
        <v>223.8</v>
      </c>
      <c r="I70" s="1">
        <v>0</v>
      </c>
      <c r="J70" s="1" t="s">
        <v>67</v>
      </c>
      <c r="K70" s="1">
        <v>1421</v>
      </c>
    </row>
    <row r="71" spans="1:11">
      <c r="A71" s="1">
        <v>2012</v>
      </c>
      <c r="B71" s="2" t="s">
        <v>242</v>
      </c>
      <c r="C71" s="2" t="s">
        <v>244</v>
      </c>
      <c r="D71" s="2"/>
      <c r="E71" s="2"/>
      <c r="F71" s="1" t="s">
        <v>235</v>
      </c>
      <c r="G71" s="1">
        <v>16.14</v>
      </c>
      <c r="H71" s="1" t="s">
        <v>231</v>
      </c>
      <c r="I71" s="1">
        <v>0</v>
      </c>
      <c r="J71" s="1" t="s">
        <v>231</v>
      </c>
      <c r="K71" s="1" t="s">
        <v>231</v>
      </c>
    </row>
    <row r="72" spans="1:11">
      <c r="A72" s="1">
        <v>2012</v>
      </c>
      <c r="B72" s="2" t="s">
        <v>243</v>
      </c>
      <c r="C72" s="2" t="s">
        <v>245</v>
      </c>
      <c r="D72" s="2"/>
      <c r="E72" s="2"/>
      <c r="F72" s="1" t="s">
        <v>246</v>
      </c>
      <c r="G72" s="1">
        <v>0.24</v>
      </c>
      <c r="H72" s="1" t="s">
        <v>231</v>
      </c>
      <c r="I72" s="1">
        <v>0</v>
      </c>
      <c r="J72" s="1" t="s">
        <v>231</v>
      </c>
      <c r="K72" s="1" t="s">
        <v>231</v>
      </c>
    </row>
    <row r="73" spans="1:11">
      <c r="A73" s="1">
        <v>2013</v>
      </c>
      <c r="B73" s="2" t="s">
        <v>125</v>
      </c>
      <c r="C73" s="1" t="s">
        <v>126</v>
      </c>
      <c r="D73" s="1" t="s">
        <v>269</v>
      </c>
      <c r="E73" s="1" t="s">
        <v>49</v>
      </c>
      <c r="F73" s="1" t="s">
        <v>278</v>
      </c>
      <c r="G73" s="1">
        <v>0.44</v>
      </c>
    </row>
    <row r="74" spans="1:11">
      <c r="A74" s="1">
        <v>2013</v>
      </c>
      <c r="B74" s="2" t="s">
        <v>127</v>
      </c>
      <c r="C74" s="1" t="s">
        <v>140</v>
      </c>
      <c r="D74" s="1" t="s">
        <v>270</v>
      </c>
      <c r="E74" s="1" t="s">
        <v>46</v>
      </c>
      <c r="F74" s="1" t="s">
        <v>279</v>
      </c>
      <c r="G74" s="1">
        <v>2.31</v>
      </c>
    </row>
    <row r="75" spans="1:11">
      <c r="A75" s="1">
        <v>2013</v>
      </c>
      <c r="B75" s="2" t="s">
        <v>128</v>
      </c>
      <c r="C75" s="1" t="s">
        <v>139</v>
      </c>
      <c r="D75" s="1" t="s">
        <v>270</v>
      </c>
      <c r="E75" s="1" t="s">
        <v>44</v>
      </c>
      <c r="F75" s="1" t="s">
        <v>281</v>
      </c>
      <c r="G75" s="1">
        <v>0.38</v>
      </c>
    </row>
    <row r="76" spans="1:11">
      <c r="A76" s="1">
        <v>2013</v>
      </c>
      <c r="B76" s="2" t="s">
        <v>129</v>
      </c>
      <c r="C76" s="1" t="s">
        <v>138</v>
      </c>
      <c r="D76" s="1" t="s">
        <v>270</v>
      </c>
      <c r="E76" s="1" t="s">
        <v>110</v>
      </c>
      <c r="F76" s="1" t="s">
        <v>282</v>
      </c>
      <c r="G76" s="1">
        <v>7.69</v>
      </c>
    </row>
    <row r="77" spans="1:11">
      <c r="A77" s="1">
        <v>2013</v>
      </c>
      <c r="B77" s="2" t="s">
        <v>130</v>
      </c>
      <c r="C77" s="1" t="s">
        <v>136</v>
      </c>
      <c r="D77" s="1" t="s">
        <v>271</v>
      </c>
      <c r="E77" s="1" t="s">
        <v>49</v>
      </c>
      <c r="F77" s="1" t="s">
        <v>278</v>
      </c>
      <c r="G77" s="1">
        <v>0.56999999999999995</v>
      </c>
    </row>
    <row r="78" spans="1:11">
      <c r="A78" s="1">
        <v>2013</v>
      </c>
      <c r="B78" s="2" t="s">
        <v>131</v>
      </c>
      <c r="C78" s="1" t="s">
        <v>137</v>
      </c>
      <c r="D78" s="1" t="s">
        <v>271</v>
      </c>
      <c r="E78" s="1" t="s">
        <v>46</v>
      </c>
      <c r="F78" s="1" t="s">
        <v>283</v>
      </c>
      <c r="G78" s="1">
        <v>14.95</v>
      </c>
    </row>
    <row r="79" spans="1:11">
      <c r="A79" s="1">
        <v>2013</v>
      </c>
      <c r="B79" s="2" t="s">
        <v>132</v>
      </c>
      <c r="C79" s="1" t="s">
        <v>135</v>
      </c>
      <c r="D79" s="1" t="s">
        <v>271</v>
      </c>
      <c r="E79" s="1" t="s">
        <v>110</v>
      </c>
      <c r="F79" s="1" t="s">
        <v>281</v>
      </c>
      <c r="G79" s="1">
        <v>16.48</v>
      </c>
    </row>
    <row r="80" spans="1:11">
      <c r="A80" s="1">
        <v>2013</v>
      </c>
      <c r="B80" s="2" t="s">
        <v>133</v>
      </c>
      <c r="C80" s="1" t="s">
        <v>134</v>
      </c>
      <c r="D80" s="1" t="s">
        <v>272</v>
      </c>
      <c r="E80" s="1" t="s">
        <v>46</v>
      </c>
      <c r="F80" s="1" t="s">
        <v>241</v>
      </c>
      <c r="G80" s="1">
        <v>64.930000000000007</v>
      </c>
    </row>
    <row r="81" spans="1:7">
      <c r="A81" s="1">
        <v>2013</v>
      </c>
      <c r="B81" s="2" t="s">
        <v>98</v>
      </c>
      <c r="C81" s="1" t="s">
        <v>99</v>
      </c>
      <c r="D81" s="1" t="s">
        <v>273</v>
      </c>
      <c r="E81" s="1" t="s">
        <v>110</v>
      </c>
      <c r="F81" s="1" t="s">
        <v>281</v>
      </c>
      <c r="G81" s="1">
        <v>34.92</v>
      </c>
    </row>
    <row r="82" spans="1:7">
      <c r="A82" s="1">
        <v>2013</v>
      </c>
      <c r="B82" s="2" t="s">
        <v>274</v>
      </c>
      <c r="C82" s="1" t="s">
        <v>276</v>
      </c>
      <c r="D82" s="1" t="s">
        <v>273</v>
      </c>
      <c r="F82" s="1" t="s">
        <v>158</v>
      </c>
      <c r="G82" s="1">
        <v>0.12</v>
      </c>
    </row>
    <row r="83" spans="1:7">
      <c r="A83" s="1">
        <v>2013</v>
      </c>
      <c r="B83" s="2" t="s">
        <v>275</v>
      </c>
      <c r="C83" s="1" t="s">
        <v>280</v>
      </c>
      <c r="D83" s="1" t="s">
        <v>277</v>
      </c>
      <c r="F83" s="1" t="s">
        <v>278</v>
      </c>
      <c r="G83" s="1">
        <v>2.66</v>
      </c>
    </row>
    <row r="84" spans="1:7">
      <c r="A84" s="1">
        <v>2014</v>
      </c>
      <c r="B84" s="2" t="s">
        <v>64</v>
      </c>
      <c r="C84" s="1" t="s">
        <v>65</v>
      </c>
      <c r="D84" s="1" t="s">
        <v>269</v>
      </c>
      <c r="E84" s="1" t="s">
        <v>46</v>
      </c>
      <c r="F84" s="1" t="s">
        <v>241</v>
      </c>
      <c r="G84" s="1">
        <v>2.17</v>
      </c>
    </row>
    <row r="85" spans="1:7" ht="27">
      <c r="A85" s="1">
        <v>2014</v>
      </c>
      <c r="B85" s="2" t="s">
        <v>79</v>
      </c>
      <c r="C85" s="1" t="s">
        <v>80</v>
      </c>
      <c r="D85" s="1" t="s">
        <v>270</v>
      </c>
      <c r="E85" s="1" t="s">
        <v>76</v>
      </c>
      <c r="F85" s="1" t="s">
        <v>284</v>
      </c>
      <c r="G85" s="1">
        <v>80.8</v>
      </c>
    </row>
    <row r="86" spans="1:7" ht="27">
      <c r="A86" s="1">
        <v>2014</v>
      </c>
      <c r="B86" s="2" t="s">
        <v>84</v>
      </c>
      <c r="C86" s="1" t="s">
        <v>83</v>
      </c>
      <c r="D86" s="1" t="s">
        <v>270</v>
      </c>
      <c r="E86" s="1" t="s">
        <v>101</v>
      </c>
      <c r="F86" s="1" t="s">
        <v>285</v>
      </c>
      <c r="G86" s="1">
        <v>4.45</v>
      </c>
    </row>
    <row r="87" spans="1:7">
      <c r="A87" s="1">
        <v>2014</v>
      </c>
      <c r="B87" s="2" t="s">
        <v>85</v>
      </c>
      <c r="C87" s="1" t="s">
        <v>86</v>
      </c>
      <c r="D87" s="1" t="s">
        <v>272</v>
      </c>
      <c r="E87" s="1" t="s">
        <v>87</v>
      </c>
      <c r="F87" s="1" t="s">
        <v>284</v>
      </c>
      <c r="G87" s="1">
        <v>42.75</v>
      </c>
    </row>
    <row r="88" spans="1:7" ht="27">
      <c r="A88" s="1">
        <v>2014</v>
      </c>
      <c r="B88" s="2" t="s">
        <v>89</v>
      </c>
      <c r="C88" s="1" t="s">
        <v>88</v>
      </c>
      <c r="D88" s="1" t="s">
        <v>272</v>
      </c>
      <c r="E88" s="1" t="s">
        <v>90</v>
      </c>
      <c r="F88" s="1" t="s">
        <v>286</v>
      </c>
      <c r="G88" s="1">
        <v>4.5199999999999996</v>
      </c>
    </row>
    <row r="89" spans="1:7">
      <c r="A89" s="1">
        <v>2015</v>
      </c>
      <c r="B89" s="2" t="s">
        <v>51</v>
      </c>
      <c r="C89" s="1" t="s">
        <v>52</v>
      </c>
      <c r="D89" s="1" t="s">
        <v>269</v>
      </c>
      <c r="E89" s="1" t="s">
        <v>49</v>
      </c>
      <c r="F89" s="1" t="s">
        <v>278</v>
      </c>
      <c r="G89" s="1">
        <v>0.06</v>
      </c>
    </row>
    <row r="90" spans="1:7" ht="27">
      <c r="A90" s="1">
        <v>2015</v>
      </c>
      <c r="B90" s="2" t="s">
        <v>53</v>
      </c>
      <c r="C90" s="1" t="s">
        <v>56</v>
      </c>
      <c r="D90" s="1" t="s">
        <v>270</v>
      </c>
      <c r="E90" s="1" t="s">
        <v>48</v>
      </c>
      <c r="F90" s="1" t="s">
        <v>287</v>
      </c>
      <c r="G90" s="1">
        <v>10.98</v>
      </c>
    </row>
    <row r="91" spans="1:7">
      <c r="A91" s="1">
        <v>2015</v>
      </c>
      <c r="B91" s="2" t="s">
        <v>54</v>
      </c>
      <c r="C91" s="1" t="s">
        <v>55</v>
      </c>
      <c r="D91" s="1" t="s">
        <v>270</v>
      </c>
      <c r="E91" s="1" t="s">
        <v>46</v>
      </c>
      <c r="F91" s="1" t="s">
        <v>279</v>
      </c>
      <c r="G91" s="1">
        <v>2.48</v>
      </c>
    </row>
    <row r="92" spans="1:7">
      <c r="A92" s="1">
        <v>2015</v>
      </c>
      <c r="B92" s="2" t="s">
        <v>57</v>
      </c>
      <c r="C92" s="1" t="s">
        <v>60</v>
      </c>
      <c r="D92" s="1" t="s">
        <v>271</v>
      </c>
      <c r="E92" s="1" t="s">
        <v>44</v>
      </c>
      <c r="F92" s="1" t="s">
        <v>281</v>
      </c>
      <c r="G92" s="1">
        <v>24.69</v>
      </c>
    </row>
    <row r="93" spans="1:7">
      <c r="A93" s="1">
        <v>2015</v>
      </c>
      <c r="B93" s="2" t="s">
        <v>58</v>
      </c>
      <c r="C93" s="1" t="s">
        <v>61</v>
      </c>
      <c r="D93" s="1" t="s">
        <v>272</v>
      </c>
      <c r="E93" s="1" t="s">
        <v>44</v>
      </c>
      <c r="F93" s="1" t="s">
        <v>281</v>
      </c>
      <c r="G93" s="1">
        <v>6.95</v>
      </c>
    </row>
    <row r="94" spans="1:7">
      <c r="A94" s="1">
        <v>2015</v>
      </c>
      <c r="B94" s="2" t="s">
        <v>62</v>
      </c>
      <c r="C94" s="1" t="s">
        <v>63</v>
      </c>
      <c r="D94" s="1" t="s">
        <v>273</v>
      </c>
      <c r="E94" s="1" t="s">
        <v>46</v>
      </c>
      <c r="F94" s="1" t="s">
        <v>284</v>
      </c>
      <c r="G94" s="1">
        <v>27.02</v>
      </c>
    </row>
    <row r="95" spans="1:7">
      <c r="A95" s="1">
        <v>2016</v>
      </c>
      <c r="B95" s="2" t="s">
        <v>43</v>
      </c>
      <c r="C95" s="1" t="s">
        <v>59</v>
      </c>
      <c r="D95" s="1" t="s">
        <v>270</v>
      </c>
      <c r="E95" s="1" t="s">
        <v>44</v>
      </c>
      <c r="F95" s="1" t="s">
        <v>282</v>
      </c>
      <c r="G95" s="1">
        <v>0.35</v>
      </c>
    </row>
    <row r="96" spans="1:7">
      <c r="A96" s="1">
        <v>2016</v>
      </c>
      <c r="B96" s="2" t="s">
        <v>45</v>
      </c>
      <c r="C96" s="1" t="s">
        <v>68</v>
      </c>
      <c r="D96" s="1" t="s">
        <v>271</v>
      </c>
      <c r="E96" s="1" t="s">
        <v>46</v>
      </c>
      <c r="F96" s="1" t="s">
        <v>279</v>
      </c>
      <c r="G96" s="1">
        <v>1.1200000000000001</v>
      </c>
    </row>
    <row r="97" spans="1:7">
      <c r="A97" s="1">
        <v>2016</v>
      </c>
      <c r="B97" s="2" t="s">
        <v>70</v>
      </c>
      <c r="C97" s="1" t="s">
        <v>71</v>
      </c>
      <c r="D97" s="1" t="s">
        <v>271</v>
      </c>
      <c r="E97" s="1" t="s">
        <v>46</v>
      </c>
      <c r="F97" s="1" t="s">
        <v>283</v>
      </c>
      <c r="G97" s="1">
        <v>0.4</v>
      </c>
    </row>
    <row r="98" spans="1:7">
      <c r="A98" s="1">
        <v>2016</v>
      </c>
      <c r="B98" s="2" t="s">
        <v>47</v>
      </c>
      <c r="C98" s="1" t="s">
        <v>10</v>
      </c>
      <c r="D98" s="1" t="s">
        <v>272</v>
      </c>
      <c r="E98" s="1" t="s">
        <v>110</v>
      </c>
      <c r="F98" s="1" t="s">
        <v>288</v>
      </c>
      <c r="G98" s="1">
        <v>9.19</v>
      </c>
    </row>
    <row r="99" spans="1:7">
      <c r="A99" s="1">
        <v>2016</v>
      </c>
      <c r="B99" s="2" t="s">
        <v>113</v>
      </c>
      <c r="C99" s="1" t="s">
        <v>114</v>
      </c>
      <c r="D99" s="1" t="s">
        <v>272</v>
      </c>
      <c r="E99" s="1" t="s">
        <v>44</v>
      </c>
      <c r="F99" s="1" t="s">
        <v>281</v>
      </c>
      <c r="G99" s="1">
        <v>8.92</v>
      </c>
    </row>
    <row r="100" spans="1:7" ht="29.25" customHeight="1">
      <c r="A100" s="1">
        <v>2016</v>
      </c>
      <c r="B100" s="2" t="s">
        <v>117</v>
      </c>
      <c r="C100" s="1" t="s">
        <v>118</v>
      </c>
      <c r="D100" s="1" t="s">
        <v>273</v>
      </c>
      <c r="E100" s="1" t="s">
        <v>119</v>
      </c>
      <c r="F100" s="1" t="s">
        <v>93</v>
      </c>
      <c r="G100" s="1">
        <v>6.38</v>
      </c>
    </row>
    <row r="101" spans="1:7">
      <c r="A101" s="1">
        <v>2016</v>
      </c>
      <c r="B101" s="2" t="s">
        <v>120</v>
      </c>
      <c r="C101" s="1" t="s">
        <v>121</v>
      </c>
      <c r="D101" s="1" t="s">
        <v>273</v>
      </c>
      <c r="E101" s="1" t="s">
        <v>46</v>
      </c>
      <c r="F101" s="1" t="s">
        <v>279</v>
      </c>
      <c r="G101" s="1">
        <v>7.59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E26" sqref="E26"/>
    </sheetView>
  </sheetViews>
  <sheetFormatPr defaultRowHeight="14.25"/>
  <cols>
    <col min="2" max="2" width="12.25" customWidth="1"/>
  </cols>
  <sheetData>
    <row r="1" spans="1:2">
      <c r="A1" s="10" t="s">
        <v>230</v>
      </c>
      <c r="B1" t="s">
        <v>247</v>
      </c>
    </row>
    <row r="2" spans="1:2">
      <c r="A2" s="10">
        <v>2000</v>
      </c>
      <c r="B2">
        <v>100280.1</v>
      </c>
    </row>
    <row r="3" spans="1:2">
      <c r="A3" s="10">
        <v>2001</v>
      </c>
      <c r="B3">
        <v>110863.1</v>
      </c>
    </row>
    <row r="4" spans="1:2">
      <c r="A4" s="10">
        <v>2002</v>
      </c>
      <c r="B4">
        <v>121717.4</v>
      </c>
    </row>
    <row r="5" spans="1:2">
      <c r="A5" s="10">
        <v>2003</v>
      </c>
      <c r="B5">
        <v>137422</v>
      </c>
    </row>
    <row r="6" spans="1:2">
      <c r="A6" s="10">
        <v>2004</v>
      </c>
      <c r="B6">
        <v>161840.20000000001</v>
      </c>
    </row>
    <row r="7" spans="1:2">
      <c r="A7" s="10">
        <v>2005</v>
      </c>
      <c r="B7">
        <v>187318.9</v>
      </c>
    </row>
    <row r="8" spans="1:2">
      <c r="A8" s="10">
        <v>2006</v>
      </c>
      <c r="B8">
        <v>219438.5</v>
      </c>
    </row>
    <row r="9" spans="1:2">
      <c r="A9">
        <v>2007</v>
      </c>
      <c r="B9">
        <v>270232.3</v>
      </c>
    </row>
    <row r="10" spans="1:2">
      <c r="A10">
        <v>2008</v>
      </c>
      <c r="B10">
        <v>319515.5</v>
      </c>
    </row>
    <row r="11" spans="1:2">
      <c r="A11">
        <v>2009</v>
      </c>
      <c r="B11">
        <v>349081.4</v>
      </c>
    </row>
    <row r="12" spans="1:2">
      <c r="A12">
        <v>2010</v>
      </c>
      <c r="B12">
        <v>413030.3</v>
      </c>
    </row>
    <row r="13" spans="1:2">
      <c r="A13">
        <v>2011</v>
      </c>
      <c r="B13">
        <v>489300.6</v>
      </c>
    </row>
    <row r="14" spans="1:2">
      <c r="A14">
        <v>2012</v>
      </c>
      <c r="B14">
        <v>540367.4</v>
      </c>
    </row>
    <row r="15" spans="1:2">
      <c r="A15">
        <v>2013</v>
      </c>
      <c r="B15">
        <v>595244.4</v>
      </c>
    </row>
    <row r="16" spans="1:2">
      <c r="A16">
        <v>2014</v>
      </c>
      <c r="B16">
        <v>643974</v>
      </c>
    </row>
    <row r="17" spans="1:2">
      <c r="A17">
        <v>2015</v>
      </c>
      <c r="B17">
        <v>689052.1</v>
      </c>
    </row>
    <row r="18" spans="1:2">
      <c r="A18">
        <v>2016</v>
      </c>
      <c r="B18">
        <v>743585.5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D2" sqref="D2:M3"/>
    </sheetView>
  </sheetViews>
  <sheetFormatPr defaultRowHeight="14.25"/>
  <cols>
    <col min="1" max="1" width="34.125" style="18" customWidth="1"/>
    <col min="2" max="3" width="9" style="18"/>
    <col min="4" max="13" width="7.625" style="18" customWidth="1"/>
    <col min="14" max="16384" width="9" style="18"/>
  </cols>
  <sheetData>
    <row r="1" spans="1:13" ht="28.5" customHeight="1">
      <c r="A1" s="40" t="s">
        <v>361</v>
      </c>
      <c r="B1" s="40"/>
    </row>
    <row r="2" spans="1:13" ht="28.5">
      <c r="D2" s="34" t="s">
        <v>379</v>
      </c>
      <c r="E2" s="34" t="s">
        <v>380</v>
      </c>
      <c r="F2" s="34" t="s">
        <v>381</v>
      </c>
      <c r="G2" s="34" t="s">
        <v>382</v>
      </c>
      <c r="H2" s="34" t="s">
        <v>383</v>
      </c>
      <c r="I2" s="34" t="s">
        <v>384</v>
      </c>
      <c r="J2" s="34" t="s">
        <v>385</v>
      </c>
      <c r="K2" s="34" t="s">
        <v>386</v>
      </c>
      <c r="L2" s="35" t="s">
        <v>387</v>
      </c>
      <c r="M2" s="36" t="s">
        <v>388</v>
      </c>
    </row>
    <row r="3" spans="1:13" ht="14.25" customHeight="1">
      <c r="A3" s="19" t="s">
        <v>354</v>
      </c>
      <c r="B3" s="20" t="s">
        <v>355</v>
      </c>
      <c r="D3" s="36">
        <v>57.755000000000003</v>
      </c>
      <c r="E3" s="36">
        <v>10234</v>
      </c>
      <c r="F3" s="36">
        <v>101.16</v>
      </c>
      <c r="G3" s="36">
        <v>1.7516</v>
      </c>
      <c r="H3" s="36">
        <v>10.116</v>
      </c>
      <c r="I3" s="36">
        <v>2.6122000000000001</v>
      </c>
      <c r="J3" s="36">
        <v>7.0021000000000004</v>
      </c>
      <c r="K3" s="36">
        <v>12.157</v>
      </c>
      <c r="L3" s="36">
        <v>4.3357999999999999</v>
      </c>
      <c r="M3" s="36">
        <v>57.773000000000003</v>
      </c>
    </row>
    <row r="4" spans="1:13" ht="14.25" customHeight="1">
      <c r="A4" s="21" t="s">
        <v>367</v>
      </c>
      <c r="B4" s="22">
        <v>57.755000000000003</v>
      </c>
    </row>
    <row r="5" spans="1:13" ht="14.25" customHeight="1">
      <c r="A5" s="21" t="s">
        <v>366</v>
      </c>
      <c r="B5" s="22">
        <v>10234</v>
      </c>
    </row>
    <row r="6" spans="1:13" ht="14.25" customHeight="1">
      <c r="A6" s="21" t="s">
        <v>365</v>
      </c>
      <c r="B6" s="22">
        <v>101.16</v>
      </c>
    </row>
    <row r="7" spans="1:13" ht="14.25" customHeight="1">
      <c r="A7" s="21" t="s">
        <v>364</v>
      </c>
      <c r="B7" s="22">
        <v>1.7516</v>
      </c>
    </row>
    <row r="8" spans="1:13" ht="14.25" customHeight="1">
      <c r="A8" s="21" t="s">
        <v>363</v>
      </c>
      <c r="B8" s="22">
        <v>10.116</v>
      </c>
    </row>
    <row r="9" spans="1:13" ht="14.25" customHeight="1">
      <c r="A9" s="21" t="s">
        <v>362</v>
      </c>
      <c r="B9" s="22">
        <v>2.6122000000000001</v>
      </c>
    </row>
    <row r="10" spans="1:13" ht="14.25" customHeight="1">
      <c r="A10" s="23" t="s">
        <v>374</v>
      </c>
      <c r="B10" s="24">
        <v>7.0021000000000004</v>
      </c>
    </row>
    <row r="11" spans="1:13">
      <c r="A11" s="15" t="s">
        <v>368</v>
      </c>
      <c r="B11" s="15" t="s">
        <v>355</v>
      </c>
    </row>
    <row r="12" spans="1:13">
      <c r="A12" s="16" t="s">
        <v>356</v>
      </c>
      <c r="B12" s="16">
        <v>1.376E-2</v>
      </c>
    </row>
    <row r="13" spans="1:13">
      <c r="A13" s="17">
        <v>0.05</v>
      </c>
      <c r="B13" s="16">
        <v>0.26489000000000001</v>
      </c>
    </row>
    <row r="14" spans="1:13">
      <c r="A14" s="17">
        <v>0.1</v>
      </c>
      <c r="B14" s="16">
        <v>0.48220000000000002</v>
      </c>
    </row>
    <row r="15" spans="1:13">
      <c r="A15" s="16" t="s">
        <v>357</v>
      </c>
      <c r="B15" s="16">
        <v>4.3357999999999999</v>
      </c>
    </row>
    <row r="16" spans="1:13">
      <c r="A16" s="16" t="s">
        <v>358</v>
      </c>
      <c r="B16" s="16">
        <v>12.157</v>
      </c>
    </row>
    <row r="17" spans="1:2">
      <c r="A17" s="16" t="s">
        <v>359</v>
      </c>
      <c r="B17" s="16">
        <v>57.773000000000003</v>
      </c>
    </row>
    <row r="18" spans="1:2">
      <c r="A18" s="17">
        <v>0.9</v>
      </c>
      <c r="B18" s="16">
        <v>209.05</v>
      </c>
    </row>
    <row r="19" spans="1:2">
      <c r="A19" s="17">
        <v>0.95</v>
      </c>
      <c r="B19" s="16">
        <v>302.83</v>
      </c>
    </row>
    <row r="20" spans="1:2">
      <c r="A20" s="16" t="s">
        <v>360</v>
      </c>
      <c r="B20" s="24">
        <v>502.59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3"/>
  <sheetViews>
    <sheetView workbookViewId="0"/>
  </sheetViews>
  <sheetFormatPr defaultRowHeight="14.25"/>
  <cols>
    <col min="1" max="1" width="16.5" customWidth="1"/>
    <col min="2" max="2" width="4.625" customWidth="1"/>
    <col min="3" max="3" width="4.625" style="7" customWidth="1"/>
    <col min="4" max="12" width="4.625" customWidth="1"/>
    <col min="14" max="14" width="14.5" customWidth="1"/>
    <col min="18" max="18" width="12" customWidth="1"/>
  </cols>
  <sheetData>
    <row r="1" spans="1:18">
      <c r="N1" s="10" t="s">
        <v>369</v>
      </c>
      <c r="O1" s="10" t="s">
        <v>372</v>
      </c>
      <c r="P1" s="32" t="s">
        <v>373</v>
      </c>
      <c r="Q1" s="10" t="s">
        <v>378</v>
      </c>
      <c r="R1" s="10" t="s">
        <v>377</v>
      </c>
    </row>
    <row r="2" spans="1:18">
      <c r="A2" s="10" t="s">
        <v>371</v>
      </c>
      <c r="B2">
        <f>100/17</f>
        <v>5.882352941176471</v>
      </c>
      <c r="N2">
        <v>1</v>
      </c>
      <c r="O2">
        <v>1</v>
      </c>
      <c r="P2" s="33">
        <f>EXP(1)^-5.882*(5.882)^N2/FACT(N2)</f>
        <v>1.6406081989737548E-2</v>
      </c>
      <c r="Q2">
        <f>ROUND(P2*17,0)</f>
        <v>0</v>
      </c>
      <c r="R2">
        <f t="shared" ref="R2:R12" si="0">(O2-Q2)^2/O2</f>
        <v>1</v>
      </c>
    </row>
    <row r="3" spans="1:18" s="7" customFormat="1">
      <c r="A3" s="30" t="s">
        <v>376</v>
      </c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N3">
        <v>2</v>
      </c>
      <c r="O3">
        <v>1</v>
      </c>
      <c r="P3" s="33">
        <f t="shared" ref="P3:P12" si="1">EXP(1)^-5.882*(5.882)^N3/FACT(N3)</f>
        <v>4.8250287131818129E-2</v>
      </c>
      <c r="Q3">
        <f t="shared" ref="Q3:Q12" si="2">ROUND(P3*17,0)</f>
        <v>1</v>
      </c>
      <c r="R3">
        <f t="shared" si="0"/>
        <v>0</v>
      </c>
    </row>
    <row r="4" spans="1:18" s="7" customFormat="1">
      <c r="A4" s="30" t="s">
        <v>370</v>
      </c>
      <c r="B4" s="31">
        <v>1</v>
      </c>
      <c r="C4" s="31">
        <v>1</v>
      </c>
      <c r="D4" s="31">
        <v>1</v>
      </c>
      <c r="E4" s="31">
        <v>2</v>
      </c>
      <c r="F4" s="31">
        <v>3</v>
      </c>
      <c r="G4" s="31">
        <v>2</v>
      </c>
      <c r="H4" s="31">
        <v>3</v>
      </c>
      <c r="I4" s="31">
        <v>0</v>
      </c>
      <c r="J4" s="31">
        <v>3</v>
      </c>
      <c r="K4" s="31">
        <v>0</v>
      </c>
      <c r="L4" s="31">
        <v>1</v>
      </c>
      <c r="N4">
        <v>3</v>
      </c>
      <c r="O4">
        <v>1</v>
      </c>
      <c r="P4" s="33">
        <f t="shared" si="1"/>
        <v>9.4602729636451402E-2</v>
      </c>
      <c r="Q4">
        <f t="shared" si="2"/>
        <v>2</v>
      </c>
      <c r="R4">
        <f t="shared" si="0"/>
        <v>1</v>
      </c>
    </row>
    <row r="5" spans="1:18">
      <c r="N5">
        <v>4</v>
      </c>
      <c r="O5">
        <v>2</v>
      </c>
      <c r="P5" s="33">
        <f t="shared" si="1"/>
        <v>0.1391133139304018</v>
      </c>
      <c r="Q5">
        <f t="shared" si="2"/>
        <v>2</v>
      </c>
      <c r="R5">
        <f t="shared" si="0"/>
        <v>0</v>
      </c>
    </row>
    <row r="6" spans="1:18">
      <c r="N6">
        <v>5</v>
      </c>
      <c r="O6">
        <v>3</v>
      </c>
      <c r="P6" s="33">
        <f t="shared" si="1"/>
        <v>0.16365290250772466</v>
      </c>
      <c r="Q6">
        <f t="shared" si="2"/>
        <v>3</v>
      </c>
      <c r="R6">
        <f t="shared" si="0"/>
        <v>0</v>
      </c>
    </row>
    <row r="7" spans="1:18">
      <c r="N7">
        <v>6</v>
      </c>
      <c r="O7">
        <v>2</v>
      </c>
      <c r="P7" s="33">
        <f t="shared" si="1"/>
        <v>0.16043439542507276</v>
      </c>
      <c r="Q7">
        <f t="shared" si="2"/>
        <v>3</v>
      </c>
      <c r="R7">
        <f t="shared" si="0"/>
        <v>0.5</v>
      </c>
    </row>
    <row r="8" spans="1:18">
      <c r="N8">
        <v>7</v>
      </c>
      <c r="O8">
        <v>3</v>
      </c>
      <c r="P8" s="33">
        <f t="shared" si="1"/>
        <v>0.13481073055575399</v>
      </c>
      <c r="Q8">
        <f t="shared" si="2"/>
        <v>2</v>
      </c>
      <c r="R8">
        <f t="shared" si="0"/>
        <v>0.33333333333333331</v>
      </c>
    </row>
    <row r="9" spans="1:18">
      <c r="N9">
        <v>8</v>
      </c>
      <c r="O9">
        <v>1</v>
      </c>
      <c r="P9" s="33">
        <f t="shared" si="1"/>
        <v>9.9119589641118125E-2</v>
      </c>
      <c r="Q9">
        <f t="shared" si="2"/>
        <v>2</v>
      </c>
      <c r="R9">
        <f t="shared" si="0"/>
        <v>1</v>
      </c>
    </row>
    <row r="10" spans="1:18">
      <c r="N10">
        <v>9</v>
      </c>
      <c r="O10">
        <v>1</v>
      </c>
      <c r="P10" s="33">
        <f t="shared" si="1"/>
        <v>6.4780158474339641E-2</v>
      </c>
      <c r="Q10">
        <f t="shared" si="2"/>
        <v>1</v>
      </c>
      <c r="R10">
        <f t="shared" si="0"/>
        <v>0</v>
      </c>
    </row>
    <row r="11" spans="1:18">
      <c r="N11">
        <v>10</v>
      </c>
      <c r="O11">
        <v>1</v>
      </c>
      <c r="P11" s="33">
        <f t="shared" si="1"/>
        <v>3.8103689214606586E-2</v>
      </c>
      <c r="Q11">
        <f t="shared" si="2"/>
        <v>1</v>
      </c>
      <c r="R11">
        <f t="shared" si="0"/>
        <v>0</v>
      </c>
    </row>
    <row r="12" spans="1:18">
      <c r="N12">
        <v>11</v>
      </c>
      <c r="O12">
        <v>1</v>
      </c>
      <c r="P12" s="33">
        <f t="shared" si="1"/>
        <v>2.0375081814574172E-2</v>
      </c>
      <c r="Q12">
        <f t="shared" si="2"/>
        <v>0</v>
      </c>
      <c r="R12">
        <f t="shared" si="0"/>
        <v>1</v>
      </c>
    </row>
    <row r="13" spans="1:18">
      <c r="P13" s="33">
        <f>SUM(P2:P12)</f>
        <v>0.97964896032159876</v>
      </c>
      <c r="Q13">
        <f>SUM(Q2:Q12)</f>
        <v>17</v>
      </c>
      <c r="R13">
        <f>SUM(R2:R12)</f>
        <v>4.8333333333333339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J4"/>
    </sheetView>
  </sheetViews>
  <sheetFormatPr defaultRowHeight="14.25"/>
  <cols>
    <col min="1" max="1" width="11.25" customWidth="1"/>
    <col min="2" max="10" width="6.625" customWidth="1"/>
  </cols>
  <sheetData>
    <row r="1" spans="1:10">
      <c r="A1" s="37" t="s">
        <v>389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</row>
    <row r="2" spans="1:10">
      <c r="A2" s="37" t="s">
        <v>390</v>
      </c>
      <c r="B2" s="29">
        <v>4</v>
      </c>
      <c r="C2" s="29">
        <v>6</v>
      </c>
      <c r="D2" s="29">
        <v>2</v>
      </c>
      <c r="E2" s="29">
        <v>3</v>
      </c>
      <c r="F2" s="29">
        <v>1</v>
      </c>
      <c r="G2" s="29">
        <v>9</v>
      </c>
      <c r="H2" s="29">
        <v>4</v>
      </c>
      <c r="I2" s="29">
        <v>7</v>
      </c>
      <c r="J2" s="29">
        <v>9</v>
      </c>
    </row>
    <row r="3" spans="1:10">
      <c r="A3" s="37" t="s">
        <v>389</v>
      </c>
      <c r="B3" s="29">
        <v>2009</v>
      </c>
      <c r="C3" s="29">
        <v>2010</v>
      </c>
      <c r="D3" s="29">
        <v>2011</v>
      </c>
      <c r="E3" s="29">
        <v>2012</v>
      </c>
      <c r="F3" s="29">
        <v>2013</v>
      </c>
      <c r="G3" s="29">
        <v>2014</v>
      </c>
      <c r="H3" s="29">
        <v>2015</v>
      </c>
      <c r="I3" s="29">
        <v>2016</v>
      </c>
      <c r="J3" s="29"/>
    </row>
    <row r="4" spans="1:10">
      <c r="A4" s="37" t="s">
        <v>390</v>
      </c>
      <c r="B4" s="29">
        <v>5</v>
      </c>
      <c r="C4" s="29">
        <v>7</v>
      </c>
      <c r="D4" s="29">
        <v>5</v>
      </c>
      <c r="E4" s="29">
        <v>9</v>
      </c>
      <c r="F4" s="29">
        <v>11</v>
      </c>
      <c r="G4" s="29">
        <v>5</v>
      </c>
      <c r="H4" s="29">
        <v>6</v>
      </c>
      <c r="I4" s="29">
        <v>7</v>
      </c>
      <c r="J4" s="2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H13" sqref="H13"/>
    </sheetView>
  </sheetViews>
  <sheetFormatPr defaultRowHeight="14.25"/>
  <cols>
    <col min="1" max="1" width="9" style="25"/>
    <col min="3" max="3" width="14.25" customWidth="1"/>
    <col min="4" max="4" width="15.75" customWidth="1"/>
    <col min="5" max="5" width="18.75" customWidth="1"/>
  </cols>
  <sheetData>
    <row r="1" spans="1:5" ht="27.75">
      <c r="A1" s="26" t="s">
        <v>230</v>
      </c>
      <c r="B1" s="27" t="s">
        <v>38</v>
      </c>
      <c r="C1" s="28" t="s">
        <v>39</v>
      </c>
      <c r="D1" s="28" t="s">
        <v>352</v>
      </c>
      <c r="E1" s="28" t="s">
        <v>375</v>
      </c>
    </row>
    <row r="2" spans="1:5">
      <c r="A2" s="41">
        <v>2000</v>
      </c>
      <c r="B2" s="27" t="s">
        <v>296</v>
      </c>
      <c r="C2" s="28">
        <v>11.9</v>
      </c>
      <c r="D2" s="29">
        <v>100280.1</v>
      </c>
      <c r="E2" s="28">
        <f>(743585.5/整体!D2)*C2</f>
        <v>88.239515616757458</v>
      </c>
    </row>
    <row r="3" spans="1:5">
      <c r="A3" s="41"/>
      <c r="B3" s="27" t="s">
        <v>297</v>
      </c>
      <c r="C3" s="28">
        <f>11.56+1.22+55</f>
        <v>67.78</v>
      </c>
      <c r="D3" s="29">
        <v>100280.1</v>
      </c>
      <c r="E3" s="28">
        <f>(743585.5/整体!D3)*C3</f>
        <v>502.59448474822022</v>
      </c>
    </row>
    <row r="4" spans="1:5">
      <c r="A4" s="41"/>
      <c r="B4" s="27" t="s">
        <v>298</v>
      </c>
      <c r="C4" s="28">
        <f>1.13+0.15+31.4</f>
        <v>32.68</v>
      </c>
      <c r="D4" s="29">
        <v>100280.1</v>
      </c>
      <c r="E4" s="28">
        <f>(743585.5/整体!D4)*C4</f>
        <v>242.32498910551544</v>
      </c>
    </row>
    <row r="5" spans="1:5">
      <c r="A5" s="41"/>
      <c r="B5" s="27" t="s">
        <v>299</v>
      </c>
      <c r="C5" s="28">
        <v>3</v>
      </c>
      <c r="D5" s="29">
        <v>100280.1</v>
      </c>
      <c r="E5" s="28">
        <f>(743585.5/整体!D5)*C5</f>
        <v>22.245256037838015</v>
      </c>
    </row>
    <row r="6" spans="1:5">
      <c r="A6" s="41">
        <v>2001</v>
      </c>
      <c r="B6" s="27" t="s">
        <v>300</v>
      </c>
      <c r="C6" s="28">
        <v>45.2</v>
      </c>
      <c r="D6" s="29">
        <v>110863.1</v>
      </c>
      <c r="E6" s="28">
        <f>(743585.5/整体!D6)*C6</f>
        <v>303.16728108811679</v>
      </c>
    </row>
    <row r="7" spans="1:5">
      <c r="A7" s="41"/>
      <c r="B7" s="27" t="s">
        <v>301</v>
      </c>
      <c r="C7" s="28">
        <v>3.8</v>
      </c>
      <c r="D7" s="29">
        <v>110863.1</v>
      </c>
      <c r="E7" s="28">
        <f>(743585.5/整体!D7)*C7</f>
        <v>25.487514781744331</v>
      </c>
    </row>
    <row r="8" spans="1:5">
      <c r="A8" s="41"/>
      <c r="B8" s="27" t="s">
        <v>302</v>
      </c>
      <c r="C8" s="28">
        <f>24.5+6.9</f>
        <v>31.4</v>
      </c>
      <c r="D8" s="29">
        <v>110863.1</v>
      </c>
      <c r="E8" s="28">
        <f>(743585.5/整体!D8)*C8</f>
        <v>210.60735898599262</v>
      </c>
    </row>
    <row r="9" spans="1:5">
      <c r="A9" s="41"/>
      <c r="B9" s="27" t="s">
        <v>303</v>
      </c>
      <c r="C9" s="28">
        <v>0.8</v>
      </c>
      <c r="D9" s="29">
        <v>110863.1</v>
      </c>
      <c r="E9" s="28">
        <f>(743585.5/整体!D9)*C9</f>
        <v>5.3657925856303859</v>
      </c>
    </row>
    <row r="10" spans="1:5">
      <c r="A10" s="41"/>
      <c r="B10" s="27" t="s">
        <v>304</v>
      </c>
      <c r="C10" s="28">
        <v>5</v>
      </c>
      <c r="D10" s="29">
        <v>110863.1</v>
      </c>
      <c r="E10" s="28">
        <f>(743585.5/整体!D10)*C10</f>
        <v>33.536203660189912</v>
      </c>
    </row>
    <row r="11" spans="1:5">
      <c r="A11" s="41"/>
      <c r="B11" s="27" t="s">
        <v>305</v>
      </c>
      <c r="C11" s="28">
        <v>0.8</v>
      </c>
      <c r="D11" s="29">
        <v>110863.1</v>
      </c>
      <c r="E11" s="28">
        <f>(743585.5/整体!D11)*C11</f>
        <v>5.3657925856303859</v>
      </c>
    </row>
    <row r="12" spans="1:5">
      <c r="A12" s="41">
        <v>2002</v>
      </c>
      <c r="B12" s="27" t="s">
        <v>312</v>
      </c>
      <c r="C12" s="28">
        <v>0.94</v>
      </c>
      <c r="D12" s="29">
        <v>121717.4</v>
      </c>
      <c r="E12" s="28">
        <f>(743585.5/整体!D12)*C12</f>
        <v>5.7425673732761293</v>
      </c>
    </row>
    <row r="13" spans="1:5">
      <c r="A13" s="41"/>
      <c r="B13" s="27" t="s">
        <v>315</v>
      </c>
      <c r="C13" s="28">
        <f>29.6+32.6+0.021</f>
        <v>62.221000000000004</v>
      </c>
      <c r="D13" s="29">
        <v>121717.4</v>
      </c>
      <c r="E13" s="28">
        <f>(743585.5/整体!D13)*C13</f>
        <v>380.11519631129158</v>
      </c>
    </row>
    <row r="14" spans="1:5">
      <c r="A14" s="41">
        <v>2003</v>
      </c>
      <c r="B14" s="27" t="s">
        <v>318</v>
      </c>
      <c r="C14" s="28">
        <f>19.07+2.47</f>
        <v>21.54</v>
      </c>
      <c r="D14" s="29">
        <v>137422</v>
      </c>
      <c r="E14" s="28">
        <f>(743585.5/整体!D14)*C14</f>
        <v>116.55216537381204</v>
      </c>
    </row>
    <row r="15" spans="1:5">
      <c r="A15" s="41"/>
      <c r="B15" s="27" t="s">
        <v>320</v>
      </c>
      <c r="C15" s="28">
        <f>6.83+8.47+5.76</f>
        <v>21.060000000000002</v>
      </c>
      <c r="D15" s="29">
        <v>137422</v>
      </c>
      <c r="E15" s="28">
        <f>(743585.5/整体!D15)*C15</f>
        <v>113.95490263567697</v>
      </c>
    </row>
    <row r="16" spans="1:5">
      <c r="A16" s="41"/>
      <c r="B16" s="27" t="s">
        <v>322</v>
      </c>
      <c r="C16" s="28">
        <v>22.87</v>
      </c>
      <c r="D16" s="29">
        <v>137422</v>
      </c>
      <c r="E16" s="28">
        <f>(743585.5/整体!D16)*C16</f>
        <v>123.74874754406136</v>
      </c>
    </row>
    <row r="17" spans="1:5">
      <c r="A17" s="26">
        <v>2004</v>
      </c>
      <c r="B17" s="27" t="s">
        <v>324</v>
      </c>
      <c r="C17" s="28">
        <v>1.48</v>
      </c>
      <c r="D17" s="29">
        <v>161840.20000000001</v>
      </c>
      <c r="E17" s="28">
        <f>(743585.5/整体!D17)*C17</f>
        <v>6.7999578596665105</v>
      </c>
    </row>
    <row r="18" spans="1:5">
      <c r="A18" s="41">
        <v>2005</v>
      </c>
      <c r="B18" s="27" t="s">
        <v>326</v>
      </c>
      <c r="C18" s="28">
        <v>32.4</v>
      </c>
      <c r="D18" s="29">
        <v>187318.9</v>
      </c>
      <c r="E18" s="28">
        <f>(743585.5/整体!D18)*C18</f>
        <v>128.6158001141369</v>
      </c>
    </row>
    <row r="19" spans="1:5">
      <c r="A19" s="41"/>
      <c r="B19" s="27" t="s">
        <v>329</v>
      </c>
      <c r="C19" s="28">
        <v>0.27</v>
      </c>
      <c r="D19" s="29">
        <v>187318.9</v>
      </c>
      <c r="E19" s="28">
        <f>(743585.5/整体!D19)*C19</f>
        <v>1.0717983342844744</v>
      </c>
    </row>
    <row r="20" spans="1:5">
      <c r="A20" s="41"/>
      <c r="B20" s="27" t="s">
        <v>331</v>
      </c>
      <c r="C20" s="28">
        <v>35.19</v>
      </c>
      <c r="D20" s="29">
        <v>187318.9</v>
      </c>
      <c r="E20" s="28">
        <f>(743585.5/整体!D20)*C20</f>
        <v>139.6910495684098</v>
      </c>
    </row>
    <row r="21" spans="1:5">
      <c r="A21" s="41"/>
      <c r="B21" s="27" t="s">
        <v>334</v>
      </c>
      <c r="C21" s="28">
        <v>3.14</v>
      </c>
      <c r="D21" s="29">
        <v>187318.9</v>
      </c>
      <c r="E21" s="28">
        <f>(743585.5/整体!D21)*C21</f>
        <v>12.464617665382406</v>
      </c>
    </row>
    <row r="22" spans="1:5">
      <c r="A22" s="41"/>
      <c r="B22" s="27" t="s">
        <v>335</v>
      </c>
      <c r="C22" s="28">
        <v>37.56</v>
      </c>
      <c r="D22" s="29">
        <v>187318.9</v>
      </c>
      <c r="E22" s="28">
        <f>(743585.5/整体!D22)*C22</f>
        <v>149.09905716935131</v>
      </c>
    </row>
    <row r="23" spans="1:5">
      <c r="A23" s="41"/>
      <c r="B23" s="27" t="s">
        <v>337</v>
      </c>
      <c r="C23" s="28">
        <v>22.2</v>
      </c>
      <c r="D23" s="29">
        <v>187318.9</v>
      </c>
      <c r="E23" s="28">
        <f>(743585.5/整体!D23)*C23</f>
        <v>88.125640818945655</v>
      </c>
    </row>
    <row r="24" spans="1:5">
      <c r="A24" s="41"/>
      <c r="B24" s="27" t="s">
        <v>340</v>
      </c>
      <c r="C24" s="28">
        <v>1.49</v>
      </c>
      <c r="D24" s="29">
        <v>187318.9</v>
      </c>
      <c r="E24" s="28">
        <f>(743585.5/整体!D24)*C24</f>
        <v>5.9147389558661727</v>
      </c>
    </row>
    <row r="25" spans="1:5">
      <c r="A25" s="41"/>
      <c r="B25" s="27" t="s">
        <v>343</v>
      </c>
      <c r="C25" s="28">
        <v>121.3</v>
      </c>
      <c r="D25" s="29">
        <v>187318.9</v>
      </c>
      <c r="E25" s="28">
        <f>(743585.5/整体!D25)*C25</f>
        <v>481.51532573595085</v>
      </c>
    </row>
    <row r="26" spans="1:5">
      <c r="A26" s="41"/>
      <c r="B26" s="27" t="s">
        <v>343</v>
      </c>
      <c r="C26" s="28">
        <v>74.67</v>
      </c>
      <c r="D26" s="29">
        <v>187318.9</v>
      </c>
      <c r="E26" s="28">
        <f>(743585.5/整体!D26)*C26</f>
        <v>296.41178378156184</v>
      </c>
    </row>
    <row r="27" spans="1:5">
      <c r="A27" s="41">
        <v>2006</v>
      </c>
      <c r="B27" s="27" t="s">
        <v>345</v>
      </c>
      <c r="C27" s="28">
        <v>12.3</v>
      </c>
      <c r="D27" s="29">
        <v>219438.5</v>
      </c>
      <c r="E27" s="28">
        <f>(743585.5/整体!D27)*C27</f>
        <v>41.679566940167746</v>
      </c>
    </row>
    <row r="28" spans="1:5">
      <c r="A28" s="41"/>
      <c r="B28" s="27" t="s">
        <v>348</v>
      </c>
      <c r="C28" s="28">
        <v>57.55</v>
      </c>
      <c r="D28" s="29">
        <v>219438.5</v>
      </c>
      <c r="E28" s="28">
        <f>(743585.5/整体!D28)*C28</f>
        <v>195.01293312249217</v>
      </c>
    </row>
    <row r="29" spans="1:5">
      <c r="A29" s="41"/>
      <c r="B29" s="27" t="s">
        <v>349</v>
      </c>
      <c r="C29" s="28">
        <v>77.06</v>
      </c>
      <c r="D29" s="29">
        <v>219438.5</v>
      </c>
      <c r="E29" s="28">
        <f>(743585.5/整体!D29)*C29</f>
        <v>261.12418117148997</v>
      </c>
    </row>
    <row r="30" spans="1:5">
      <c r="A30" s="41"/>
      <c r="B30" s="27" t="s">
        <v>350</v>
      </c>
      <c r="C30" s="28">
        <v>70.17</v>
      </c>
      <c r="D30" s="29">
        <v>219438.5</v>
      </c>
      <c r="E30" s="28">
        <f>(743585.5/整体!D30)*C30</f>
        <v>237.77684651963989</v>
      </c>
    </row>
    <row r="31" spans="1:5">
      <c r="A31" s="41">
        <v>2007</v>
      </c>
      <c r="B31" s="27" t="s">
        <v>212</v>
      </c>
      <c r="C31" s="28">
        <v>0.59</v>
      </c>
      <c r="D31" s="29">
        <v>270232.3</v>
      </c>
      <c r="E31" s="28">
        <f>(743585.5/整体!D31)*C31</f>
        <v>1.6234752285348568</v>
      </c>
    </row>
    <row r="32" spans="1:5">
      <c r="A32" s="41"/>
      <c r="B32" s="27" t="s">
        <v>213</v>
      </c>
      <c r="C32" s="28">
        <v>22.98</v>
      </c>
      <c r="D32" s="29">
        <v>270232.3</v>
      </c>
      <c r="E32" s="28">
        <f>(743585.5/整体!D32)*C32</f>
        <v>63.232984324967816</v>
      </c>
    </row>
    <row r="33" spans="1:5">
      <c r="A33" s="41"/>
      <c r="B33" s="27" t="s">
        <v>215</v>
      </c>
      <c r="C33" s="28">
        <v>1.96</v>
      </c>
      <c r="D33" s="29">
        <v>270232.3</v>
      </c>
      <c r="E33" s="28">
        <f>(743585.5/整体!D33)*C33</f>
        <v>5.3932397422513887</v>
      </c>
    </row>
    <row r="34" spans="1:5">
      <c r="A34" s="41"/>
      <c r="B34" s="27" t="s">
        <v>216</v>
      </c>
      <c r="C34" s="28">
        <v>7.79</v>
      </c>
      <c r="D34" s="29">
        <v>270232.3</v>
      </c>
      <c r="E34" s="28">
        <f>(743585.5/整体!D34)*C34</f>
        <v>21.435376322519552</v>
      </c>
    </row>
    <row r="35" spans="1:5">
      <c r="A35" s="41"/>
      <c r="B35" s="27" t="s">
        <v>217</v>
      </c>
      <c r="C35" s="28">
        <v>0.43</v>
      </c>
      <c r="D35" s="29">
        <v>270232.3</v>
      </c>
      <c r="E35" s="28">
        <f>(743585.5/整体!D35)*C35</f>
        <v>1.1832107597796415</v>
      </c>
    </row>
    <row r="36" spans="1:5">
      <c r="A36" s="41"/>
      <c r="B36" s="27" t="s">
        <v>228</v>
      </c>
      <c r="C36" s="28">
        <v>5.04</v>
      </c>
      <c r="D36" s="29">
        <v>270232.3</v>
      </c>
      <c r="E36" s="28">
        <f>(743585.5/整体!D36)*C36</f>
        <v>13.868330765789286</v>
      </c>
    </row>
    <row r="37" spans="1:5">
      <c r="A37" s="41"/>
      <c r="B37" s="27" t="s">
        <v>218</v>
      </c>
      <c r="C37" s="28">
        <v>7.12</v>
      </c>
      <c r="D37" s="29">
        <v>270232.3</v>
      </c>
      <c r="E37" s="28">
        <f>(743585.5/整体!D37)*C37</f>
        <v>19.591768859607086</v>
      </c>
    </row>
    <row r="38" spans="1:5">
      <c r="A38" s="41">
        <v>2008</v>
      </c>
      <c r="B38" s="27" t="s">
        <v>181</v>
      </c>
      <c r="C38" s="28">
        <v>7.67</v>
      </c>
      <c r="D38" s="29">
        <v>319515.5</v>
      </c>
      <c r="E38" s="28">
        <f>(743585.5/整体!D38)*C38</f>
        <v>17.849840727601634</v>
      </c>
    </row>
    <row r="39" spans="1:5">
      <c r="A39" s="41"/>
      <c r="B39" s="27" t="s">
        <v>182</v>
      </c>
      <c r="C39" s="28">
        <v>22.3</v>
      </c>
      <c r="D39" s="29">
        <v>319515.5</v>
      </c>
      <c r="E39" s="28">
        <f>(743585.5/整体!D39)*C39</f>
        <v>51.897190120667076</v>
      </c>
    </row>
    <row r="40" spans="1:5">
      <c r="A40" s="41"/>
      <c r="B40" s="27" t="s">
        <v>183</v>
      </c>
      <c r="C40" s="28">
        <v>3.3</v>
      </c>
      <c r="D40" s="29">
        <v>319515.5</v>
      </c>
      <c r="E40" s="28">
        <f>(743585.5/整体!D40)*C40</f>
        <v>7.6798532465561138</v>
      </c>
    </row>
    <row r="41" spans="1:5">
      <c r="A41" s="41"/>
      <c r="B41" s="27" t="s">
        <v>184</v>
      </c>
      <c r="C41" s="28">
        <v>14.86</v>
      </c>
      <c r="D41" s="29">
        <v>319515.5</v>
      </c>
      <c r="E41" s="28">
        <f>(743585.5/整体!D41)*C41</f>
        <v>34.582611892067831</v>
      </c>
    </row>
    <row r="42" spans="1:5">
      <c r="A42" s="41"/>
      <c r="B42" s="27" t="s">
        <v>185</v>
      </c>
      <c r="C42" s="28">
        <v>6.63</v>
      </c>
      <c r="D42" s="29">
        <v>319515.5</v>
      </c>
      <c r="E42" s="28">
        <f>(743585.5/整体!D42)*C42</f>
        <v>15.429523340808192</v>
      </c>
    </row>
    <row r="43" spans="1:5">
      <c r="A43" s="41"/>
      <c r="B43" s="27" t="s">
        <v>186</v>
      </c>
      <c r="C43" s="28">
        <v>4.03</v>
      </c>
      <c r="D43" s="29">
        <v>319515.5</v>
      </c>
      <c r="E43" s="28">
        <f>(743585.5/整体!D43)*C43</f>
        <v>9.3787298738245877</v>
      </c>
    </row>
    <row r="44" spans="1:5">
      <c r="A44" s="41"/>
      <c r="B44" s="27" t="s">
        <v>188</v>
      </c>
      <c r="C44" s="28">
        <v>132.74</v>
      </c>
      <c r="D44" s="29">
        <v>319515.5</v>
      </c>
      <c r="E44" s="28">
        <f>(743585.5/整体!D44)*C44</f>
        <v>308.91627877207839</v>
      </c>
    </row>
    <row r="45" spans="1:5">
      <c r="A45" s="41"/>
      <c r="B45" s="27" t="s">
        <v>189</v>
      </c>
      <c r="C45" s="28">
        <v>0.3</v>
      </c>
      <c r="D45" s="29">
        <v>319515.5</v>
      </c>
      <c r="E45" s="28">
        <f>(743585.5/整体!D45)*C45</f>
        <v>0.69816847695964668</v>
      </c>
    </row>
    <row r="46" spans="1:5">
      <c r="A46" s="41"/>
      <c r="B46" s="27" t="s">
        <v>190</v>
      </c>
      <c r="C46" s="28">
        <v>0.18</v>
      </c>
      <c r="D46" s="29">
        <v>319515.5</v>
      </c>
      <c r="E46" s="28">
        <f>(743585.5/整体!D46)*C46</f>
        <v>0.41890108617578803</v>
      </c>
    </row>
    <row r="47" spans="1:5">
      <c r="A47" s="41">
        <v>2009</v>
      </c>
      <c r="B47" s="27" t="s">
        <v>171</v>
      </c>
      <c r="C47" s="28">
        <v>4.6500000000000004</v>
      </c>
      <c r="D47" s="29">
        <v>349081.4</v>
      </c>
      <c r="E47" s="28">
        <f>(743585.5/整体!D47)*C47</f>
        <v>9.9050610402043748</v>
      </c>
    </row>
    <row r="48" spans="1:5">
      <c r="A48" s="41"/>
      <c r="B48" s="27" t="s">
        <v>172</v>
      </c>
      <c r="C48" s="28">
        <v>14.29</v>
      </c>
      <c r="D48" s="29">
        <v>349081.4</v>
      </c>
      <c r="E48" s="28">
        <f>(743585.5/整体!D48)*C48</f>
        <v>30.439424142907637</v>
      </c>
    </row>
    <row r="49" spans="1:5">
      <c r="A49" s="41"/>
      <c r="B49" s="27" t="s">
        <v>173</v>
      </c>
      <c r="C49" s="28">
        <v>32.65</v>
      </c>
      <c r="D49" s="29">
        <v>349081.4</v>
      </c>
      <c r="E49" s="28">
        <f>(743585.5/整体!D49)*C49</f>
        <v>69.548439346811364</v>
      </c>
    </row>
    <row r="50" spans="1:5">
      <c r="A50" s="41"/>
      <c r="B50" s="27" t="s">
        <v>175</v>
      </c>
      <c r="C50" s="28">
        <v>24.04</v>
      </c>
      <c r="D50" s="29">
        <v>349081.4</v>
      </c>
      <c r="E50" s="28">
        <f>(743585.5/整体!D50)*C50</f>
        <v>51.208100517529715</v>
      </c>
    </row>
    <row r="51" spans="1:5">
      <c r="A51" s="41"/>
      <c r="B51" s="27" t="s">
        <v>232</v>
      </c>
      <c r="C51" s="28">
        <v>2.4</v>
      </c>
      <c r="D51" s="29">
        <v>349081.4</v>
      </c>
      <c r="E51" s="28">
        <f>(743585.5/整体!D51)*C51</f>
        <v>5.1122895691377419</v>
      </c>
    </row>
    <row r="52" spans="1:5">
      <c r="A52" s="41">
        <v>2010</v>
      </c>
      <c r="B52" s="27">
        <v>1003</v>
      </c>
      <c r="C52" s="28">
        <v>32.15</v>
      </c>
      <c r="D52" s="29">
        <v>413030.3</v>
      </c>
      <c r="E52" s="28">
        <f>(743585.5/整体!D52)*C52</f>
        <v>57.880193838079194</v>
      </c>
    </row>
    <row r="53" spans="1:5">
      <c r="A53" s="41"/>
      <c r="B53" s="27">
        <v>1006</v>
      </c>
      <c r="C53" s="28">
        <v>0.53</v>
      </c>
      <c r="D53" s="29">
        <v>413030.3</v>
      </c>
      <c r="E53" s="28">
        <f>(743585.5/整体!D53)*C53</f>
        <v>0.95416804771950159</v>
      </c>
    </row>
    <row r="54" spans="1:5">
      <c r="A54" s="41"/>
      <c r="B54" s="27" t="s">
        <v>233</v>
      </c>
      <c r="C54" s="28">
        <v>0.32</v>
      </c>
      <c r="D54" s="29">
        <v>413030.3</v>
      </c>
      <c r="E54" s="28">
        <f>(743585.5/整体!D54)*C54</f>
        <v>0.57610146277403862</v>
      </c>
    </row>
    <row r="55" spans="1:5">
      <c r="A55" s="41"/>
      <c r="B55" s="27">
        <v>1008</v>
      </c>
      <c r="C55" s="28">
        <v>0.01</v>
      </c>
      <c r="D55" s="29">
        <v>413030.3</v>
      </c>
      <c r="E55" s="28">
        <f>(743585.5/整体!D55)*C55</f>
        <v>1.8003170711688707E-2</v>
      </c>
    </row>
    <row r="56" spans="1:5">
      <c r="A56" s="41"/>
      <c r="B56" s="27">
        <v>1010</v>
      </c>
      <c r="C56" s="28">
        <v>3.24</v>
      </c>
      <c r="D56" s="29">
        <v>413030.3</v>
      </c>
      <c r="E56" s="28">
        <f>(743585.5/整体!D56)*C56</f>
        <v>5.8330273105871413</v>
      </c>
    </row>
    <row r="57" spans="1:5">
      <c r="A57" s="41"/>
      <c r="B57" s="27">
        <v>1011</v>
      </c>
      <c r="C57" s="28">
        <v>3.24</v>
      </c>
      <c r="D57" s="29">
        <v>413030.3</v>
      </c>
      <c r="E57" s="28">
        <f>(743585.5/整体!D57)*C57</f>
        <v>5.8330273105871413</v>
      </c>
    </row>
    <row r="58" spans="1:5">
      <c r="A58" s="41"/>
      <c r="B58" s="27">
        <v>1013</v>
      </c>
      <c r="C58" s="28">
        <v>26.22</v>
      </c>
      <c r="D58" s="29">
        <v>413030.3</v>
      </c>
      <c r="E58" s="28">
        <f>(743585.5/整体!D58)*C58</f>
        <v>47.204313606047791</v>
      </c>
    </row>
    <row r="59" spans="1:5">
      <c r="A59" s="41">
        <v>2011</v>
      </c>
      <c r="B59" s="27">
        <v>1105</v>
      </c>
      <c r="C59" s="28">
        <v>4.29</v>
      </c>
      <c r="D59" s="29">
        <v>489300.6</v>
      </c>
      <c r="E59" s="28">
        <f>(743585.5/整体!D59)*C59</f>
        <v>6.5194724776548414</v>
      </c>
    </row>
    <row r="60" spans="1:5">
      <c r="A60" s="41"/>
      <c r="B60" s="27" t="s">
        <v>236</v>
      </c>
      <c r="C60" s="28">
        <v>3.1</v>
      </c>
      <c r="D60" s="29">
        <v>489300.6</v>
      </c>
      <c r="E60" s="28">
        <f>(743585.5/整体!D60)*C60</f>
        <v>4.7110407181188831</v>
      </c>
    </row>
    <row r="61" spans="1:5">
      <c r="A61" s="41"/>
      <c r="B61" s="27">
        <v>1111</v>
      </c>
      <c r="C61" s="28">
        <v>5.32</v>
      </c>
      <c r="D61" s="29">
        <v>489300.6</v>
      </c>
      <c r="E61" s="28">
        <f>(743585.5/整体!D61)*C61</f>
        <v>8.0847537485136964</v>
      </c>
    </row>
    <row r="62" spans="1:5">
      <c r="A62" s="41"/>
      <c r="B62" s="27">
        <v>1117</v>
      </c>
      <c r="C62" s="28">
        <v>31.06</v>
      </c>
      <c r="D62" s="29">
        <v>489300.6</v>
      </c>
      <c r="E62" s="28">
        <f>(743585.5/整体!D62)*C62</f>
        <v>47.201588614442741</v>
      </c>
    </row>
    <row r="63" spans="1:5">
      <c r="A63" s="41"/>
      <c r="B63" s="27">
        <v>1119</v>
      </c>
      <c r="C63" s="28">
        <v>2.66</v>
      </c>
      <c r="D63" s="29">
        <v>489300.6</v>
      </c>
      <c r="E63" s="28">
        <f>(743585.5/整体!D63)*C63</f>
        <v>4.0423768742568482</v>
      </c>
    </row>
    <row r="64" spans="1:5">
      <c r="A64" s="41">
        <v>2012</v>
      </c>
      <c r="B64" s="27" t="s">
        <v>239</v>
      </c>
      <c r="C64" s="28">
        <v>0.19</v>
      </c>
      <c r="D64" s="29">
        <v>540367.4</v>
      </c>
      <c r="E64" s="28">
        <f>(743585.5/整体!D64)*C64</f>
        <v>0.26145404959662627</v>
      </c>
    </row>
    <row r="65" spans="1:5">
      <c r="A65" s="41"/>
      <c r="B65" s="27" t="s">
        <v>160</v>
      </c>
      <c r="C65" s="28">
        <v>0.01</v>
      </c>
      <c r="D65" s="29">
        <v>540367.4</v>
      </c>
      <c r="E65" s="28">
        <f>(743585.5/整体!D65)*C65</f>
        <v>1.3760739452454014E-2</v>
      </c>
    </row>
    <row r="66" spans="1:5">
      <c r="A66" s="41"/>
      <c r="B66" s="27">
        <v>1208</v>
      </c>
      <c r="C66" s="28">
        <v>4.29</v>
      </c>
      <c r="D66" s="29">
        <v>540367.4</v>
      </c>
      <c r="E66" s="28">
        <f>(743585.5/整体!D66)*C66</f>
        <v>5.9033572251027717</v>
      </c>
    </row>
    <row r="67" spans="1:5">
      <c r="A67" s="41"/>
      <c r="B67" s="27">
        <v>1209</v>
      </c>
      <c r="C67" s="28">
        <v>3.06</v>
      </c>
      <c r="D67" s="29">
        <v>540367.4</v>
      </c>
      <c r="E67" s="28">
        <f>(743585.5/整体!D67)*C67</f>
        <v>4.2107862724509282</v>
      </c>
    </row>
    <row r="68" spans="1:5">
      <c r="A68" s="41"/>
      <c r="B68" s="27">
        <v>1210</v>
      </c>
      <c r="C68" s="28">
        <v>41.75</v>
      </c>
      <c r="D68" s="29">
        <v>540367.4</v>
      </c>
      <c r="E68" s="28">
        <f>(743585.5/整体!D68)*C68</f>
        <v>57.451087213995507</v>
      </c>
    </row>
    <row r="69" spans="1:5">
      <c r="A69" s="41"/>
      <c r="B69" s="27">
        <v>1211</v>
      </c>
      <c r="C69" s="28">
        <v>42.38</v>
      </c>
      <c r="D69" s="29">
        <v>540367.4</v>
      </c>
      <c r="E69" s="28">
        <f>(743585.5/整体!D69)*C69</f>
        <v>58.318013799500115</v>
      </c>
    </row>
    <row r="70" spans="1:5">
      <c r="A70" s="41"/>
      <c r="B70" s="27">
        <v>1213</v>
      </c>
      <c r="C70" s="28">
        <v>18.23</v>
      </c>
      <c r="D70" s="29">
        <v>540367.4</v>
      </c>
      <c r="E70" s="28">
        <f>(743585.5/整体!D70)*C70</f>
        <v>25.085828021823669</v>
      </c>
    </row>
    <row r="71" spans="1:5">
      <c r="A71" s="41"/>
      <c r="B71" s="27" t="s">
        <v>242</v>
      </c>
      <c r="C71" s="28">
        <v>16.14</v>
      </c>
      <c r="D71" s="29">
        <v>540367.4</v>
      </c>
      <c r="E71" s="28">
        <f>(743585.5/整体!D71)*C71</f>
        <v>22.20983347626078</v>
      </c>
    </row>
    <row r="72" spans="1:5">
      <c r="A72" s="41"/>
      <c r="B72" s="27" t="s">
        <v>243</v>
      </c>
      <c r="C72" s="28">
        <v>0.24</v>
      </c>
      <c r="D72" s="29">
        <v>540367.4</v>
      </c>
      <c r="E72" s="28">
        <f>(743585.5/整体!D72)*C72</f>
        <v>0.33025774685889631</v>
      </c>
    </row>
    <row r="73" spans="1:5">
      <c r="A73" s="41">
        <v>2013</v>
      </c>
      <c r="B73" s="27" t="s">
        <v>125</v>
      </c>
      <c r="C73" s="28">
        <v>0.44</v>
      </c>
      <c r="D73" s="29">
        <v>595244.4</v>
      </c>
      <c r="E73" s="28">
        <f>(743585.5/整体!D73)*C73</f>
        <v>0.54965257967987602</v>
      </c>
    </row>
    <row r="74" spans="1:5">
      <c r="A74" s="41"/>
      <c r="B74" s="27" t="s">
        <v>127</v>
      </c>
      <c r="C74" s="28">
        <v>2.31</v>
      </c>
      <c r="D74" s="29">
        <v>595244.4</v>
      </c>
      <c r="E74" s="28">
        <f>(743585.5/整体!D74)*C74</f>
        <v>2.8856760433193491</v>
      </c>
    </row>
    <row r="75" spans="1:5">
      <c r="A75" s="41"/>
      <c r="B75" s="27" t="s">
        <v>128</v>
      </c>
      <c r="C75" s="28">
        <v>0.38</v>
      </c>
      <c r="D75" s="29">
        <v>595244.4</v>
      </c>
      <c r="E75" s="28">
        <f>(743585.5/整体!D75)*C75</f>
        <v>0.47469995517807478</v>
      </c>
    </row>
    <row r="76" spans="1:5">
      <c r="A76" s="41"/>
      <c r="B76" s="27" t="s">
        <v>129</v>
      </c>
      <c r="C76" s="28">
        <v>7.69</v>
      </c>
      <c r="D76" s="29">
        <v>595244.4</v>
      </c>
      <c r="E76" s="28">
        <f>(743585.5/整体!D76)*C76</f>
        <v>9.6064280403141975</v>
      </c>
    </row>
    <row r="77" spans="1:5">
      <c r="A77" s="41"/>
      <c r="B77" s="27" t="s">
        <v>130</v>
      </c>
      <c r="C77" s="28">
        <v>0.56999999999999995</v>
      </c>
      <c r="D77" s="29">
        <v>595244.4</v>
      </c>
      <c r="E77" s="28">
        <f>(743585.5/整体!D77)*C77</f>
        <v>0.71204993276711204</v>
      </c>
    </row>
    <row r="78" spans="1:5">
      <c r="A78" s="41"/>
      <c r="B78" s="27" t="s">
        <v>131</v>
      </c>
      <c r="C78" s="28">
        <v>14.95</v>
      </c>
      <c r="D78" s="29">
        <v>595244.4</v>
      </c>
      <c r="E78" s="28">
        <f>(743585.5/整体!D78)*C78</f>
        <v>18.67569560503215</v>
      </c>
    </row>
    <row r="79" spans="1:5">
      <c r="A79" s="41"/>
      <c r="B79" s="27" t="s">
        <v>132</v>
      </c>
      <c r="C79" s="28">
        <v>16.48</v>
      </c>
      <c r="D79" s="29">
        <v>595244.4</v>
      </c>
      <c r="E79" s="28">
        <f>(743585.5/整体!D79)*C79</f>
        <v>20.586987529828086</v>
      </c>
    </row>
    <row r="80" spans="1:5">
      <c r="A80" s="41"/>
      <c r="B80" s="27" t="s">
        <v>133</v>
      </c>
      <c r="C80" s="28">
        <v>64.930000000000007</v>
      </c>
      <c r="D80" s="29">
        <v>595244.4</v>
      </c>
      <c r="E80" s="28">
        <f>(743585.5/整体!D80)*C80</f>
        <v>81.111231815032625</v>
      </c>
    </row>
    <row r="81" spans="1:5">
      <c r="A81" s="41"/>
      <c r="B81" s="27" t="s">
        <v>98</v>
      </c>
      <c r="C81" s="28">
        <v>34.92</v>
      </c>
      <c r="D81" s="29">
        <v>595244.4</v>
      </c>
      <c r="E81" s="28">
        <f>(743585.5/整体!D81)*C81</f>
        <v>43.622427460048343</v>
      </c>
    </row>
    <row r="82" spans="1:5">
      <c r="A82" s="41"/>
      <c r="B82" s="27" t="s">
        <v>274</v>
      </c>
      <c r="C82" s="28">
        <v>0.12</v>
      </c>
      <c r="D82" s="29">
        <v>595244.4</v>
      </c>
      <c r="E82" s="28">
        <f>(743585.5/整体!D82)*C82</f>
        <v>0.14990524900360255</v>
      </c>
    </row>
    <row r="83" spans="1:5">
      <c r="A83" s="41"/>
      <c r="B83" s="27" t="s">
        <v>275</v>
      </c>
      <c r="C83" s="28">
        <v>2.66</v>
      </c>
      <c r="D83" s="29">
        <v>595244.4</v>
      </c>
      <c r="E83" s="28">
        <f>(743585.5/整体!D83)*C83</f>
        <v>3.3228996862465237</v>
      </c>
    </row>
    <row r="84" spans="1:5">
      <c r="A84" s="41">
        <v>2014</v>
      </c>
      <c r="B84" s="27" t="s">
        <v>64</v>
      </c>
      <c r="C84" s="28">
        <v>2.17</v>
      </c>
      <c r="D84" s="29">
        <v>643974</v>
      </c>
      <c r="E84" s="28">
        <f>(743585.5/整体!D84)*C84</f>
        <v>2.5056609971831159</v>
      </c>
    </row>
    <row r="85" spans="1:5">
      <c r="A85" s="41"/>
      <c r="B85" s="27" t="s">
        <v>79</v>
      </c>
      <c r="C85" s="28">
        <v>80.8</v>
      </c>
      <c r="D85" s="29">
        <v>643974</v>
      </c>
      <c r="E85" s="28">
        <f>(743585.5/整体!D85)*C85</f>
        <v>93.298344964237671</v>
      </c>
    </row>
    <row r="86" spans="1:5">
      <c r="A86" s="41"/>
      <c r="B86" s="27" t="s">
        <v>84</v>
      </c>
      <c r="C86" s="28">
        <v>4.45</v>
      </c>
      <c r="D86" s="29">
        <v>643974</v>
      </c>
      <c r="E86" s="28">
        <f>(743585.5/整体!D86)*C86</f>
        <v>5.1383370679561597</v>
      </c>
    </row>
    <row r="87" spans="1:5">
      <c r="A87" s="41"/>
      <c r="B87" s="27" t="s">
        <v>85</v>
      </c>
      <c r="C87" s="28">
        <v>42.75</v>
      </c>
      <c r="D87" s="29">
        <v>643974</v>
      </c>
      <c r="E87" s="28">
        <f>(743585.5/整体!D87)*C87</f>
        <v>49.362676326994567</v>
      </c>
    </row>
    <row r="88" spans="1:5">
      <c r="A88" s="41"/>
      <c r="B88" s="27" t="s">
        <v>89</v>
      </c>
      <c r="C88" s="28">
        <v>4.5199999999999996</v>
      </c>
      <c r="D88" s="29">
        <v>643974</v>
      </c>
      <c r="E88" s="28">
        <f>(743585.5/整体!D88)*C88</f>
        <v>5.2191648420588397</v>
      </c>
    </row>
    <row r="89" spans="1:5">
      <c r="A89" s="41">
        <v>2015</v>
      </c>
      <c r="B89" s="27" t="s">
        <v>51</v>
      </c>
      <c r="C89" s="28">
        <v>0.06</v>
      </c>
      <c r="D89" s="29">
        <v>689052.1</v>
      </c>
      <c r="E89" s="28">
        <f>(743585.5/整体!D89)*C89</f>
        <v>6.4748558200461187E-2</v>
      </c>
    </row>
    <row r="90" spans="1:5">
      <c r="A90" s="41"/>
      <c r="B90" s="27" t="s">
        <v>53</v>
      </c>
      <c r="C90" s="28">
        <v>10.98</v>
      </c>
      <c r="D90" s="29">
        <v>689052.1</v>
      </c>
      <c r="E90" s="28">
        <f>(743585.5/整体!D90)*C90</f>
        <v>11.848986150684397</v>
      </c>
    </row>
    <row r="91" spans="1:5">
      <c r="A91" s="41"/>
      <c r="B91" s="27" t="s">
        <v>54</v>
      </c>
      <c r="C91" s="28">
        <v>2.48</v>
      </c>
      <c r="D91" s="29">
        <v>689052.1</v>
      </c>
      <c r="E91" s="28">
        <f>(743585.5/整体!D91)*C91</f>
        <v>2.6762737389523954</v>
      </c>
    </row>
    <row r="92" spans="1:5">
      <c r="A92" s="41"/>
      <c r="B92" s="27" t="s">
        <v>57</v>
      </c>
      <c r="C92" s="28">
        <v>24.69</v>
      </c>
      <c r="D92" s="29">
        <v>689052.1</v>
      </c>
      <c r="E92" s="28">
        <f>(743585.5/整体!D92)*C92</f>
        <v>26.64403169948978</v>
      </c>
    </row>
    <row r="93" spans="1:5">
      <c r="A93" s="41"/>
      <c r="B93" s="27" t="s">
        <v>58</v>
      </c>
      <c r="C93" s="28">
        <v>6.95</v>
      </c>
      <c r="D93" s="29">
        <v>689052.1</v>
      </c>
      <c r="E93" s="28">
        <f>(743585.5/整体!D93)*C93</f>
        <v>7.5000413248867543</v>
      </c>
    </row>
    <row r="94" spans="1:5">
      <c r="A94" s="41"/>
      <c r="B94" s="27" t="s">
        <v>62</v>
      </c>
      <c r="C94" s="28">
        <v>27.02</v>
      </c>
      <c r="D94" s="29">
        <v>689052.1</v>
      </c>
      <c r="E94" s="28">
        <f>(743585.5/整体!D94)*C94</f>
        <v>29.158434042941018</v>
      </c>
    </row>
    <row r="95" spans="1:5">
      <c r="A95" s="41">
        <v>2016</v>
      </c>
      <c r="B95" s="27" t="s">
        <v>43</v>
      </c>
      <c r="C95" s="28">
        <v>0.35</v>
      </c>
      <c r="D95" s="29">
        <v>743585.5</v>
      </c>
      <c r="E95" s="28">
        <f>(743585.5/整体!D95)*C95</f>
        <v>0.35</v>
      </c>
    </row>
    <row r="96" spans="1:5">
      <c r="A96" s="41"/>
      <c r="B96" s="27" t="s">
        <v>45</v>
      </c>
      <c r="C96" s="28">
        <v>1.1200000000000001</v>
      </c>
      <c r="D96" s="29">
        <v>743585.5</v>
      </c>
      <c r="E96" s="28">
        <f>(743585.5/整体!D96)*C96</f>
        <v>1.1200000000000001</v>
      </c>
    </row>
    <row r="97" spans="1:5">
      <c r="A97" s="41"/>
      <c r="B97" s="27" t="s">
        <v>70</v>
      </c>
      <c r="C97" s="28">
        <v>0.4</v>
      </c>
      <c r="D97" s="29">
        <v>743585.5</v>
      </c>
      <c r="E97" s="28">
        <f>(743585.5/整体!D97)*C97</f>
        <v>0.4</v>
      </c>
    </row>
    <row r="98" spans="1:5">
      <c r="A98" s="41"/>
      <c r="B98" s="27" t="s">
        <v>47</v>
      </c>
      <c r="C98" s="28">
        <v>9.19</v>
      </c>
      <c r="D98" s="29">
        <v>743585.5</v>
      </c>
      <c r="E98" s="28">
        <f>(743585.5/整体!D98)*C98</f>
        <v>9.19</v>
      </c>
    </row>
    <row r="99" spans="1:5">
      <c r="A99" s="41"/>
      <c r="B99" s="27" t="s">
        <v>113</v>
      </c>
      <c r="C99" s="28">
        <v>8.92</v>
      </c>
      <c r="D99" s="29">
        <v>743585.5</v>
      </c>
      <c r="E99" s="28">
        <f>(743585.5/整体!D99)*C99</f>
        <v>8.92</v>
      </c>
    </row>
    <row r="100" spans="1:5">
      <c r="A100" s="41"/>
      <c r="B100" s="27" t="s">
        <v>117</v>
      </c>
      <c r="C100" s="28">
        <v>6.38</v>
      </c>
      <c r="D100" s="29">
        <v>743585.5</v>
      </c>
      <c r="E100" s="28">
        <f>(743585.5/整体!D100)*C100</f>
        <v>6.38</v>
      </c>
    </row>
    <row r="101" spans="1:5">
      <c r="A101" s="41"/>
      <c r="B101" s="27" t="s">
        <v>120</v>
      </c>
      <c r="C101" s="28">
        <v>7.59</v>
      </c>
      <c r="D101" s="29">
        <v>743585.5</v>
      </c>
      <c r="E101" s="28">
        <f>(743585.5/整体!D101)*C101</f>
        <v>7.59</v>
      </c>
    </row>
  </sheetData>
  <mergeCells count="16">
    <mergeCell ref="A64:A72"/>
    <mergeCell ref="A73:A83"/>
    <mergeCell ref="A84:A88"/>
    <mergeCell ref="A89:A94"/>
    <mergeCell ref="A95:A101"/>
    <mergeCell ref="A59:A63"/>
    <mergeCell ref="A2:A5"/>
    <mergeCell ref="A6:A11"/>
    <mergeCell ref="A12:A13"/>
    <mergeCell ref="A14:A16"/>
    <mergeCell ref="A18:A26"/>
    <mergeCell ref="A27:A30"/>
    <mergeCell ref="A31:A37"/>
    <mergeCell ref="A38:A46"/>
    <mergeCell ref="A47:A51"/>
    <mergeCell ref="A52:A5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民政部</vt:lpstr>
      <vt:lpstr>整体</vt:lpstr>
      <vt:lpstr>在我国沿海登陆的（2016-2013数据全）</vt:lpstr>
      <vt:lpstr>海洋局</vt:lpstr>
      <vt:lpstr>国内生产总值</vt:lpstr>
      <vt:lpstr>描述性统计</vt:lpstr>
      <vt:lpstr>台风损失年发生次数</vt:lpstr>
      <vt:lpstr>Sheet4</vt:lpstr>
      <vt:lpstr>Sheet2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2018-03-28T11:31:29Z</dcterms:modified>
</cp:coreProperties>
</file>