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<sst xmlns="http://schemas.openxmlformats.org/spreadsheetml/2006/main" count="128" uniqueCount="60">
  <si>
    <t xml:space="preserve">Medical exmp</t>
  </si>
  <si>
    <t xml:space="preserve">Male</t>
  </si>
  <si>
    <t xml:space="preserve">Female</t>
  </si>
  <si>
    <t xml:space="preserve">Tax rebate slab</t>
  </si>
  <si>
    <t xml:space="preserve">Conveyance exmp</t>
  </si>
  <si>
    <t xml:space="preserve">On First </t>
  </si>
  <si>
    <t xml:space="preserve">On First</t>
  </si>
  <si>
    <t xml:space="preserve">Investment allowance</t>
  </si>
  <si>
    <t xml:space="preserve">Rebate</t>
  </si>
  <si>
    <t xml:space="preserve">House max exmp</t>
  </si>
  <si>
    <t xml:space="preserve">On next</t>
  </si>
  <si>
    <t xml:space="preserve">Rest</t>
  </si>
  <si>
    <t xml:space="preserve">Conveyence</t>
  </si>
  <si>
    <t xml:space="preserve">remaining months</t>
  </si>
  <si>
    <t xml:space="preserve">Total</t>
  </si>
  <si>
    <t xml:space="preserve">Exempted</t>
  </si>
  <si>
    <t xml:space="preserve">To be deducted on june 30th</t>
  </si>
  <si>
    <t xml:space="preserve">Name</t>
  </si>
  <si>
    <t xml:space="preserve">Gender</t>
  </si>
  <si>
    <t xml:space="preserve">first day of the year for him</t>
  </si>
  <si>
    <t xml:space="preserve">last day of year for him</t>
  </si>
  <si>
    <t xml:space="preserve">Confirm</t>
  </si>
  <si>
    <t xml:space="preserve">Gross pay</t>
  </si>
  <si>
    <t xml:space="preserve">Fest Bonus/adjustment</t>
  </si>
  <si>
    <t xml:space="preserve">Var Bonus</t>
  </si>
  <si>
    <t xml:space="preserve">Tax deducted</t>
  </si>
  <si>
    <t xml:space="preserve">PF</t>
  </si>
  <si>
    <t xml:space="preserve">Fest Bonus/Adjustment</t>
  </si>
  <si>
    <t xml:space="preserve">Fest Bonus</t>
  </si>
  <si>
    <t xml:space="preserve">Fest Bonus + Special Allowance</t>
  </si>
  <si>
    <t xml:space="preserve">Var. Bonus</t>
  </si>
  <si>
    <t xml:space="preserve">Total income</t>
  </si>
  <si>
    <t xml:space="preserve">Total Income-PF-Conveyence</t>
  </si>
  <si>
    <t xml:space="preserve">basic</t>
  </si>
  <si>
    <t xml:space="preserve">Monthly basic</t>
  </si>
  <si>
    <t xml:space="preserve">House rent</t>
  </si>
  <si>
    <t xml:space="preserve">Medical</t>
  </si>
  <si>
    <t xml:space="preserve">Taxable
Income</t>
  </si>
  <si>
    <t xml:space="preserve">Investment allowed (25%)</t>
  </si>
  <si>
    <t xml:space="preserve">Investment Made</t>
  </si>
  <si>
    <t xml:space="preserve">Lower of (BZ &amp; CA)</t>
  </si>
  <si>
    <t xml:space="preserve">Rebate due to invest.</t>
  </si>
  <si>
    <t xml:space="preserve">Advacne paid last year</t>
  </si>
  <si>
    <t xml:space="preserve">Yearly 
tax payable</t>
  </si>
  <si>
    <t xml:space="preserve">Yearly tax payable considering minimum tax</t>
  </si>
  <si>
    <t xml:space="preserve">Monthly tax to be deducted from salary</t>
  </si>
  <si>
    <t xml:space="preserve">Tax deducted by Nascenia</t>
  </si>
  <si>
    <t xml:space="preserve">Emp ID</t>
  </si>
  <si>
    <t xml:space="preserve">Department</t>
  </si>
  <si>
    <t xml:space="preserve">Designation</t>
  </si>
  <si>
    <t xml:space="preserve">Joining Date</t>
  </si>
  <si>
    <t xml:space="preserve">Income Year</t>
  </si>
  <si>
    <t xml:space="preserve">Assessment Year</t>
  </si>
  <si>
    <t xml:space="preserve">Bucky</t>
  </si>
  <si>
    <t xml:space="preserve">M</t>
  </si>
  <si>
    <t xml:space="preserve">Popel</t>
  </si>
  <si>
    <t xml:space="preserve">Laura</t>
  </si>
  <si>
    <t xml:space="preserve">F</t>
  </si>
  <si>
    <t xml:space="preserve">David</t>
  </si>
  <si>
    <t xml:space="preserve">Mole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</si>
</sst>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"/>
    <numFmt numFmtId="166" formatCode="0.00%"/>
    <numFmt numFmtId="167" formatCode="0%"/>
    <numFmt numFmtId="168" formatCode="MMMM\-YY;@"/>
    <numFmt numFmtId="169" formatCode="#,##0\ ;&quot; (&quot;#,##0\);&quot; -&quot;#\ "/>
    <numFmt numFmtId="170" formatCode="@"/>
    <numFmt numFmtId="171" formatCode="D\-MMM\-YY;@"/>
    <numFmt numFmtId="172" formatCode="_(* #,##0.00_);_(* \(#,##0.00\);_(* \-??_);_(@_)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D966"/>
        <bgColor rgb="FFFFFF99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3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0" borderId="0" xfId="15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1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2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0" xfId="15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9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8" fillId="0" borderId="2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0" borderId="1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8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1"/>
  <sheetViews>
    <sheetView windowProtection="false" showFormulas="false" showGridLines="true" showRowColHeaders="true" showZeros="true" rightToLeft="false" tabSelected="true" showOutlineSymbols="true" defaultGridColor="true" view="normal" topLeftCell="CL10" colorId="64" zoomScale="130" zoomScaleNormal="130" zoomScalePageLayoutView="100" workbookViewId="0">
      <selection pane="topLeft" activeCell="CP14" activeCellId="0" sqref="CP14"/>
    </sheetView>
  </sheetViews>
  <sheetFormatPr defaultRowHeight="15"/>
  <cols>
    <col collapsed="false" hidden="false" max="1" min="1" style="1" width="35.2429149797571"/>
    <col collapsed="false" hidden="false" max="2" min="2" style="2" width="6.42914979757085"/>
    <col collapsed="false" hidden="false" max="3" min="3" style="2" width="12.9595141700405"/>
    <col collapsed="false" hidden="false" max="4" min="4" style="2" width="0.319838056680162"/>
    <col collapsed="false" hidden="false" max="5" min="5" style="2" width="3.42914979757085"/>
    <col collapsed="false" hidden="false" max="6" min="6" style="2" width="10.1781376518219"/>
    <col collapsed="false" hidden="false" max="7" min="7" style="2" width="9"/>
    <col collapsed="false" hidden="false" max="8" min="8" style="2" width="8.35627530364373"/>
    <col collapsed="false" hidden="false" max="9" min="9" style="2" width="9.74898785425101"/>
    <col collapsed="false" hidden="false" max="10" min="10" style="2" width="7.71255060728745"/>
    <col collapsed="false" hidden="false" max="11" min="11" style="2" width="9.74898785425101"/>
    <col collapsed="false" hidden="false" max="12" min="12" style="2" width="10.497975708502"/>
    <col collapsed="false" hidden="false" max="13" min="13" style="2" width="7.71255060728745"/>
    <col collapsed="false" hidden="false" max="14" min="14" style="2" width="9.4251012145749"/>
    <col collapsed="false" hidden="false" max="15" min="15" style="2" width="7.71255060728745"/>
    <col collapsed="false" hidden="false" max="16" min="16" style="2" width="9.74898785425101"/>
    <col collapsed="false" hidden="false" max="17" min="17" style="2" width="10.497975708502"/>
    <col collapsed="false" hidden="false" max="19" min="18" style="2" width="9.74898785425101"/>
    <col collapsed="false" hidden="false" max="20" min="20" style="2" width="7.71255060728745"/>
    <col collapsed="false" hidden="false" max="21" min="21" style="2" width="9.74898785425101"/>
    <col collapsed="false" hidden="false" max="22" min="22" style="2" width="7.49797570850202"/>
    <col collapsed="false" hidden="false" max="24" min="23" style="2" width="9.74898785425101"/>
    <col collapsed="false" hidden="false" max="25" min="25" style="2" width="7.71255060728745"/>
    <col collapsed="false" hidden="false" max="26" min="26" style="2" width="9.74898785425101"/>
    <col collapsed="false" hidden="false" max="27" min="27" style="2" width="10.3886639676113"/>
    <col collapsed="false" hidden="false" max="28" min="28" style="1" width="9.4251012145749"/>
    <col collapsed="false" hidden="false" max="29" min="29" style="2" width="9.74898785425101"/>
    <col collapsed="false" hidden="false" max="30" min="30" style="2" width="7.71255060728745"/>
    <col collapsed="false" hidden="false" max="31" min="31" style="2" width="9.74898785425101"/>
    <col collapsed="false" hidden="false" max="32" min="32" style="2" width="10.3886639676113"/>
    <col collapsed="false" hidden="false" max="33" min="33" style="2" width="9.4251012145749"/>
    <col collapsed="false" hidden="false" max="34" min="34" style="2" width="8.67611336032389"/>
    <col collapsed="false" hidden="false" max="35" min="35" style="2" width="6.85425101214575"/>
    <col collapsed="false" hidden="false" max="36" min="36" style="3" width="9.74898785425101"/>
    <col collapsed="false" hidden="false" max="37" min="37" style="2" width="10.3886639676113"/>
    <col collapsed="false" hidden="false" max="38" min="38" style="2" width="9.4251012145749"/>
    <col collapsed="false" hidden="false" max="41" min="39" style="2" width="8.89068825910931"/>
    <col collapsed="false" hidden="false" max="42" min="42" style="2" width="8.1417004048583"/>
    <col collapsed="false" hidden="false" max="43" min="43" style="2" width="6.42914979757085"/>
    <col collapsed="false" hidden="false" max="44" min="44" style="2" width="9.4251012145749"/>
    <col collapsed="false" hidden="false" max="45" min="45" style="2" width="7.71255060728745"/>
    <col collapsed="false" hidden="false" max="46" min="46" style="2" width="9.74898785425101"/>
    <col collapsed="false" hidden="false" max="47" min="47" style="2" width="6.96356275303644"/>
    <col collapsed="false" hidden="false" max="48" min="48" style="2" width="6.42914979757085"/>
    <col collapsed="false" hidden="false" max="49" min="49" style="2" width="9.4251012145749"/>
    <col collapsed="false" hidden="false" max="50" min="50" style="2" width="7.71255060728745"/>
    <col collapsed="false" hidden="false" max="51" min="51" style="2" width="9.74898785425101"/>
    <col collapsed="false" hidden="false" max="52" min="52" style="2" width="10.3886639676113"/>
    <col collapsed="false" hidden="false" max="54" min="53" style="2" width="9.4251012145749"/>
    <col collapsed="false" hidden="false" max="55" min="55" style="2" width="7.71255060728745"/>
    <col collapsed="false" hidden="false" max="57" min="56" style="2" width="10.3886639676113"/>
    <col collapsed="false" hidden="false" max="58" min="58" style="2" width="9.4251012145749"/>
    <col collapsed="false" hidden="false" max="59" min="59" style="2" width="14.9959514170041"/>
    <col collapsed="false" hidden="false" max="60" min="60" style="2" width="7.71255060728745"/>
    <col collapsed="false" hidden="false" max="62" min="61" style="2" width="10.3886639676113"/>
    <col collapsed="false" hidden="false" max="63" min="63" style="2" width="9.4251012145749"/>
    <col collapsed="false" hidden="false" max="64" min="64" style="2" width="12.5344129554656"/>
    <col collapsed="false" hidden="false" max="65" min="65" style="2" width="2.46558704453441"/>
    <col collapsed="false" hidden="false" max="66" min="66" style="2" width="1.07287449392713"/>
    <col collapsed="false" hidden="false" max="67" min="67" style="2" width="11.3562753036437"/>
    <col collapsed="false" hidden="false" max="68" min="68" style="2" width="10.497975708502"/>
    <col collapsed="false" hidden="false" max="69" min="69" style="2" width="10.1781376518219"/>
    <col collapsed="false" hidden="false" max="70" min="70" style="2" width="13.0688259109312"/>
    <col collapsed="false" hidden="false" max="71" min="71" style="2" width="7.71255060728745"/>
    <col collapsed="false" hidden="false" max="72" min="72" style="2" width="11.0323886639676"/>
    <col collapsed="false" hidden="false" max="73" min="73" style="2" width="14.6761133603239"/>
    <col collapsed="false" hidden="false" max="74" min="74" style="2" width="10.3886639676113"/>
    <col collapsed="false" hidden="false" max="75" min="75" style="2" width="11.5708502024291"/>
    <col collapsed="false" hidden="false" max="76" min="76" style="2" width="9.4251012145749"/>
    <col collapsed="false" hidden="false" max="77" min="77" style="2" width="8.67611336032389"/>
    <col collapsed="false" hidden="false" max="78" min="78" style="2" width="17.4615384615385"/>
    <col collapsed="false" hidden="false" max="79" min="79" style="2" width="15.2105263157895"/>
    <col collapsed="false" hidden="false" max="80" min="80" style="1" width="9.4251012145749"/>
    <col collapsed="false" hidden="false" max="81" min="81" style="1" width="12.4251012145749"/>
    <col collapsed="false" hidden="false" max="82" min="82" style="1" width="9.63967611336032"/>
    <col collapsed="false" hidden="false" max="83" min="83" style="1" width="7.92712550607287"/>
    <col collapsed="false" hidden="false" max="85" min="84" style="1" width="18.9595141700405"/>
    <col collapsed="false" hidden="false" max="86" min="86" style="2" width="11.6761133603239"/>
    <col collapsed="false" hidden="true" max="87" min="87" style="2" width="0"/>
    <col collapsed="false" hidden="false" max="90" min="88" style="2" width="17.5668016194332"/>
    <col collapsed="false" hidden="false" max="91" min="91" style="2" width="20.6720647773279"/>
    <col collapsed="false" hidden="false" max="92" min="92" style="2" width="17.5668016194332"/>
    <col collapsed="false" hidden="false" max="93" min="93" style="2" width="14.1417004048583"/>
    <col collapsed="false" hidden="false" max="94" min="94" style="2" width="14.753036437247"/>
    <col collapsed="false" hidden="false" max="1025" min="95" style="2" width="9.10526315789474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4" t="s">
        <v>0</v>
      </c>
      <c r="O1" s="4"/>
      <c r="P1" s="4" t="n">
        <v>60000</v>
      </c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5" t="s">
        <v>1</v>
      </c>
      <c r="BQ1" s="5"/>
      <c r="BR1" s="5"/>
      <c r="BS1" s="5"/>
      <c r="BT1" s="5"/>
      <c r="BU1" s="5"/>
      <c r="BV1" s="6"/>
      <c r="BW1" s="6"/>
      <c r="BX1" s="0"/>
      <c r="BY1" s="0"/>
      <c r="BZ1" s="0"/>
      <c r="CA1" s="7"/>
      <c r="CB1" s="8"/>
      <c r="CC1" s="8"/>
      <c r="CD1" s="8"/>
      <c r="CE1" s="8"/>
      <c r="CF1" s="8"/>
      <c r="CG1" s="8"/>
      <c r="CH1" s="7"/>
      <c r="CI1" s="7"/>
      <c r="CJ1" s="7" t="s">
        <v>2</v>
      </c>
      <c r="CK1" s="7"/>
      <c r="CL1" s="7"/>
      <c r="CM1" s="7"/>
      <c r="CN1" s="0"/>
      <c r="CO1" s="9" t="s">
        <v>3</v>
      </c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4" t="s">
        <v>4</v>
      </c>
      <c r="O2" s="4"/>
      <c r="P2" s="4" t="n">
        <v>30000</v>
      </c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2" t="n">
        <f aca="false">BR2</f>
        <v>250000</v>
      </c>
      <c r="BQ2" s="4" t="s">
        <v>5</v>
      </c>
      <c r="BR2" s="4" t="n">
        <v>250000</v>
      </c>
      <c r="BS2" s="4" t="n">
        <f aca="false">0</f>
        <v>0</v>
      </c>
      <c r="BT2" s="10"/>
      <c r="BU2" s="2" t="n">
        <f aca="false">BR2*BS2</f>
        <v>0</v>
      </c>
      <c r="BV2" s="0"/>
      <c r="BW2" s="0"/>
      <c r="BX2" s="0"/>
      <c r="BY2" s="0"/>
      <c r="BZ2" s="10"/>
      <c r="CA2" s="10"/>
      <c r="CB2" s="11"/>
      <c r="CC2" s="11"/>
      <c r="CD2" s="11"/>
      <c r="CE2" s="11"/>
      <c r="CF2" s="11"/>
      <c r="CG2" s="11"/>
      <c r="CH2" s="10"/>
      <c r="CI2" s="4" t="s">
        <v>6</v>
      </c>
      <c r="CJ2" s="4" t="n">
        <v>300000</v>
      </c>
      <c r="CK2" s="4" t="n">
        <f aca="false">0</f>
        <v>0</v>
      </c>
      <c r="CL2" s="10"/>
      <c r="CM2" s="10"/>
      <c r="CN2" s="0"/>
      <c r="CO2" s="9" t="s">
        <v>7</v>
      </c>
      <c r="CP2" s="9" t="s">
        <v>8</v>
      </c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4" t="s">
        <v>9</v>
      </c>
      <c r="O3" s="4"/>
      <c r="P3" s="4" t="n">
        <v>300000</v>
      </c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2" t="n">
        <f aca="false">BR2+BR3</f>
        <v>650000</v>
      </c>
      <c r="BQ3" s="4" t="s">
        <v>10</v>
      </c>
      <c r="BR3" s="4" t="n">
        <v>400000</v>
      </c>
      <c r="BS3" s="12" t="n">
        <f aca="false">0.1</f>
        <v>0.1</v>
      </c>
      <c r="BT3" s="13"/>
      <c r="BU3" s="2" t="n">
        <f aca="false">BR3*BS3</f>
        <v>40000</v>
      </c>
      <c r="BV3" s="0"/>
      <c r="BW3" s="0"/>
      <c r="BX3" s="0"/>
      <c r="BY3" s="0"/>
      <c r="BZ3" s="10"/>
      <c r="CA3" s="10"/>
      <c r="CB3" s="11"/>
      <c r="CC3" s="11"/>
      <c r="CD3" s="11"/>
      <c r="CE3" s="11"/>
      <c r="CF3" s="11"/>
      <c r="CG3" s="11"/>
      <c r="CH3" s="10"/>
      <c r="CI3" s="4" t="s">
        <v>10</v>
      </c>
      <c r="CJ3" s="4" t="n">
        <v>400000</v>
      </c>
      <c r="CK3" s="12" t="n">
        <f aca="false">0.1</f>
        <v>0.1</v>
      </c>
      <c r="CL3" s="13"/>
      <c r="CM3" s="13"/>
      <c r="CN3" s="0"/>
      <c r="CO3" s="2" t="n">
        <v>250000</v>
      </c>
      <c r="CP3" s="14" t="n">
        <v>0.15</v>
      </c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2" t="n">
        <f aca="false">BR4+BP3</f>
        <v>1150000</v>
      </c>
      <c r="BQ4" s="4" t="s">
        <v>10</v>
      </c>
      <c r="BR4" s="4" t="n">
        <v>500000</v>
      </c>
      <c r="BS4" s="12" t="n">
        <f aca="false">0.15</f>
        <v>0.15</v>
      </c>
      <c r="BT4" s="13"/>
      <c r="BU4" s="2" t="n">
        <f aca="false">BR4*BS4</f>
        <v>75000</v>
      </c>
      <c r="BV4" s="0"/>
      <c r="BW4" s="0"/>
      <c r="BX4" s="0"/>
      <c r="BY4" s="0"/>
      <c r="BZ4" s="10"/>
      <c r="CA4" s="10"/>
      <c r="CB4" s="11"/>
      <c r="CC4" s="11"/>
      <c r="CD4" s="11"/>
      <c r="CE4" s="11"/>
      <c r="CF4" s="11"/>
      <c r="CG4" s="11"/>
      <c r="CH4" s="10"/>
      <c r="CI4" s="4" t="s">
        <v>10</v>
      </c>
      <c r="CJ4" s="4" t="n">
        <v>500000</v>
      </c>
      <c r="CK4" s="12" t="n">
        <f aca="false">0.15</f>
        <v>0.15</v>
      </c>
      <c r="CL4" s="13"/>
      <c r="CM4" s="13"/>
      <c r="CN4" s="0"/>
      <c r="CO4" s="2" t="n">
        <v>500000</v>
      </c>
      <c r="CP4" s="14" t="n">
        <v>0.12</v>
      </c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0"/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2" t="n">
        <f aca="false">BR5+BP4</f>
        <v>1750000</v>
      </c>
      <c r="BQ5" s="4" t="s">
        <v>10</v>
      </c>
      <c r="BR5" s="4" t="n">
        <v>600000</v>
      </c>
      <c r="BS5" s="12" t="n">
        <f aca="false">0.2</f>
        <v>0.2</v>
      </c>
      <c r="BT5" s="13"/>
      <c r="BU5" s="2" t="n">
        <f aca="false">BR5*BS5</f>
        <v>120000</v>
      </c>
      <c r="BV5" s="0"/>
      <c r="BW5" s="0"/>
      <c r="BX5" s="0"/>
      <c r="BY5" s="0"/>
      <c r="BZ5" s="10"/>
      <c r="CA5" s="10"/>
      <c r="CB5" s="11"/>
      <c r="CC5" s="11"/>
      <c r="CD5" s="11"/>
      <c r="CE5" s="11"/>
      <c r="CF5" s="11"/>
      <c r="CG5" s="11"/>
      <c r="CH5" s="10"/>
      <c r="CI5" s="4" t="s">
        <v>10</v>
      </c>
      <c r="CJ5" s="4" t="n">
        <v>600000</v>
      </c>
      <c r="CK5" s="12" t="n">
        <f aca="false">0.2</f>
        <v>0.2</v>
      </c>
      <c r="CL5" s="13"/>
      <c r="CM5" s="13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4" t="s">
        <v>10</v>
      </c>
      <c r="BR6" s="15" t="s">
        <v>11</v>
      </c>
      <c r="BS6" s="12" t="n">
        <f aca="false">0.25</f>
        <v>0.25</v>
      </c>
      <c r="BT6" s="13"/>
      <c r="BU6" s="0"/>
      <c r="BV6" s="0"/>
      <c r="BW6" s="0"/>
      <c r="BX6" s="0"/>
      <c r="BY6" s="0"/>
      <c r="BZ6" s="10"/>
      <c r="CA6" s="10"/>
      <c r="CB6" s="11"/>
      <c r="CC6" s="11"/>
      <c r="CD6" s="11"/>
      <c r="CE6" s="11"/>
      <c r="CF6" s="11"/>
      <c r="CG6" s="11"/>
      <c r="CH6" s="10"/>
      <c r="CI6" s="4" t="s">
        <v>10</v>
      </c>
      <c r="CJ6" s="15" t="s">
        <v>11</v>
      </c>
      <c r="CK6" s="12" t="n">
        <f aca="false">0.25</f>
        <v>0.25</v>
      </c>
      <c r="CL6" s="13"/>
      <c r="CM6" s="13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9" customFormat="false" ht="15" hidden="false" customHeight="fals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2" t="s">
        <v>12</v>
      </c>
      <c r="BV9" s="0"/>
      <c r="BW9" s="0"/>
      <c r="BX9" s="2" t="n">
        <v>30000</v>
      </c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1" customFormat="false" ht="15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16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false" outlineLevel="0" collapsed="false">
      <c r="A12" s="0"/>
      <c r="B12" s="0"/>
      <c r="C12" s="0"/>
      <c r="D12" s="0"/>
      <c r="E12" s="0"/>
      <c r="F12" s="17"/>
      <c r="G12" s="17"/>
      <c r="H12" s="17"/>
      <c r="I12" s="17"/>
      <c r="J12" s="17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2" t="n">
        <f aca="false">BU15-(BV15+BX15+BY15)</f>
        <v>0</v>
      </c>
      <c r="BW12" s="0"/>
      <c r="BX12" s="0"/>
      <c r="BY12" s="0"/>
      <c r="BZ12" s="18" t="n">
        <v>0.25</v>
      </c>
      <c r="CA12" s="0"/>
      <c r="CB12" s="0"/>
      <c r="CC12" s="0"/>
      <c r="CD12" s="0"/>
      <c r="CE12" s="0"/>
      <c r="CF12" s="19"/>
      <c r="CG12" s="19"/>
      <c r="CH12" s="16" t="s">
        <v>13</v>
      </c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10" customFormat="true" ht="15.75" hidden="false" customHeight="false" outlineLevel="0" collapsed="false">
      <c r="A13" s="20"/>
      <c r="B13" s="21"/>
      <c r="C13" s="21"/>
      <c r="D13" s="21"/>
      <c r="E13" s="22"/>
      <c r="F13" s="23" t="n">
        <v>42917</v>
      </c>
      <c r="G13" s="23"/>
      <c r="H13" s="23"/>
      <c r="I13" s="23"/>
      <c r="J13" s="23"/>
      <c r="K13" s="24" t="n">
        <v>42949</v>
      </c>
      <c r="L13" s="24"/>
      <c r="M13" s="24"/>
      <c r="N13" s="24"/>
      <c r="O13" s="24"/>
      <c r="P13" s="24" t="n">
        <v>42981</v>
      </c>
      <c r="Q13" s="24"/>
      <c r="R13" s="24"/>
      <c r="S13" s="24"/>
      <c r="T13" s="24"/>
      <c r="U13" s="24" t="n">
        <v>43013</v>
      </c>
      <c r="V13" s="24"/>
      <c r="W13" s="24"/>
      <c r="X13" s="24"/>
      <c r="Y13" s="24"/>
      <c r="Z13" s="24" t="n">
        <v>43045</v>
      </c>
      <c r="AA13" s="24"/>
      <c r="AB13" s="24"/>
      <c r="AC13" s="24"/>
      <c r="AD13" s="24"/>
      <c r="AE13" s="24" t="n">
        <v>43077</v>
      </c>
      <c r="AF13" s="24"/>
      <c r="AG13" s="24"/>
      <c r="AH13" s="24"/>
      <c r="AI13" s="24"/>
      <c r="AJ13" s="24" t="n">
        <v>43109</v>
      </c>
      <c r="AK13" s="24"/>
      <c r="AL13" s="24"/>
      <c r="AM13" s="24"/>
      <c r="AN13" s="24"/>
      <c r="AO13" s="24" t="n">
        <v>43141</v>
      </c>
      <c r="AP13" s="24"/>
      <c r="AQ13" s="24"/>
      <c r="AR13" s="24"/>
      <c r="AS13" s="24"/>
      <c r="AT13" s="24" t="n">
        <v>43173</v>
      </c>
      <c r="AU13" s="24"/>
      <c r="AV13" s="24"/>
      <c r="AW13" s="24"/>
      <c r="AX13" s="24"/>
      <c r="AY13" s="24" t="n">
        <v>43205</v>
      </c>
      <c r="AZ13" s="24"/>
      <c r="BA13" s="24"/>
      <c r="BB13" s="24"/>
      <c r="BC13" s="24"/>
      <c r="BD13" s="24" t="n">
        <v>43237</v>
      </c>
      <c r="BE13" s="24"/>
      <c r="BF13" s="24"/>
      <c r="BG13" s="24"/>
      <c r="BH13" s="24"/>
      <c r="BI13" s="24" t="n">
        <v>43269</v>
      </c>
      <c r="BJ13" s="24"/>
      <c r="BK13" s="24"/>
      <c r="BL13" s="24"/>
      <c r="BM13" s="24"/>
      <c r="BN13" s="25"/>
      <c r="BO13" s="26" t="s">
        <v>14</v>
      </c>
      <c r="BP13" s="26"/>
      <c r="BQ13" s="26"/>
      <c r="BR13" s="26"/>
      <c r="BS13" s="26"/>
      <c r="BT13" s="27"/>
      <c r="BU13" s="28" t="s">
        <v>15</v>
      </c>
      <c r="BV13" s="28"/>
      <c r="BW13" s="28"/>
      <c r="BX13" s="28"/>
      <c r="BY13" s="28"/>
      <c r="BZ13" s="29"/>
      <c r="CA13" s="4"/>
      <c r="CB13" s="29"/>
      <c r="CC13" s="29"/>
      <c r="CD13" s="29"/>
      <c r="CE13" s="29"/>
      <c r="CF13" s="29"/>
      <c r="CG13" s="29"/>
      <c r="CH13" s="30" t="n">
        <f aca="false">12-11</f>
        <v>1</v>
      </c>
      <c r="CI13" s="4" t="s">
        <v>16</v>
      </c>
      <c r="CJ13" s="31"/>
    </row>
    <row r="14" s="44" customFormat="true" ht="43.5" hidden="false" customHeight="true" outlineLevel="0" collapsed="false">
      <c r="A14" s="32" t="s">
        <v>17</v>
      </c>
      <c r="B14" s="33" t="s">
        <v>18</v>
      </c>
      <c r="C14" s="34" t="s">
        <v>19</v>
      </c>
      <c r="D14" s="34" t="s">
        <v>20</v>
      </c>
      <c r="E14" s="35" t="s">
        <v>21</v>
      </c>
      <c r="F14" s="36" t="s">
        <v>22</v>
      </c>
      <c r="G14" s="36" t="s">
        <v>23</v>
      </c>
      <c r="H14" s="36" t="s">
        <v>24</v>
      </c>
      <c r="I14" s="36" t="s">
        <v>25</v>
      </c>
      <c r="J14" s="37" t="s">
        <v>26</v>
      </c>
      <c r="K14" s="32" t="s">
        <v>22</v>
      </c>
      <c r="L14" s="35" t="s">
        <v>27</v>
      </c>
      <c r="M14" s="35" t="s">
        <v>24</v>
      </c>
      <c r="N14" s="35" t="s">
        <v>25</v>
      </c>
      <c r="O14" s="34" t="s">
        <v>26</v>
      </c>
      <c r="P14" s="32" t="s">
        <v>22</v>
      </c>
      <c r="Q14" s="35" t="s">
        <v>27</v>
      </c>
      <c r="R14" s="35" t="s">
        <v>24</v>
      </c>
      <c r="S14" s="35" t="s">
        <v>25</v>
      </c>
      <c r="T14" s="34" t="s">
        <v>26</v>
      </c>
      <c r="U14" s="32" t="s">
        <v>22</v>
      </c>
      <c r="V14" s="35" t="s">
        <v>27</v>
      </c>
      <c r="W14" s="35" t="s">
        <v>24</v>
      </c>
      <c r="X14" s="35" t="s">
        <v>25</v>
      </c>
      <c r="Y14" s="34" t="s">
        <v>26</v>
      </c>
      <c r="Z14" s="32" t="s">
        <v>22</v>
      </c>
      <c r="AA14" s="35" t="s">
        <v>27</v>
      </c>
      <c r="AB14" s="35" t="s">
        <v>24</v>
      </c>
      <c r="AC14" s="35" t="s">
        <v>25</v>
      </c>
      <c r="AD14" s="34" t="s">
        <v>26</v>
      </c>
      <c r="AE14" s="32" t="s">
        <v>22</v>
      </c>
      <c r="AF14" s="35" t="s">
        <v>28</v>
      </c>
      <c r="AG14" s="35" t="s">
        <v>24</v>
      </c>
      <c r="AH14" s="35" t="s">
        <v>25</v>
      </c>
      <c r="AI14" s="34" t="s">
        <v>26</v>
      </c>
      <c r="AJ14" s="32" t="s">
        <v>22</v>
      </c>
      <c r="AK14" s="35" t="s">
        <v>28</v>
      </c>
      <c r="AL14" s="35" t="s">
        <v>24</v>
      </c>
      <c r="AM14" s="35" t="s">
        <v>25</v>
      </c>
      <c r="AN14" s="34" t="s">
        <v>26</v>
      </c>
      <c r="AO14" s="32" t="s">
        <v>22</v>
      </c>
      <c r="AP14" s="35" t="s">
        <v>28</v>
      </c>
      <c r="AQ14" s="35" t="s">
        <v>24</v>
      </c>
      <c r="AR14" s="35" t="s">
        <v>25</v>
      </c>
      <c r="AS14" s="34" t="s">
        <v>26</v>
      </c>
      <c r="AT14" s="32" t="s">
        <v>22</v>
      </c>
      <c r="AU14" s="35" t="s">
        <v>28</v>
      </c>
      <c r="AV14" s="35" t="s">
        <v>24</v>
      </c>
      <c r="AW14" s="35" t="s">
        <v>25</v>
      </c>
      <c r="AX14" s="34" t="s">
        <v>26</v>
      </c>
      <c r="AY14" s="32" t="s">
        <v>22</v>
      </c>
      <c r="AZ14" s="35" t="s">
        <v>28</v>
      </c>
      <c r="BA14" s="35" t="s">
        <v>24</v>
      </c>
      <c r="BB14" s="35" t="s">
        <v>25</v>
      </c>
      <c r="BC14" s="34" t="s">
        <v>26</v>
      </c>
      <c r="BD14" s="32" t="s">
        <v>22</v>
      </c>
      <c r="BE14" s="35" t="s">
        <v>28</v>
      </c>
      <c r="BF14" s="35" t="s">
        <v>24</v>
      </c>
      <c r="BG14" s="35" t="s">
        <v>25</v>
      </c>
      <c r="BH14" s="34" t="s">
        <v>26</v>
      </c>
      <c r="BI14" s="35" t="s">
        <v>22</v>
      </c>
      <c r="BJ14" s="35" t="s">
        <v>29</v>
      </c>
      <c r="BK14" s="35" t="s">
        <v>24</v>
      </c>
      <c r="BL14" s="35" t="s">
        <v>25</v>
      </c>
      <c r="BM14" s="37" t="s">
        <v>26</v>
      </c>
      <c r="BN14" s="38"/>
      <c r="BO14" s="37" t="s">
        <v>22</v>
      </c>
      <c r="BP14" s="33" t="s">
        <v>28</v>
      </c>
      <c r="BQ14" s="33" t="s">
        <v>30</v>
      </c>
      <c r="BR14" s="33" t="s">
        <v>25</v>
      </c>
      <c r="BS14" s="39" t="s">
        <v>26</v>
      </c>
      <c r="BT14" s="40" t="s">
        <v>31</v>
      </c>
      <c r="BU14" s="37" t="s">
        <v>32</v>
      </c>
      <c r="BV14" s="37" t="s">
        <v>33</v>
      </c>
      <c r="BW14" s="37" t="s">
        <v>34</v>
      </c>
      <c r="BX14" s="33" t="s">
        <v>35</v>
      </c>
      <c r="BY14" s="33" t="s">
        <v>36</v>
      </c>
      <c r="BZ14" s="41" t="s">
        <v>37</v>
      </c>
      <c r="CA14" s="42" t="s">
        <v>38</v>
      </c>
      <c r="CB14" s="40" t="s">
        <v>39</v>
      </c>
      <c r="CC14" s="40" t="s">
        <v>40</v>
      </c>
      <c r="CD14" s="40" t="s">
        <v>41</v>
      </c>
      <c r="CE14" s="40" t="s">
        <v>42</v>
      </c>
      <c r="CF14" s="33" t="s">
        <v>43</v>
      </c>
      <c r="CG14" s="33" t="s">
        <v>44</v>
      </c>
      <c r="CH14" s="43" t="s">
        <v>45</v>
      </c>
      <c r="CI14" s="35"/>
      <c r="CJ14" s="35" t="s">
        <v>46</v>
      </c>
      <c r="CK14" s="44" t="s">
        <v>47</v>
      </c>
      <c r="CL14" s="44" t="s">
        <v>48</v>
      </c>
      <c r="CM14" s="44" t="s">
        <v>49</v>
      </c>
      <c r="CN14" s="44" t="s">
        <v>50</v>
      </c>
      <c r="CO14" s="44" t="s">
        <v>51</v>
      </c>
      <c r="CP14" s="44" t="s">
        <v>52</v>
      </c>
    </row>
    <row r="15" s="67" customFormat="true" ht="15.75" hidden="false" customHeight="false" outlineLevel="0" collapsed="false">
      <c r="A15" s="45" t="s">
        <v>53</v>
      </c>
      <c r="B15" s="46" t="s">
        <v>54</v>
      </c>
      <c r="C15" s="47" t="n">
        <v>42552</v>
      </c>
      <c r="D15" s="47" t="n">
        <v>42916</v>
      </c>
      <c r="E15" s="48"/>
      <c r="F15" s="49" t="n">
        <v>80000</v>
      </c>
      <c r="G15" s="49"/>
      <c r="H15" s="49" t="n">
        <v>24879</v>
      </c>
      <c r="I15" s="49" t="n">
        <v>3722</v>
      </c>
      <c r="J15" s="50" t="n">
        <f aca="false">F15*0.05</f>
        <v>4000</v>
      </c>
      <c r="K15" s="49" t="n">
        <f aca="false">F15</f>
        <v>80000</v>
      </c>
      <c r="L15" s="49" t="n">
        <v>39117</v>
      </c>
      <c r="M15" s="49"/>
      <c r="N15" s="49" t="n">
        <v>4222</v>
      </c>
      <c r="O15" s="50" t="n">
        <f aca="false">J15</f>
        <v>4000</v>
      </c>
      <c r="P15" s="51" t="n">
        <f aca="false">K15</f>
        <v>80000</v>
      </c>
      <c r="Q15" s="52"/>
      <c r="R15" s="49"/>
      <c r="S15" s="49" t="n">
        <v>4222</v>
      </c>
      <c r="T15" s="50" t="n">
        <f aca="false">P15*0.05</f>
        <v>4000</v>
      </c>
      <c r="U15" s="51" t="n">
        <f aca="false">P15</f>
        <v>80000</v>
      </c>
      <c r="V15" s="49"/>
      <c r="W15" s="49" t="n">
        <v>19441</v>
      </c>
      <c r="X15" s="53" t="n">
        <v>4222</v>
      </c>
      <c r="Y15" s="50" t="n">
        <f aca="false">T15</f>
        <v>4000</v>
      </c>
      <c r="Z15" s="51" t="n">
        <f aca="false">U15</f>
        <v>80000</v>
      </c>
      <c r="AA15" s="49"/>
      <c r="AB15" s="49"/>
      <c r="AC15" s="53" t="n">
        <v>4296</v>
      </c>
      <c r="AD15" s="50" t="n">
        <f aca="false">Y15</f>
        <v>4000</v>
      </c>
      <c r="AE15" s="51" t="n">
        <f aca="false">Z15</f>
        <v>80000</v>
      </c>
      <c r="AF15" s="49"/>
      <c r="AG15" s="49"/>
      <c r="AH15" s="49" t="n">
        <v>4296</v>
      </c>
      <c r="AI15" s="50" t="n">
        <f aca="false">AD15</f>
        <v>4000</v>
      </c>
      <c r="AJ15" s="51" t="n">
        <v>90000</v>
      </c>
      <c r="AK15" s="49"/>
      <c r="AL15" s="49" t="n">
        <v>23001</v>
      </c>
      <c r="AM15" s="49" t="n">
        <v>5158</v>
      </c>
      <c r="AN15" s="50"/>
      <c r="AO15" s="49" t="n">
        <f aca="false">AJ15</f>
        <v>90000</v>
      </c>
      <c r="AP15" s="54"/>
      <c r="AQ15" s="49"/>
      <c r="AR15" s="54" t="n">
        <v>5004</v>
      </c>
      <c r="AS15" s="50"/>
      <c r="AT15" s="49" t="n">
        <f aca="false">AO15</f>
        <v>90000</v>
      </c>
      <c r="AU15" s="49"/>
      <c r="AV15" s="49"/>
      <c r="AW15" s="49" t="n">
        <v>5004</v>
      </c>
      <c r="AX15" s="50"/>
      <c r="AY15" s="49" t="n">
        <f aca="false">AT15</f>
        <v>90000</v>
      </c>
      <c r="AZ15" s="49"/>
      <c r="BA15" s="55" t="n">
        <v>20374</v>
      </c>
      <c r="BB15" s="53" t="n">
        <v>4806</v>
      </c>
      <c r="BC15" s="50"/>
      <c r="BD15" s="49" t="n">
        <f aca="false">AY15</f>
        <v>90000</v>
      </c>
      <c r="BE15" s="49"/>
      <c r="BF15" s="55"/>
      <c r="BG15" s="53" t="n">
        <v>7605.7625</v>
      </c>
      <c r="BH15" s="50"/>
      <c r="BI15" s="49" t="n">
        <f aca="false">BD15</f>
        <v>90000</v>
      </c>
      <c r="BJ15" s="56" t="n">
        <f aca="false">41669</f>
        <v>41669</v>
      </c>
      <c r="BK15" s="49"/>
      <c r="BL15" s="49"/>
      <c r="BM15" s="50"/>
      <c r="BN15" s="57"/>
      <c r="BO15" s="58" t="n">
        <f aca="false">SUM(F15,K15,P15,U15,Z15,AE15,AJ15,AO15,AT15,AY15,BD15,BI15)</f>
        <v>1020000</v>
      </c>
      <c r="BP15" s="59" t="n">
        <f aca="false">SUM(G15,L15,Q15,V15,AA15,AF15,AK15,AP15,AU15,AZ15,BE15,BJ15)</f>
        <v>80786</v>
      </c>
      <c r="BQ15" s="59" t="n">
        <f aca="false">SUM(H15,M15,R15,W15,AB15,AG15,AL15,AQ15,AV15,BA15,BF15,BK15)</f>
        <v>87695</v>
      </c>
      <c r="BR15" s="59" t="n">
        <f aca="false">SUM(I15,N15,S15,X15,AC15,AH15,AM15,AR15,AW15,BB15,BG15,BL15)</f>
        <v>52557.7625</v>
      </c>
      <c r="BS15" s="60" t="n">
        <f aca="false">SUM(J15,O15,T15,Y15,AD15,AI15,AN15,AS15,AX15,BC15,BH15,BM15)</f>
        <v>24000</v>
      </c>
      <c r="BT15" s="61" t="n">
        <f aca="false">BO15+BP15+BQ15+BS15</f>
        <v>1212481</v>
      </c>
      <c r="BU15" s="58" t="n">
        <f aca="false">BT15-BS15-$BX$9-BP15</f>
        <v>1077695</v>
      </c>
      <c r="BV15" s="58" t="n">
        <f aca="false">BU15-BX15-BY15</f>
        <v>706995.454545455</v>
      </c>
      <c r="BW15" s="58" t="n">
        <f aca="false">BV15/12</f>
        <v>58916.2878787879</v>
      </c>
      <c r="BX15" s="59" t="n">
        <f aca="false">IF(BU15/16*5&lt;300000,BU15/16*5,300000)</f>
        <v>300000</v>
      </c>
      <c r="BY15" s="59" t="n">
        <f aca="false">IF((BU15-BX15)/11&lt;120000,(BU15-BX15)/11,120000)</f>
        <v>70699.5454545455</v>
      </c>
      <c r="BZ15" s="59" t="n">
        <f aca="false">BT15-BX15-BY15-$BX$9</f>
        <v>811781.454545455</v>
      </c>
      <c r="CA15" s="58" t="n">
        <f aca="false">BZ15*$BZ$12</f>
        <v>202945.363636364</v>
      </c>
      <c r="CB15" s="62" t="n">
        <v>130000</v>
      </c>
      <c r="CC15" s="63" t="n">
        <f aca="false">MIN(CA15:CB15)</f>
        <v>130000</v>
      </c>
      <c r="CD15" s="63" t="n">
        <f aca="false">IF(CC15&lt;=250000,CC15*0.15,((CC15-250000)*0.12+250000*0.15))</f>
        <v>19500</v>
      </c>
      <c r="CE15" s="62"/>
      <c r="CF15" s="64" t="n">
        <f aca="false">IF(BZ15-$BP$5&gt;0,(BZ15-$BP$5)*$BS$6,0)+IF(BZ15-$BP$4&gt;0,IF((BZ15-$BP$4)&gt;$BR$5,$BU$5,(BZ15-$BP$4)*$BS$5),0)+IF(BZ15-$BP$3&gt;0,IF((BZ15-$BP$3)&gt;$BR$4,$BU$4,(BZ15-$BP$3)*$BS$4),0)+IF(BZ15-$BP$2&gt;0,IF((BZ15-$BP$2)&gt;$BR$3,$BU$3,(BZ15-$BP$2)*$BS$3),0)-CD15-CE15</f>
        <v>44767.2181818182</v>
      </c>
      <c r="CG15" s="64" t="n">
        <f aca="false">IF(CF15&lt;=0,0,IF(CF15&lt;=5000,5000,CF15))</f>
        <v>44767.2181818182</v>
      </c>
      <c r="CH15" s="64" t="n">
        <f aca="false">(CF15-BR15)/$CH$13</f>
        <v>-7790.54431818181</v>
      </c>
      <c r="CI15" s="65"/>
      <c r="CJ15" s="66" t="n">
        <v>50000</v>
      </c>
    </row>
    <row r="16" customFormat="false" ht="15.75" hidden="false" customHeight="false" outlineLevel="0" collapsed="false">
      <c r="A16" s="45" t="s">
        <v>55</v>
      </c>
      <c r="B16" s="46" t="s">
        <v>54</v>
      </c>
      <c r="C16" s="47" t="n">
        <v>42552</v>
      </c>
      <c r="D16" s="47" t="n">
        <v>42916</v>
      </c>
      <c r="E16" s="48"/>
      <c r="F16" s="49" t="n">
        <v>70000</v>
      </c>
      <c r="G16" s="49"/>
      <c r="H16" s="49" t="n">
        <v>18510</v>
      </c>
      <c r="I16" s="49" t="n">
        <v>2615</v>
      </c>
      <c r="J16" s="50" t="n">
        <f aca="false">F16*0.05</f>
        <v>3500</v>
      </c>
      <c r="K16" s="49" t="n">
        <f aca="false">F16</f>
        <v>70000</v>
      </c>
      <c r="L16" s="49" t="n">
        <v>33314</v>
      </c>
      <c r="M16" s="49"/>
      <c r="N16" s="49" t="n">
        <v>2804</v>
      </c>
      <c r="O16" s="50" t="n">
        <f aca="false">J16</f>
        <v>3500</v>
      </c>
      <c r="P16" s="51" t="n">
        <f aca="false">K16</f>
        <v>70000</v>
      </c>
      <c r="Q16" s="49"/>
      <c r="R16" s="49"/>
      <c r="S16" s="49" t="n">
        <v>2804</v>
      </c>
      <c r="T16" s="50" t="n">
        <f aca="false">P16*0.05</f>
        <v>3500</v>
      </c>
      <c r="U16" s="51" t="n">
        <f aca="false">P16</f>
        <v>70000</v>
      </c>
      <c r="V16" s="49"/>
      <c r="W16" s="49" t="n">
        <v>17627</v>
      </c>
      <c r="X16" s="53" t="n">
        <v>2804</v>
      </c>
      <c r="Y16" s="50" t="n">
        <f aca="false">T16</f>
        <v>3500</v>
      </c>
      <c r="Z16" s="51" t="n">
        <f aca="false">U16</f>
        <v>70000</v>
      </c>
      <c r="AA16" s="49"/>
      <c r="AB16" s="49"/>
      <c r="AC16" s="53" t="n">
        <v>2826</v>
      </c>
      <c r="AD16" s="50" t="n">
        <f aca="false">Y16</f>
        <v>3500</v>
      </c>
      <c r="AE16" s="51" t="n">
        <f aca="false">Z16</f>
        <v>70000</v>
      </c>
      <c r="AF16" s="49"/>
      <c r="AG16" s="49"/>
      <c r="AH16" s="49" t="n">
        <v>2826</v>
      </c>
      <c r="AI16" s="50" t="n">
        <f aca="false">AD16</f>
        <v>3500</v>
      </c>
      <c r="AJ16" s="51" t="n">
        <v>75000</v>
      </c>
      <c r="AK16" s="49"/>
      <c r="AL16" s="49" t="n">
        <v>22125</v>
      </c>
      <c r="AM16" s="53" t="n">
        <v>3350</v>
      </c>
      <c r="AN16" s="50"/>
      <c r="AO16" s="49" t="n">
        <f aca="false">AJ16</f>
        <v>75000</v>
      </c>
      <c r="AP16" s="49"/>
      <c r="AQ16" s="49"/>
      <c r="AR16" s="49" t="n">
        <v>3157</v>
      </c>
      <c r="AS16" s="50"/>
      <c r="AT16" s="49" t="n">
        <f aca="false">AO16</f>
        <v>75000</v>
      </c>
      <c r="AU16" s="49"/>
      <c r="AV16" s="49"/>
      <c r="AW16" s="53" t="n">
        <v>3157</v>
      </c>
      <c r="AX16" s="50"/>
      <c r="AY16" s="49" t="n">
        <f aca="false">AT16</f>
        <v>75000</v>
      </c>
      <c r="AZ16" s="49"/>
      <c r="BA16" s="55" t="n">
        <v>8223</v>
      </c>
      <c r="BB16" s="53" t="n">
        <v>3098</v>
      </c>
      <c r="BC16" s="50"/>
      <c r="BD16" s="49" t="n">
        <f aca="false">AY16</f>
        <v>75000</v>
      </c>
      <c r="BE16" s="49"/>
      <c r="BF16" s="55"/>
      <c r="BG16" s="53" t="n">
        <v>3940.693125</v>
      </c>
      <c r="BH16" s="50"/>
      <c r="BI16" s="49" t="n">
        <f aca="false">BD16</f>
        <v>75000</v>
      </c>
      <c r="BJ16" s="56" t="n">
        <v>35956</v>
      </c>
      <c r="BK16" s="49"/>
      <c r="BL16" s="49"/>
      <c r="BM16" s="50"/>
      <c r="BN16" s="68"/>
      <c r="BO16" s="58" t="n">
        <f aca="false">SUM(F16,K16,P16,U16,Z16,AE16,AJ16,AO16,AT16,AY16,BD16,BI16)</f>
        <v>870000</v>
      </c>
      <c r="BP16" s="59" t="n">
        <f aca="false">SUM(G16,L16,Q16,V16,AA16,AF16,AK16,AP16,AU16,AZ16,BE16,BJ16)</f>
        <v>69270</v>
      </c>
      <c r="BQ16" s="59" t="n">
        <f aca="false">SUM(H16,M16,R16,W16,AB16,AG16,AL16,AQ16,AV16,BA16,BF16,BK16)</f>
        <v>66485</v>
      </c>
      <c r="BR16" s="59" t="n">
        <f aca="false">SUM(I16,N16,S16,X16,AC16,AH16,AM16,AR16,AW16,BB16,BG16,BL16)</f>
        <v>33381.693125</v>
      </c>
      <c r="BS16" s="60" t="n">
        <f aca="false">SUM(J16,O16,T16,Y16,AD16,AI16,AN16,AS16,AX16,BC16,BH16,BM16)</f>
        <v>21000</v>
      </c>
      <c r="BT16" s="61" t="n">
        <f aca="false">BO16+BP16+BQ16+BS16</f>
        <v>1026755</v>
      </c>
      <c r="BU16" s="58" t="n">
        <f aca="false">BT16-BS16-$BX$9-BP16</f>
        <v>906485</v>
      </c>
      <c r="BV16" s="58" t="n">
        <f aca="false">BU16-BX16-BY16</f>
        <v>566553.125</v>
      </c>
      <c r="BW16" s="58" t="n">
        <f aca="false">BV16/12</f>
        <v>47212.7604166667</v>
      </c>
      <c r="BX16" s="59" t="n">
        <f aca="false">IF(BU16/16*5&lt;300000,BU16/16*5,300000)</f>
        <v>283276.5625</v>
      </c>
      <c r="BY16" s="59" t="n">
        <f aca="false">IF((BU16-BX16)/11&lt;120000,(BU16-BX16)/11,120000)</f>
        <v>56655.3125</v>
      </c>
      <c r="BZ16" s="59" t="n">
        <f aca="false">BT16-BX16-BY16-$BX$9</f>
        <v>656823.125</v>
      </c>
      <c r="CA16" s="58" t="n">
        <f aca="false">BZ16*$BZ$12</f>
        <v>164205.78125</v>
      </c>
      <c r="CB16" s="62" t="n">
        <v>60000</v>
      </c>
      <c r="CC16" s="63" t="n">
        <f aca="false">MIN(CA16:CB16)</f>
        <v>60000</v>
      </c>
      <c r="CD16" s="63" t="n">
        <f aca="false">IF(CC16&lt;=250000,CC16*0.15,((CC16-250000)*0.12+250000*0.15))</f>
        <v>9000</v>
      </c>
      <c r="CE16" s="62"/>
      <c r="CF16" s="64" t="n">
        <f aca="false">IF(BZ16-$BP$5&gt;0,(BZ16-$BP$5)*$BS$6,0)+IF(BZ16-$BP$4&gt;0,IF((BZ16-$BP$4)&gt;$BR$5,$BU$5,(BZ16-$BP$4)*$BS$5),0)+IF(BZ16-$BP$3&gt;0,IF((BZ16-$BP$3)&gt;$BR$4,$BU$4,(BZ16-$BP$3)*$BS$4),0)+IF(BZ16-$BP$2&gt;0,IF((BZ16-$BP$2)&gt;$BR$3,$BU$3,(BZ16-$BP$2)*$BS$3),0)-CD16-CE16</f>
        <v>32023.46875</v>
      </c>
      <c r="CG16" s="64" t="n">
        <f aca="false">IF(CF16&lt;=0,0,IF(CF16&lt;=5000,5000,CF16))</f>
        <v>32023.46875</v>
      </c>
      <c r="CH16" s="64" t="n">
        <f aca="false">(CF16-BR16)/$CH$13</f>
        <v>-1358.22437500001</v>
      </c>
      <c r="CI16" s="65"/>
      <c r="CJ16" s="66" t="n">
        <v>30000</v>
      </c>
      <c r="CK16" s="0"/>
      <c r="CL16" s="0"/>
      <c r="CM16" s="0"/>
      <c r="CN16" s="66"/>
      <c r="CO16" s="66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9" customFormat="true" ht="15.75" hidden="false" customHeight="false" outlineLevel="0" collapsed="false">
      <c r="A17" s="69" t="s">
        <v>56</v>
      </c>
      <c r="B17" s="70" t="s">
        <v>57</v>
      </c>
      <c r="C17" s="71" t="n">
        <v>42552</v>
      </c>
      <c r="D17" s="71" t="n">
        <v>42916</v>
      </c>
      <c r="E17" s="72"/>
      <c r="F17" s="73" t="n">
        <v>90000</v>
      </c>
      <c r="G17" s="73"/>
      <c r="H17" s="73" t="n">
        <v>26306</v>
      </c>
      <c r="I17" s="73" t="n">
        <v>4048</v>
      </c>
      <c r="J17" s="74" t="n">
        <f aca="false">F17*0.05</f>
        <v>4500</v>
      </c>
      <c r="K17" s="73" t="n">
        <f aca="false">F17</f>
        <v>90000</v>
      </c>
      <c r="L17" s="73" t="n">
        <v>40305</v>
      </c>
      <c r="M17" s="73"/>
      <c r="N17" s="73" t="n">
        <v>4563</v>
      </c>
      <c r="O17" s="74" t="n">
        <f aca="false">J17</f>
        <v>4500</v>
      </c>
      <c r="P17" s="75" t="n">
        <f aca="false">K17</f>
        <v>90000</v>
      </c>
      <c r="Q17" s="73"/>
      <c r="R17" s="73"/>
      <c r="S17" s="73" t="n">
        <v>4563</v>
      </c>
      <c r="T17" s="74" t="n">
        <f aca="false">P17*0.05</f>
        <v>4500</v>
      </c>
      <c r="U17" s="75" t="n">
        <f aca="false">P17</f>
        <v>90000</v>
      </c>
      <c r="V17" s="73"/>
      <c r="W17" s="73" t="n">
        <v>13614</v>
      </c>
      <c r="X17" s="76" t="n">
        <v>4563</v>
      </c>
      <c r="Y17" s="74" t="n">
        <f aca="false">T17</f>
        <v>4500</v>
      </c>
      <c r="Z17" s="75" t="n">
        <f aca="false">U17</f>
        <v>90000</v>
      </c>
      <c r="AA17" s="73"/>
      <c r="AB17" s="73"/>
      <c r="AC17" s="76" t="n">
        <v>4643</v>
      </c>
      <c r="AD17" s="74" t="n">
        <f aca="false">Y17</f>
        <v>4500</v>
      </c>
      <c r="AE17" s="75" t="n">
        <f aca="false">Z17</f>
        <v>90000</v>
      </c>
      <c r="AF17" s="73"/>
      <c r="AG17" s="73"/>
      <c r="AH17" s="73" t="n">
        <v>4643</v>
      </c>
      <c r="AI17" s="74" t="n">
        <f aca="false">AD17</f>
        <v>4500</v>
      </c>
      <c r="AJ17" s="75" t="n">
        <v>100000</v>
      </c>
      <c r="AK17" s="73"/>
      <c r="AL17" s="73" t="n">
        <v>24234</v>
      </c>
      <c r="AM17" s="76" t="n">
        <v>5780</v>
      </c>
      <c r="AN17" s="74"/>
      <c r="AO17" s="73" t="n">
        <f aca="false">AJ17</f>
        <v>100000</v>
      </c>
      <c r="AP17" s="73"/>
      <c r="AQ17" s="73"/>
      <c r="AR17" s="73" t="n">
        <v>5625</v>
      </c>
      <c r="AS17" s="74"/>
      <c r="AT17" s="73" t="n">
        <f aca="false">AO17</f>
        <v>100000</v>
      </c>
      <c r="AU17" s="73"/>
      <c r="AV17" s="73"/>
      <c r="AW17" s="76" t="n">
        <v>5625</v>
      </c>
      <c r="AX17" s="74"/>
      <c r="AY17" s="73" t="n">
        <f aca="false">AT17</f>
        <v>100000</v>
      </c>
      <c r="AZ17" s="73"/>
      <c r="BA17" s="77" t="n">
        <v>21177</v>
      </c>
      <c r="BB17" s="76" t="n">
        <v>5411</v>
      </c>
      <c r="BC17" s="74"/>
      <c r="BD17" s="73" t="n">
        <f aca="false">AY17</f>
        <v>100000</v>
      </c>
      <c r="BE17" s="73"/>
      <c r="BF17" s="77"/>
      <c r="BG17" s="76" t="n">
        <v>7857.98375</v>
      </c>
      <c r="BH17" s="74"/>
      <c r="BI17" s="73" t="n">
        <f aca="false">BD17</f>
        <v>100000</v>
      </c>
      <c r="BJ17" s="78" t="n">
        <v>43109</v>
      </c>
      <c r="BK17" s="73"/>
      <c r="BL17" s="73"/>
      <c r="BM17" s="74"/>
      <c r="BN17" s="79"/>
      <c r="BO17" s="80" t="n">
        <f aca="false">SUM(F17,K17,P17,U17,Z17,AE17,AJ17,AO17,AT17,AY17,BD17,BI17)</f>
        <v>1140000</v>
      </c>
      <c r="BP17" s="81" t="n">
        <f aca="false">SUM(G17,L17,Q17,V17,AA17,AF17,AK17,AP17,AU17,AZ17,BE17,BJ17)</f>
        <v>83414</v>
      </c>
      <c r="BQ17" s="81" t="n">
        <f aca="false">SUM(H17,M17,R17,W17,AB17,AG17,AL17,AQ17,AV17,BA17,BF17,BK17)</f>
        <v>85331</v>
      </c>
      <c r="BR17" s="81" t="n">
        <f aca="false">SUM(I17,N17,S17,X17,AC17,AH17,AM17,AR17,AW17,BB17,BG17,BL17)</f>
        <v>57321.98375</v>
      </c>
      <c r="BS17" s="82" t="n">
        <f aca="false">SUM(J17,O17,T17,Y17,AD17,AI17,AN17,AS17,AX17,BC17,BH17,BM17)</f>
        <v>27000</v>
      </c>
      <c r="BT17" s="83" t="n">
        <f aca="false">BO17+BP17+BQ17+BS17</f>
        <v>1335745</v>
      </c>
      <c r="BU17" s="80" t="n">
        <f aca="false">BT17-BS17-$BX$9-BP17</f>
        <v>1195331</v>
      </c>
      <c r="BV17" s="80" t="n">
        <f aca="false">BU17-BX17-BY17</f>
        <v>813937.272727273</v>
      </c>
      <c r="BW17" s="80" t="n">
        <f aca="false">BV17/12</f>
        <v>67828.1060606061</v>
      </c>
      <c r="BX17" s="81" t="n">
        <f aca="false">IF(BU17/16*5&lt;300000,BU17/16*5,300000)</f>
        <v>300000</v>
      </c>
      <c r="BY17" s="81" t="n">
        <f aca="false">IF((BU17-BX17)/11&lt;120000,(BU17-BX17)/11,120000)</f>
        <v>81393.7272727273</v>
      </c>
      <c r="BZ17" s="81" t="n">
        <f aca="false">BT17-BX17-BY17-$BX$9</f>
        <v>924351.272727273</v>
      </c>
      <c r="CA17" s="80" t="n">
        <f aca="false">BZ17*$BZ$12</f>
        <v>231087.818181818</v>
      </c>
      <c r="CB17" s="84" t="n">
        <v>107200</v>
      </c>
      <c r="CC17" s="85" t="n">
        <f aca="false">MIN(CA17:CB17)</f>
        <v>107200</v>
      </c>
      <c r="CD17" s="85" t="n">
        <f aca="false">IF(CC17&lt;=250000,CC17*0.15,((CC17-250000)*0.12+250000*0.15))</f>
        <v>16080</v>
      </c>
      <c r="CE17" s="84"/>
      <c r="CF17" s="86" t="n">
        <f aca="false">IF(BZ17-$BP$5&gt;0,(BZ17-$BP$5)*$BS$6,0)+IF(BZ17-$BP$4&gt;0,IF((BZ17-$BP$4)&gt;$BR$5,$BU$5,(BZ17-$BP$4)*$BS$5),0)+IF(BZ17-$BP$3&gt;0,IF((BZ17-$BP$3)&gt;$BR$4,$BU$4,(BZ17-$BP$3)*$BS$4),0)+IF(BZ17-$BP$2&gt;0,IF((BZ17-$BP$2)&gt;$BR$3,$BU$3,(BZ17-$BP$2)*$BS$3),0)-CD17-CE17</f>
        <v>65072.6909090909</v>
      </c>
      <c r="CG17" s="86" t="n">
        <f aca="false">IF(CF17&lt;=0,0,IF(CF17&lt;=5000,5000,CF17))</f>
        <v>65072.6909090909</v>
      </c>
      <c r="CH17" s="86" t="n">
        <f aca="false">(CF17-BR17)/$CH$13</f>
        <v>7750.7071590909</v>
      </c>
      <c r="CI17" s="87"/>
      <c r="CJ17" s="88" t="n">
        <v>65073</v>
      </c>
      <c r="CN17" s="88"/>
      <c r="CO17" s="88"/>
    </row>
    <row r="18" s="89" customFormat="true" ht="15.75" hidden="false" customHeight="false" outlineLevel="0" collapsed="false">
      <c r="A18" s="69" t="s">
        <v>58</v>
      </c>
      <c r="B18" s="70" t="s">
        <v>54</v>
      </c>
      <c r="C18" s="71" t="n">
        <v>42552</v>
      </c>
      <c r="D18" s="71" t="n">
        <v>42916</v>
      </c>
      <c r="E18" s="72"/>
      <c r="F18" s="73" t="n">
        <v>110000</v>
      </c>
      <c r="G18" s="73"/>
      <c r="H18" s="73" t="n">
        <v>27499</v>
      </c>
      <c r="I18" s="73" t="n">
        <v>7430</v>
      </c>
      <c r="J18" s="74" t="n">
        <f aca="false">F18*0.05</f>
        <v>5500</v>
      </c>
      <c r="K18" s="73" t="n">
        <f aca="false">F18</f>
        <v>110000</v>
      </c>
      <c r="L18" s="73" t="n">
        <v>51323</v>
      </c>
      <c r="M18" s="73"/>
      <c r="N18" s="73" t="n">
        <v>8086</v>
      </c>
      <c r="O18" s="74" t="n">
        <f aca="false">J18</f>
        <v>5500</v>
      </c>
      <c r="P18" s="75" t="n">
        <f aca="false">K18</f>
        <v>110000</v>
      </c>
      <c r="Q18" s="73"/>
      <c r="R18" s="73"/>
      <c r="S18" s="73" t="n">
        <v>8086</v>
      </c>
      <c r="T18" s="74" t="n">
        <f aca="false">P18*0.05</f>
        <v>5500</v>
      </c>
      <c r="U18" s="75" t="n">
        <f aca="false">P18</f>
        <v>110000</v>
      </c>
      <c r="V18" s="73"/>
      <c r="W18" s="73" t="n">
        <v>20594</v>
      </c>
      <c r="X18" s="76" t="n">
        <v>8086</v>
      </c>
      <c r="Y18" s="74" t="n">
        <f aca="false">T18</f>
        <v>5500</v>
      </c>
      <c r="Z18" s="75" t="n">
        <f aca="false">U18</f>
        <v>110000</v>
      </c>
      <c r="AA18" s="73"/>
      <c r="AB18" s="73"/>
      <c r="AC18" s="76" t="n">
        <v>8086</v>
      </c>
      <c r="AD18" s="74" t="n">
        <f aca="false">Y18</f>
        <v>5500</v>
      </c>
      <c r="AE18" s="75" t="n">
        <f aca="false">Z18</f>
        <v>110000</v>
      </c>
      <c r="AF18" s="73"/>
      <c r="AG18" s="73"/>
      <c r="AH18" s="73" t="n">
        <v>8086</v>
      </c>
      <c r="AI18" s="74" t="n">
        <f aca="false">AD18</f>
        <v>5500</v>
      </c>
      <c r="AJ18" s="75" t="n">
        <v>125000</v>
      </c>
      <c r="AK18" s="73"/>
      <c r="AL18" s="73" t="n">
        <v>26042</v>
      </c>
      <c r="AM18" s="76" t="n">
        <v>9046</v>
      </c>
      <c r="AN18" s="74"/>
      <c r="AO18" s="73" t="n">
        <v>116000</v>
      </c>
      <c r="AP18" s="73"/>
      <c r="AQ18" s="73"/>
      <c r="AR18" s="73" t="n">
        <v>8748</v>
      </c>
      <c r="AS18" s="74"/>
      <c r="AT18" s="73" t="n">
        <f aca="false">AO18</f>
        <v>116000</v>
      </c>
      <c r="AU18" s="73"/>
      <c r="AV18" s="73"/>
      <c r="AW18" s="76" t="n">
        <v>9011</v>
      </c>
      <c r="AX18" s="74"/>
      <c r="AY18" s="73" t="n">
        <f aca="false">AT18</f>
        <v>116000</v>
      </c>
      <c r="AZ18" s="73"/>
      <c r="BA18" s="77" t="n">
        <v>26962</v>
      </c>
      <c r="BB18" s="76" t="n">
        <v>9011</v>
      </c>
      <c r="BC18" s="74"/>
      <c r="BD18" s="73" t="n">
        <f aca="false">AY18</f>
        <v>116000</v>
      </c>
      <c r="BE18" s="73"/>
      <c r="BF18" s="77"/>
      <c r="BG18" s="76" t="n">
        <v>12355.2040625</v>
      </c>
      <c r="BH18" s="74"/>
      <c r="BI18" s="73" t="n">
        <f aca="false">BD18</f>
        <v>116000</v>
      </c>
      <c r="BJ18" s="78" t="n">
        <v>54138</v>
      </c>
      <c r="BK18" s="73"/>
      <c r="BL18" s="73"/>
      <c r="BM18" s="74"/>
      <c r="BN18" s="79"/>
      <c r="BO18" s="80" t="n">
        <f aca="false">SUM(F18,K18,P18,U18,Z18,AE18,AJ18,AO18,AT18,AY18,BD18,BI18)</f>
        <v>1365000</v>
      </c>
      <c r="BP18" s="81" t="n">
        <f aca="false">SUM(G18,L18,Q18,V18,AA18,AF18,AK18,AP18,AU18,AZ18,BE18,BJ18)</f>
        <v>105461</v>
      </c>
      <c r="BQ18" s="81" t="n">
        <f aca="false">SUM(H18,M18,R18,W18,AB18,AG18,AL18,AQ18,AV18,BA18,BF18,BK18)</f>
        <v>101097</v>
      </c>
      <c r="BR18" s="81" t="n">
        <f aca="false">SUM(I18,N18,S18,X18,AC18,AH18,AM18,AR18,AW18,BB18,BG18,BL18)</f>
        <v>96031.2040625</v>
      </c>
      <c r="BS18" s="82" t="n">
        <f aca="false">SUM(J18,O18,T18,Y18,AD18,AI18,AN18,AS18,AX18,BC18,BH18,BM18)</f>
        <v>33000</v>
      </c>
      <c r="BT18" s="83" t="n">
        <f aca="false">BO18+BP18+BQ18+BS18</f>
        <v>1604558</v>
      </c>
      <c r="BU18" s="80" t="n">
        <f aca="false">BT18-BS18-$BX$9-BP18</f>
        <v>1436097</v>
      </c>
      <c r="BV18" s="80" t="n">
        <f aca="false">BU18-BX18-BY18</f>
        <v>1032815.45454545</v>
      </c>
      <c r="BW18" s="80" t="n">
        <f aca="false">BV18/12</f>
        <v>86067.9545454545</v>
      </c>
      <c r="BX18" s="81" t="n">
        <f aca="false">IF(BU18/16*5&lt;300000,BU18/16*5,300000)</f>
        <v>300000</v>
      </c>
      <c r="BY18" s="81" t="n">
        <f aca="false">IF((BU18-BX18)/11&lt;120000,(BU18-BX18)/11,120000)</f>
        <v>103281.545454545</v>
      </c>
      <c r="BZ18" s="81" t="n">
        <f aca="false">BT18-BX18-BY18-$BX$9</f>
        <v>1171276.45454545</v>
      </c>
      <c r="CA18" s="80" t="n">
        <f aca="false">BZ18*$BZ$12</f>
        <v>292819.113636364</v>
      </c>
      <c r="CB18" s="84" t="n">
        <v>482820</v>
      </c>
      <c r="CC18" s="85" t="n">
        <f aca="false">MIN(CA18:CB18)</f>
        <v>292819.113636364</v>
      </c>
      <c r="CD18" s="85" t="n">
        <f aca="false">IF(CC18&lt;=250000,CC18*0.15,((CC18-250000)*0.12+250000*0.15))</f>
        <v>42638.2936363636</v>
      </c>
      <c r="CE18" s="84"/>
      <c r="CF18" s="86" t="n">
        <f aca="false">IF(BZ18-$BP$5&gt;0,(BZ18-$BP$5)*$BS$6,0)+IF(BZ18-$BP$4&gt;0,IF((BZ18-$BP$4)&gt;$BR$5,$BU$5,(BZ18-$BP$4)*$BS$5),0)+IF(BZ18-$BP$3&gt;0,IF((BZ18-$BP$3)&gt;$BR$4,$BU$4,(BZ18-$BP$3)*$BS$4),0)+IF(BZ18-$BP$2&gt;0,IF((BZ18-$BP$2)&gt;$BR$3,$BU$3,(BZ18-$BP$2)*$BS$3),0)-CD18-CE18</f>
        <v>76616.9972727273</v>
      </c>
      <c r="CG18" s="86" t="n">
        <f aca="false">IF(CF18&lt;=0,0,IF(CF18&lt;=5000,5000,CF18))</f>
        <v>76616.9972727273</v>
      </c>
      <c r="CH18" s="86" t="n">
        <f aca="false">(CF18-BR18)/$CH$13</f>
        <v>-19414.2067897727</v>
      </c>
      <c r="CI18" s="87"/>
      <c r="CJ18" s="88" t="n">
        <v>74133</v>
      </c>
      <c r="CN18" s="88"/>
      <c r="CO18" s="88"/>
    </row>
    <row r="19" s="67" customFormat="true" ht="15.75" hidden="false" customHeight="false" outlineLevel="0" collapsed="false">
      <c r="A19" s="45" t="s">
        <v>59</v>
      </c>
      <c r="B19" s="46" t="s">
        <v>54</v>
      </c>
      <c r="C19" s="47" t="n">
        <v>42552</v>
      </c>
      <c r="D19" s="47" t="n">
        <v>42916</v>
      </c>
      <c r="E19" s="48"/>
      <c r="F19" s="49" t="n">
        <v>25000</v>
      </c>
      <c r="G19" s="49"/>
      <c r="H19" s="49"/>
      <c r="I19" s="49"/>
      <c r="J19" s="50"/>
      <c r="K19" s="49" t="n">
        <f aca="false">F19</f>
        <v>25000</v>
      </c>
      <c r="L19" s="49" t="n">
        <v>6657</v>
      </c>
      <c r="M19" s="49"/>
      <c r="N19" s="49"/>
      <c r="O19" s="50" t="n">
        <f aca="false">J19</f>
        <v>0</v>
      </c>
      <c r="P19" s="51" t="n">
        <f aca="false">K19</f>
        <v>25000</v>
      </c>
      <c r="Q19" s="49"/>
      <c r="R19" s="49"/>
      <c r="S19" s="49" t="n">
        <v>0</v>
      </c>
      <c r="T19" s="50"/>
      <c r="U19" s="51" t="n">
        <f aca="false">P19</f>
        <v>25000</v>
      </c>
      <c r="V19" s="49"/>
      <c r="W19" s="49"/>
      <c r="X19" s="53"/>
      <c r="Y19" s="50" t="n">
        <f aca="false">T19</f>
        <v>0</v>
      </c>
      <c r="Z19" s="51" t="n">
        <f aca="false">U19</f>
        <v>25000</v>
      </c>
      <c r="AA19" s="49"/>
      <c r="AB19" s="49"/>
      <c r="AC19" s="53" t="n">
        <v>0</v>
      </c>
      <c r="AD19" s="50" t="n">
        <f aca="false">Y19</f>
        <v>0</v>
      </c>
      <c r="AE19" s="51" t="n">
        <f aca="false">Z19</f>
        <v>25000</v>
      </c>
      <c r="AF19" s="49"/>
      <c r="AG19" s="49"/>
      <c r="AH19" s="49" t="n">
        <v>0</v>
      </c>
      <c r="AI19" s="50" t="n">
        <f aca="false">AD19</f>
        <v>0</v>
      </c>
      <c r="AJ19" s="51" t="n">
        <v>30000</v>
      </c>
      <c r="AK19" s="49"/>
      <c r="AL19" s="49"/>
      <c r="AM19" s="53" t="n">
        <v>0</v>
      </c>
      <c r="AN19" s="50"/>
      <c r="AO19" s="49" t="n">
        <f aca="false">AJ19</f>
        <v>30000</v>
      </c>
      <c r="AP19" s="49"/>
      <c r="AQ19" s="49"/>
      <c r="AR19" s="49" t="n">
        <v>0</v>
      </c>
      <c r="AS19" s="50"/>
      <c r="AT19" s="49" t="n">
        <f aca="false">AO19</f>
        <v>30000</v>
      </c>
      <c r="AU19" s="49"/>
      <c r="AV19" s="49"/>
      <c r="AW19" s="53" t="n">
        <v>0</v>
      </c>
      <c r="AX19" s="50"/>
      <c r="AY19" s="49" t="n">
        <f aca="false">AT19</f>
        <v>30000</v>
      </c>
      <c r="AZ19" s="49"/>
      <c r="BA19" s="55"/>
      <c r="BB19" s="53" t="n">
        <v>0</v>
      </c>
      <c r="BC19" s="50"/>
      <c r="BD19" s="49" t="n">
        <f aca="false">AY19</f>
        <v>30000</v>
      </c>
      <c r="BE19" s="49"/>
      <c r="BF19" s="55"/>
      <c r="BG19" s="53" t="n">
        <v>0</v>
      </c>
      <c r="BH19" s="50"/>
      <c r="BI19" s="49" t="n">
        <f aca="false">BD19</f>
        <v>30000</v>
      </c>
      <c r="BJ19" s="56" t="n">
        <v>7458</v>
      </c>
      <c r="BK19" s="49"/>
      <c r="BL19" s="49"/>
      <c r="BM19" s="50"/>
      <c r="BN19" s="68"/>
      <c r="BO19" s="58" t="n">
        <f aca="false">SUM(F19,K19,P19,U19,Z19,AE19,AJ19,AO19,AT19,AY19,BD19,BI19)</f>
        <v>330000</v>
      </c>
      <c r="BP19" s="59" t="n">
        <f aca="false">SUM(G19,L19,Q19,V19,AA19,AF19,AK19,AP19,AU19,AZ19,BE19,BJ19)</f>
        <v>14115</v>
      </c>
      <c r="BQ19" s="59" t="n">
        <f aca="false">SUM(H19,M19,R19,W19,AB19,AG19,AL19,AQ19,AV19,BA19,BF19,BK19)</f>
        <v>0</v>
      </c>
      <c r="BR19" s="59" t="n">
        <f aca="false">SUM(I19,N19,S19,X19,AC19,AH19,AM19,AR19,AW19,BB19,BG19,BL19)</f>
        <v>0</v>
      </c>
      <c r="BS19" s="60" t="n">
        <f aca="false">SUM(J19,O19,T19,Y19,AD19,AI19,AN19,AS19,AX19,BC19,BH19,BM19)</f>
        <v>0</v>
      </c>
      <c r="BT19" s="61" t="n">
        <f aca="false">BO19+BP19+BQ19+BS19</f>
        <v>344115</v>
      </c>
      <c r="BU19" s="58" t="n">
        <f aca="false">BT19-BS19-$BX$9-BP19</f>
        <v>300000</v>
      </c>
      <c r="BV19" s="58" t="n">
        <f aca="false">BU19-BX19-BY19</f>
        <v>187500</v>
      </c>
      <c r="BW19" s="58" t="n">
        <f aca="false">BV19/12</f>
        <v>15625</v>
      </c>
      <c r="BX19" s="59" t="n">
        <f aca="false">IF(BU19/16*5&lt;300000,BU19/16*5,300000)</f>
        <v>93750</v>
      </c>
      <c r="BY19" s="59" t="n">
        <f aca="false">IF((BU19-BX19)/11&lt;120000,(BU19-BX19)/11,120000)</f>
        <v>18750</v>
      </c>
      <c r="BZ19" s="59" t="n">
        <f aca="false">BT19-BX19-BY19-$BX$9</f>
        <v>201615</v>
      </c>
      <c r="CA19" s="58" t="n">
        <f aca="false">BZ19*$BZ$12</f>
        <v>50403.75</v>
      </c>
      <c r="CB19" s="62" t="n">
        <v>0</v>
      </c>
      <c r="CC19" s="63" t="n">
        <f aca="false">MIN(CA19:CB19)</f>
        <v>0</v>
      </c>
      <c r="CD19" s="63" t="n">
        <f aca="false">IF(CC19&lt;=250000,CC19*0.15,((CC19-250000)*0.12+250000*0.15))</f>
        <v>0</v>
      </c>
      <c r="CE19" s="62"/>
      <c r="CF19" s="64" t="n">
        <f aca="false">IF(BZ19-$BP$5&gt;0,(BZ19-$BP$5)*$BS$6,0)+IF(BZ19-$BP$4&gt;0,IF((BZ19-$BP$4)&gt;$BR$5,$BU$5,(BZ19-$BP$4)*$BS$5),0)+IF(BZ19-$BP$3&gt;0,IF((BZ19-$BP$3)&gt;$BR$4,$BU$4,(BZ19-$BP$3)*$BS$4),0)+IF(BZ19-$BP$2&gt;0,IF((BZ19-$BP$2)&gt;$BR$3,$BU$3,(BZ19-$BP$2)*$BS$3),0)-CD19-CE19</f>
        <v>0</v>
      </c>
      <c r="CG19" s="64" t="n">
        <f aca="false">IF(CF19&lt;=0,0,IF(CF19&lt;=5000,5000,CF19))</f>
        <v>0</v>
      </c>
      <c r="CH19" s="64" t="n">
        <f aca="false">(CF19-BR19)/$CH$13</f>
        <v>0</v>
      </c>
      <c r="CI19" s="65"/>
      <c r="CJ19" s="66" t="n">
        <v>0</v>
      </c>
      <c r="CN19" s="66"/>
      <c r="CO19" s="66"/>
    </row>
    <row r="20" s="1" customFormat="true" ht="15" hidden="false" customHeight="false" outlineLevel="0" collapsed="false">
      <c r="A20" s="67"/>
      <c r="F20" s="90"/>
      <c r="G20" s="90"/>
      <c r="H20" s="90"/>
      <c r="I20" s="90"/>
      <c r="J20" s="90"/>
      <c r="AJ20" s="67"/>
      <c r="AN20" s="91"/>
      <c r="AO20" s="90"/>
      <c r="AP20" s="90"/>
      <c r="AQ20" s="90"/>
      <c r="AR20" s="90"/>
      <c r="AS20" s="91"/>
      <c r="CH20" s="1" t="n">
        <f aca="false">SUM(CH15:CH19)</f>
        <v>-20812.2683238636</v>
      </c>
      <c r="CN20" s="11"/>
      <c r="CO20" s="11"/>
    </row>
    <row r="21" customFormat="false" ht="15" hidden="false" customHeight="false" outlineLevel="0" collapsed="false">
      <c r="A21" s="1" t="s">
        <v>14</v>
      </c>
      <c r="B21" s="1"/>
      <c r="C21" s="1"/>
      <c r="D21" s="1"/>
      <c r="E21" s="1"/>
      <c r="F21" s="90" t="n">
        <f aca="false">SUM(F15:F20)</f>
        <v>375000</v>
      </c>
      <c r="G21" s="90" t="n">
        <f aca="false">SUM(G15:G20)</f>
        <v>0</v>
      </c>
      <c r="H21" s="90" t="n">
        <f aca="false">SUM(H15:H20)</f>
        <v>97194</v>
      </c>
      <c r="I21" s="90" t="n">
        <f aca="false">SUM(I15:I20)</f>
        <v>17815</v>
      </c>
      <c r="J21" s="90" t="n">
        <f aca="false">SUM(J15:J20)</f>
        <v>17500</v>
      </c>
      <c r="K21" s="90" t="n">
        <f aca="false">SUM(K15:K20)</f>
        <v>375000</v>
      </c>
      <c r="L21" s="90" t="n">
        <f aca="false">SUM(L15:L20)</f>
        <v>170716</v>
      </c>
      <c r="M21" s="90" t="n">
        <f aca="false">SUM(M15:M20)</f>
        <v>0</v>
      </c>
      <c r="N21" s="90" t="n">
        <f aca="false">SUM(N15:N20)</f>
        <v>19675</v>
      </c>
      <c r="O21" s="90" t="n">
        <f aca="false">SUM(O15:O20)</f>
        <v>17500</v>
      </c>
      <c r="P21" s="90" t="n">
        <f aca="false">SUM(P15:P20)</f>
        <v>375000</v>
      </c>
      <c r="Q21" s="90" t="n">
        <f aca="false">SUM(Q15:Q20)</f>
        <v>0</v>
      </c>
      <c r="R21" s="90" t="n">
        <f aca="false">SUM(R15:R20)</f>
        <v>0</v>
      </c>
      <c r="S21" s="90" t="n">
        <f aca="false">SUM(S15:S20)</f>
        <v>19675</v>
      </c>
      <c r="T21" s="90" t="n">
        <f aca="false">SUM(T15:T20)</f>
        <v>17500</v>
      </c>
      <c r="U21" s="90" t="n">
        <f aca="false">SUM(U15:U20)</f>
        <v>375000</v>
      </c>
      <c r="V21" s="90" t="n">
        <f aca="false">SUM(V15:V20)</f>
        <v>0</v>
      </c>
      <c r="W21" s="90" t="n">
        <f aca="false">SUM(W15:W20)</f>
        <v>71276</v>
      </c>
      <c r="X21" s="90" t="n">
        <f aca="false">SUM(X15:X20)</f>
        <v>19675</v>
      </c>
      <c r="Y21" s="90" t="n">
        <f aca="false">SUM(Y15:Y20)</f>
        <v>17500</v>
      </c>
      <c r="Z21" s="90" t="n">
        <f aca="false">SUM(Z15:Z20)</f>
        <v>375000</v>
      </c>
      <c r="AA21" s="90" t="n">
        <f aca="false">SUM(AA15:AA20)</f>
        <v>0</v>
      </c>
      <c r="AB21" s="90" t="n">
        <f aca="false">SUM(AB15:AB20)</f>
        <v>0</v>
      </c>
      <c r="AC21" s="90" t="n">
        <f aca="false">SUM(AC15:AC20)</f>
        <v>19851</v>
      </c>
      <c r="AD21" s="90" t="n">
        <f aca="false">SUM(AD15:AD20)</f>
        <v>17500</v>
      </c>
      <c r="AE21" s="90" t="n">
        <f aca="false">SUM(AE15:AE20)</f>
        <v>375000</v>
      </c>
      <c r="AF21" s="90" t="n">
        <f aca="false">SUM(AF15:AF20)</f>
        <v>0</v>
      </c>
      <c r="AG21" s="90" t="n">
        <f aca="false">SUM(AG15:AG20)</f>
        <v>0</v>
      </c>
      <c r="AH21" s="90" t="n">
        <f aca="false">SUM(AH15:AH20)</f>
        <v>19851</v>
      </c>
      <c r="AI21" s="90" t="n">
        <f aca="false">SUM(AI15:AI20)</f>
        <v>17500</v>
      </c>
      <c r="AJ21" s="90" t="n">
        <f aca="false">SUM(AJ15:AJ20)</f>
        <v>420000</v>
      </c>
      <c r="AK21" s="90" t="n">
        <f aca="false">SUM(AK15:AK20)</f>
        <v>0</v>
      </c>
      <c r="AL21" s="90" t="n">
        <f aca="false">SUM(AL15:AL19)</f>
        <v>95402</v>
      </c>
      <c r="AM21" s="90" t="n">
        <f aca="false">SUM(AM15:AM20)</f>
        <v>23334</v>
      </c>
      <c r="AN21" s="90" t="n">
        <f aca="false">SUM(AN15:AN20)</f>
        <v>0</v>
      </c>
      <c r="AO21" s="90" t="n">
        <f aca="false">SUM(AO15:AO20)</f>
        <v>411000</v>
      </c>
      <c r="AP21" s="90" t="n">
        <f aca="false">SUM(AP15:AP20)</f>
        <v>0</v>
      </c>
      <c r="AQ21" s="90" t="n">
        <f aca="false">SUM(AQ15:AQ20)</f>
        <v>0</v>
      </c>
      <c r="AR21" s="90" t="n">
        <f aca="false">SUM(AR15:AR20)</f>
        <v>22534</v>
      </c>
      <c r="AS21" s="90" t="n">
        <f aca="false">SUM(AS15:AS20)</f>
        <v>0</v>
      </c>
      <c r="AT21" s="90" t="n">
        <f aca="false">SUM(AT15:AT20)</f>
        <v>411000</v>
      </c>
      <c r="AU21" s="90" t="n">
        <f aca="false">SUM(AU15:AU20)</f>
        <v>0</v>
      </c>
      <c r="AV21" s="90" t="n">
        <f aca="false">SUM(AV15:AV20)</f>
        <v>0</v>
      </c>
      <c r="AW21" s="90" t="n">
        <f aca="false">SUM(AW15:AW20)</f>
        <v>22797</v>
      </c>
      <c r="AX21" s="90" t="n">
        <f aca="false">SUM(AX15:AX20)</f>
        <v>0</v>
      </c>
      <c r="AY21" s="90" t="n">
        <f aca="false">SUM(AY15:AY20)</f>
        <v>411000</v>
      </c>
      <c r="AZ21" s="90" t="n">
        <f aca="false">SUM(AZ15:AZ20)</f>
        <v>0</v>
      </c>
      <c r="BA21" s="90" t="n">
        <f aca="false">SUM(BA15:BA20)</f>
        <v>76736</v>
      </c>
      <c r="BB21" s="90" t="n">
        <f aca="false">SUM(BB15:BB20)</f>
        <v>22326</v>
      </c>
      <c r="BC21" s="90" t="n">
        <f aca="false">SUM(BC15:BC20)</f>
        <v>0</v>
      </c>
      <c r="BD21" s="90" t="n">
        <f aca="false">SUM(BD15:BD20)</f>
        <v>411000</v>
      </c>
      <c r="BE21" s="90" t="n">
        <f aca="false">SUM(BE15:BE20)</f>
        <v>0</v>
      </c>
      <c r="BF21" s="90" t="n">
        <f aca="false">SUM(BF15:BF20)</f>
        <v>0</v>
      </c>
      <c r="BG21" s="90" t="n">
        <f aca="false">SUM(BG15:BG20)</f>
        <v>31759.6434375</v>
      </c>
      <c r="BH21" s="90" t="n">
        <f aca="false">SUM(BH15:BH20)</f>
        <v>0</v>
      </c>
      <c r="BI21" s="90" t="n">
        <f aca="false">SUM(BI15:BI20)</f>
        <v>411000</v>
      </c>
      <c r="BJ21" s="90" t="n">
        <f aca="false">SUM(BJ15:BJ20)</f>
        <v>182330</v>
      </c>
      <c r="BK21" s="90" t="n">
        <f aca="false">SUM(BK15:BK20)</f>
        <v>0</v>
      </c>
      <c r="BL21" s="90" t="n">
        <f aca="false">SUM(BL15:BL20)</f>
        <v>0</v>
      </c>
      <c r="BM21" s="90" t="n">
        <f aca="false">SUM(BM15:BM20)</f>
        <v>0</v>
      </c>
      <c r="CN21" s="11"/>
      <c r="CO21" s="11"/>
    </row>
  </sheetData>
  <mergeCells count="15">
    <mergeCell ref="BP1:BU1"/>
    <mergeCell ref="F13:J13"/>
    <mergeCell ref="K13:O13"/>
    <mergeCell ref="P13:T13"/>
    <mergeCell ref="U13:Y13"/>
    <mergeCell ref="Z13:AD13"/>
    <mergeCell ref="AE13:AI13"/>
    <mergeCell ref="AJ13:AN13"/>
    <mergeCell ref="AO13:AS13"/>
    <mergeCell ref="AT13:AX13"/>
    <mergeCell ref="AY13:BC13"/>
    <mergeCell ref="BD13:BH13"/>
    <mergeCell ref="BI13:BM13"/>
    <mergeCell ref="BO13:BS13"/>
    <mergeCell ref="BU13:BY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LibreOffice/5.1.6.2$Linux_X86_64 LibreOffice_project/10m0$Build-2</Application>
  <Company>diakov.net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2018-10-02T11:28:37Z</dcterms:created>
  <dc:creator>RePack by Diakov</dc:creator>
  <dc:description/>
  <dc:language>en-US</dc:language>
  <cp:lastModifiedBy/>
  <dcterms:modified xsi:type="dcterms:W3CDTF">2018-10-29T13:36:48Z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diakov.net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