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345" windowWidth="23475" windowHeight="13605"/>
  </bookViews>
  <sheets>
    <sheet name="Sheet1" sheetId="1" r:id="rId1"/>
    <sheet name="Sheet2" sheetId="2" r:id="rId2"/>
    <sheet name="Sheet3" sheetId="3" r:id="rId3"/>
    <sheet name="DV-IDENTITY-0" sheetId="4" state="veryHidden" r:id="rId4"/>
  </sheets>
  <calcPr calcId="145621"/>
</workbook>
</file>

<file path=xl/calcChain.xml><?xml version="1.0" encoding="utf-8"?>
<calcChain xmlns="http://schemas.openxmlformats.org/spreadsheetml/2006/main">
  <c r="A2" i="4" l="1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BU2" i="4"/>
  <c r="BV2" i="4"/>
  <c r="BW2" i="4"/>
  <c r="BX2" i="4"/>
  <c r="BY2" i="4"/>
  <c r="BZ2" i="4"/>
  <c r="CA2" i="4"/>
  <c r="CB2" i="4"/>
  <c r="CC2" i="4"/>
  <c r="CD2" i="4"/>
  <c r="CE2" i="4"/>
  <c r="CF2" i="4"/>
  <c r="CG2" i="4"/>
  <c r="CH2" i="4"/>
  <c r="CI2" i="4"/>
  <c r="CJ2" i="4"/>
  <c r="CK2" i="4"/>
  <c r="CL2" i="4"/>
  <c r="CM2" i="4"/>
  <c r="CN2" i="4"/>
  <c r="CO2" i="4"/>
  <c r="CP2" i="4"/>
  <c r="CQ2" i="4"/>
  <c r="CR2" i="4"/>
  <c r="CS2" i="4"/>
  <c r="CT2" i="4"/>
  <c r="CU2" i="4"/>
  <c r="CV2" i="4"/>
  <c r="CW2" i="4"/>
  <c r="CX2" i="4"/>
  <c r="CY2" i="4"/>
  <c r="CZ2" i="4"/>
  <c r="DA2" i="4"/>
  <c r="DB2" i="4"/>
  <c r="DC2" i="4"/>
  <c r="DD2" i="4"/>
  <c r="DE2" i="4"/>
  <c r="DF2" i="4"/>
  <c r="DG2" i="4"/>
  <c r="DH2" i="4"/>
  <c r="DI2" i="4"/>
  <c r="DJ2" i="4"/>
  <c r="DK2" i="4"/>
  <c r="DL2" i="4"/>
  <c r="DM2" i="4"/>
  <c r="DN2" i="4"/>
  <c r="DO2" i="4"/>
  <c r="DP2" i="4"/>
  <c r="DQ2" i="4"/>
  <c r="DR2" i="4"/>
  <c r="DS2" i="4"/>
  <c r="DT2" i="4"/>
  <c r="DU2" i="4"/>
  <c r="DV2" i="4"/>
  <c r="DW2" i="4"/>
  <c r="DX2" i="4"/>
  <c r="DY2" i="4"/>
  <c r="DZ2" i="4"/>
  <c r="EA2" i="4"/>
  <c r="EB2" i="4"/>
  <c r="EC2" i="4"/>
  <c r="ED2" i="4"/>
  <c r="EE2" i="4"/>
  <c r="EF2" i="4"/>
  <c r="EG2" i="4"/>
  <c r="EH2" i="4"/>
  <c r="EI2" i="4"/>
  <c r="EJ2" i="4"/>
  <c r="EK2" i="4"/>
  <c r="EL2" i="4"/>
  <c r="EM2" i="4"/>
  <c r="EN2" i="4"/>
  <c r="EO2" i="4"/>
  <c r="EP2" i="4"/>
  <c r="EQ2" i="4"/>
  <c r="ER2" i="4"/>
  <c r="ES2" i="4"/>
  <c r="ET2" i="4"/>
  <c r="EU2" i="4"/>
  <c r="EV2" i="4"/>
  <c r="EW2" i="4"/>
  <c r="EX2" i="4"/>
  <c r="EY2" i="4"/>
  <c r="EZ2" i="4"/>
  <c r="FA2" i="4"/>
  <c r="FB2" i="4"/>
  <c r="FC2" i="4"/>
  <c r="FD2" i="4"/>
  <c r="FE2" i="4"/>
  <c r="FF2" i="4"/>
  <c r="FG2" i="4"/>
  <c r="FH2" i="4"/>
  <c r="FI2" i="4"/>
  <c r="FJ2" i="4"/>
  <c r="FK2" i="4"/>
  <c r="FL2" i="4"/>
  <c r="FM2" i="4"/>
  <c r="FN2" i="4"/>
  <c r="FO2" i="4"/>
  <c r="FP2" i="4"/>
  <c r="FQ2" i="4"/>
  <c r="FR2" i="4"/>
  <c r="FS2" i="4"/>
  <c r="FT2" i="4"/>
  <c r="FU2" i="4"/>
  <c r="FV2" i="4"/>
  <c r="FW2" i="4"/>
  <c r="FX2" i="4"/>
  <c r="FY2" i="4"/>
  <c r="FZ2" i="4"/>
  <c r="GA2" i="4"/>
  <c r="GB2" i="4"/>
  <c r="GC2" i="4"/>
  <c r="GD2" i="4"/>
  <c r="GE2" i="4"/>
  <c r="GF2" i="4"/>
  <c r="GG2" i="4"/>
  <c r="GH2" i="4"/>
  <c r="GI2" i="4"/>
  <c r="GJ2" i="4"/>
  <c r="GK2" i="4"/>
  <c r="GL2" i="4"/>
  <c r="GM2" i="4"/>
  <c r="GN2" i="4"/>
  <c r="GO2" i="4"/>
  <c r="GP2" i="4"/>
  <c r="GQ2" i="4"/>
  <c r="GR2" i="4"/>
  <c r="GS2" i="4"/>
  <c r="GT2" i="4"/>
  <c r="GU2" i="4"/>
  <c r="GV2" i="4"/>
  <c r="GW2" i="4"/>
  <c r="GX2" i="4"/>
  <c r="GY2" i="4"/>
  <c r="GZ2" i="4"/>
  <c r="HA2" i="4"/>
  <c r="HB2" i="4"/>
  <c r="HC2" i="4"/>
  <c r="HD2" i="4"/>
  <c r="HE2" i="4"/>
  <c r="HF2" i="4"/>
  <c r="HG2" i="4"/>
  <c r="HH2" i="4"/>
  <c r="HI2" i="4"/>
  <c r="HJ2" i="4"/>
  <c r="HK2" i="4"/>
  <c r="HL2" i="4"/>
  <c r="HM2" i="4"/>
  <c r="A1" i="4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AM1" i="4"/>
  <c r="AN1" i="4"/>
  <c r="AO1" i="4"/>
  <c r="AP1" i="4"/>
  <c r="AQ1" i="4"/>
  <c r="AR1" i="4"/>
  <c r="AS1" i="4"/>
  <c r="AT1" i="4"/>
  <c r="AU1" i="4"/>
  <c r="AV1" i="4"/>
  <c r="AW1" i="4"/>
  <c r="AX1" i="4"/>
  <c r="AY1" i="4"/>
  <c r="AZ1" i="4"/>
  <c r="BA1" i="4"/>
  <c r="BB1" i="4"/>
  <c r="BC1" i="4"/>
  <c r="BD1" i="4"/>
  <c r="BE1" i="4"/>
  <c r="BF1" i="4"/>
  <c r="BG1" i="4"/>
  <c r="BH1" i="4"/>
  <c r="BI1" i="4"/>
  <c r="BJ1" i="4"/>
  <c r="BK1" i="4"/>
  <c r="BL1" i="4"/>
  <c r="BM1" i="4"/>
  <c r="BN1" i="4"/>
  <c r="BO1" i="4"/>
  <c r="BP1" i="4"/>
  <c r="BQ1" i="4"/>
  <c r="BR1" i="4"/>
  <c r="BS1" i="4"/>
  <c r="BT1" i="4"/>
  <c r="BU1" i="4"/>
  <c r="BV1" i="4"/>
  <c r="BW1" i="4"/>
  <c r="BX1" i="4"/>
  <c r="BY1" i="4"/>
  <c r="BZ1" i="4"/>
  <c r="CA1" i="4"/>
  <c r="CB1" i="4"/>
  <c r="CC1" i="4"/>
  <c r="CD1" i="4"/>
  <c r="CE1" i="4"/>
  <c r="CF1" i="4"/>
  <c r="CG1" i="4"/>
  <c r="CH1" i="4"/>
  <c r="CI1" i="4"/>
  <c r="CJ1" i="4"/>
  <c r="CK1" i="4"/>
  <c r="CL1" i="4"/>
  <c r="CM1" i="4"/>
  <c r="CN1" i="4"/>
  <c r="CO1" i="4"/>
  <c r="CP1" i="4"/>
  <c r="CQ1" i="4"/>
  <c r="CR1" i="4"/>
  <c r="CS1" i="4"/>
  <c r="CT1" i="4"/>
  <c r="CU1" i="4"/>
  <c r="CV1" i="4"/>
  <c r="CW1" i="4"/>
  <c r="CX1" i="4"/>
  <c r="CY1" i="4"/>
  <c r="CZ1" i="4"/>
  <c r="DA1" i="4"/>
  <c r="DB1" i="4"/>
  <c r="DC1" i="4"/>
  <c r="DD1" i="4"/>
  <c r="DE1" i="4"/>
  <c r="DF1" i="4"/>
  <c r="DG1" i="4"/>
  <c r="DH1" i="4"/>
  <c r="DI1" i="4"/>
  <c r="DJ1" i="4"/>
  <c r="DK1" i="4"/>
  <c r="DL1" i="4"/>
  <c r="DM1" i="4"/>
  <c r="DN1" i="4"/>
  <c r="DO1" i="4"/>
  <c r="DP1" i="4"/>
  <c r="DQ1" i="4"/>
  <c r="DR1" i="4"/>
  <c r="DS1" i="4"/>
  <c r="DT1" i="4"/>
  <c r="DU1" i="4"/>
  <c r="DV1" i="4"/>
  <c r="DW1" i="4"/>
  <c r="DX1" i="4"/>
  <c r="DY1" i="4"/>
  <c r="DZ1" i="4"/>
  <c r="EA1" i="4"/>
  <c r="EB1" i="4"/>
  <c r="EC1" i="4"/>
  <c r="ED1" i="4"/>
  <c r="EE1" i="4"/>
  <c r="EF1" i="4"/>
  <c r="EG1" i="4"/>
  <c r="EH1" i="4"/>
  <c r="EI1" i="4"/>
  <c r="EJ1" i="4"/>
  <c r="EK1" i="4"/>
  <c r="EL1" i="4"/>
  <c r="EM1" i="4"/>
  <c r="EN1" i="4"/>
  <c r="EO1" i="4"/>
  <c r="EP1" i="4"/>
  <c r="EQ1" i="4"/>
  <c r="ER1" i="4"/>
  <c r="ES1" i="4"/>
  <c r="ET1" i="4"/>
  <c r="EU1" i="4"/>
  <c r="EV1" i="4"/>
  <c r="EW1" i="4"/>
  <c r="EX1" i="4"/>
  <c r="EY1" i="4"/>
  <c r="EZ1" i="4"/>
  <c r="FA1" i="4"/>
  <c r="FB1" i="4"/>
  <c r="FC1" i="4"/>
  <c r="FD1" i="4"/>
  <c r="FE1" i="4"/>
  <c r="FF1" i="4"/>
  <c r="FG1" i="4"/>
  <c r="FH1" i="4"/>
  <c r="FI1" i="4"/>
  <c r="FJ1" i="4"/>
  <c r="FK1" i="4"/>
  <c r="FL1" i="4"/>
  <c r="FM1" i="4"/>
  <c r="FN1" i="4"/>
  <c r="FO1" i="4"/>
  <c r="FP1" i="4"/>
  <c r="FQ1" i="4"/>
  <c r="FR1" i="4"/>
  <c r="FS1" i="4"/>
  <c r="FT1" i="4"/>
  <c r="FU1" i="4"/>
  <c r="FV1" i="4"/>
  <c r="FW1" i="4"/>
  <c r="FX1" i="4"/>
  <c r="FY1" i="4"/>
  <c r="FZ1" i="4"/>
  <c r="GA1" i="4"/>
  <c r="GB1" i="4"/>
  <c r="GC1" i="4"/>
  <c r="GD1" i="4"/>
  <c r="GE1" i="4"/>
  <c r="GF1" i="4"/>
  <c r="GG1" i="4"/>
  <c r="GH1" i="4"/>
  <c r="GI1" i="4"/>
  <c r="GJ1" i="4"/>
  <c r="GK1" i="4"/>
  <c r="GL1" i="4"/>
  <c r="GM1" i="4"/>
  <c r="GN1" i="4"/>
  <c r="GO1" i="4"/>
  <c r="GP1" i="4"/>
  <c r="GQ1" i="4"/>
  <c r="GR1" i="4"/>
  <c r="GS1" i="4"/>
  <c r="GT1" i="4"/>
  <c r="GU1" i="4"/>
  <c r="GV1" i="4"/>
  <c r="GW1" i="4"/>
  <c r="GX1" i="4"/>
  <c r="GY1" i="4"/>
  <c r="GZ1" i="4"/>
  <c r="HA1" i="4"/>
  <c r="HB1" i="4"/>
  <c r="HC1" i="4"/>
  <c r="HD1" i="4"/>
  <c r="HE1" i="4"/>
  <c r="HF1" i="4"/>
  <c r="HG1" i="4"/>
  <c r="HH1" i="4"/>
  <c r="HI1" i="4"/>
  <c r="HJ1" i="4"/>
  <c r="HK1" i="4"/>
  <c r="HL1" i="4"/>
  <c r="HM1" i="4"/>
  <c r="HN1" i="4"/>
  <c r="HO1" i="4"/>
  <c r="HP1" i="4"/>
  <c r="HQ1" i="4"/>
  <c r="HR1" i="4"/>
  <c r="HS1" i="4"/>
  <c r="HT1" i="4"/>
  <c r="HU1" i="4"/>
  <c r="HV1" i="4"/>
  <c r="HW1" i="4"/>
  <c r="HX1" i="4"/>
  <c r="HY1" i="4"/>
  <c r="HZ1" i="4"/>
  <c r="IA1" i="4"/>
  <c r="IB1" i="4"/>
  <c r="IC1" i="4"/>
  <c r="ID1" i="4"/>
  <c r="IE1" i="4"/>
  <c r="IF1" i="4"/>
  <c r="IG1" i="4"/>
  <c r="IH1" i="4"/>
  <c r="II1" i="4"/>
  <c r="IJ1" i="4"/>
  <c r="IK1" i="4"/>
  <c r="IL1" i="4"/>
  <c r="IM1" i="4"/>
  <c r="IN1" i="4"/>
  <c r="IO1" i="4"/>
  <c r="IP1" i="4"/>
  <c r="IQ1" i="4"/>
  <c r="IR1" i="4"/>
  <c r="IS1" i="4"/>
  <c r="IT1" i="4"/>
  <c r="IU1" i="4"/>
  <c r="IV1" i="4"/>
  <c r="F32" i="1" l="1"/>
  <c r="F31" i="1"/>
  <c r="F30" i="1"/>
  <c r="F49" i="1"/>
  <c r="F24" i="1"/>
  <c r="F15" i="1" l="1"/>
  <c r="F16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7" i="1"/>
  <c r="F18" i="1"/>
  <c r="F19" i="1"/>
  <c r="F21" i="1"/>
  <c r="F22" i="1"/>
  <c r="F23" i="1"/>
  <c r="F25" i="1"/>
  <c r="F26" i="1"/>
  <c r="F27" i="1"/>
  <c r="F28" i="1"/>
  <c r="F29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50" i="1"/>
  <c r="F51" i="1"/>
  <c r="F52" i="1"/>
  <c r="F53" i="1"/>
  <c r="F54" i="1"/>
  <c r="F55" i="1"/>
  <c r="F56" i="1"/>
  <c r="F57" i="1"/>
  <c r="F58" i="1"/>
  <c r="F20" i="1"/>
</calcChain>
</file>

<file path=xl/sharedStrings.xml><?xml version="1.0" encoding="utf-8"?>
<sst xmlns="http://schemas.openxmlformats.org/spreadsheetml/2006/main" count="344" uniqueCount="251">
  <si>
    <t>中央線</t>
    <rPh sb="0" eb="3">
      <t>チュウオウセン</t>
    </rPh>
    <phoneticPr fontId="1"/>
  </si>
  <si>
    <t>東西線</t>
    <rPh sb="0" eb="3">
      <t>トウザイセン</t>
    </rPh>
    <phoneticPr fontId="1"/>
  </si>
  <si>
    <t>中央線 -RT</t>
    <rPh sb="0" eb="3">
      <t>チュウオウセン</t>
    </rPh>
    <phoneticPr fontId="1"/>
  </si>
  <si>
    <t>鉄道会社</t>
    <rPh sb="0" eb="2">
      <t>テツドウ</t>
    </rPh>
    <rPh sb="2" eb="4">
      <t>ガイシャ</t>
    </rPh>
    <phoneticPr fontId="1"/>
  </si>
  <si>
    <t>路線</t>
    <rPh sb="0" eb="2">
      <t>ロセン</t>
    </rPh>
    <phoneticPr fontId="1"/>
  </si>
  <si>
    <t>検索条件</t>
    <rPh sb="0" eb="2">
      <t>ケンサク</t>
    </rPh>
    <rPh sb="2" eb="4">
      <t>ジョウケン</t>
    </rPh>
    <phoneticPr fontId="1"/>
  </si>
  <si>
    <t>No</t>
    <phoneticPr fontId="1"/>
  </si>
  <si>
    <t>1-1</t>
    <phoneticPr fontId="1"/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</si>
  <si>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</si>
  <si>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</si>
  <si>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</si>
  <si>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</si>
  <si>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</si>
  <si>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</si>
  <si>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</si>
  <si>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</si>
  <si>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</si>
  <si>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</si>
  <si>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</si>
  <si>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</si>
  <si>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2-1</t>
    <phoneticPr fontId="1"/>
  </si>
  <si>
    <t>2-2</t>
  </si>
  <si>
    <t>2-3</t>
  </si>
  <si>
    <t>2-4</t>
  </si>
  <si>
    <t>2-5</t>
  </si>
  <si>
    <t>2-6</t>
  </si>
  <si>
    <t>2-7</t>
  </si>
  <si>
    <t>2-8</t>
  </si>
  <si>
    <t>3-1</t>
    <phoneticPr fontId="1"/>
  </si>
  <si>
    <t>3-2</t>
  </si>
  <si>
    <t>3-3</t>
  </si>
  <si>
    <t>3-4</t>
  </si>
  <si>
    <t>3-5</t>
  </si>
  <si>
    <t>3-6</t>
  </si>
  <si>
    <t>4-1</t>
    <phoneticPr fontId="1"/>
  </si>
  <si>
    <t>4-2</t>
  </si>
  <si>
    <t>4-3</t>
  </si>
  <si>
    <t>4-4</t>
  </si>
  <si>
    <t>4-5</t>
  </si>
  <si>
    <t>4-6</t>
  </si>
  <si>
    <t>JR</t>
    <phoneticPr fontId="1"/>
  </si>
  <si>
    <t>&lt;item&gt;1-1|JR|山手線|山手線 -RT|http://traininfo.jreast.co.jp/train_info/kanto.aspx&lt;/item&gt;</t>
  </si>
  <si>
    <t>&lt;item&gt;1-2|JR|京浜東北線|京浜東北 -RT|http://traininfo.jreast.co.jp/train_info/kanto.aspx&lt;/item&gt;</t>
  </si>
  <si>
    <t>&lt;item&gt;1-3|JR|総武線|総武線 OR 総武線快速 -RT|http://traininfo.jreast.co.jp/train_info/kanto.aspx&lt;/item&gt;</t>
  </si>
  <si>
    <t>&lt;item&gt;1-4|JR|中央線|中央線 -RT|http://traininfo.jreast.co.jp/train_info/kanto.aspx&lt;/item&gt;</t>
  </si>
  <si>
    <t>&lt;item&gt;1-5|JR|埼京線|埼京線 -RT|http://traininfo.jreast.co.jp/train_info/kanto.aspx&lt;/item&gt;</t>
  </si>
  <si>
    <t>&lt;item&gt;1-6|JR|常磐線|常磐線 OR 常磐快速線 -RT|http://traininfo.jreast.co.jp/train_info/kanto.aspx&lt;/item&gt;</t>
  </si>
  <si>
    <t>&lt;item&gt;1-7|JR|武蔵野線|武蔵野線 -RT|http://traininfo.jreast.co.jp/train_info/kanto.aspx&lt;/item&gt;</t>
  </si>
  <si>
    <t>&lt;item&gt;1-8|JR|宇都宮線|宇都宮線 -RT|http://traininfo.jreast.co.jp/train_info/kanto.aspx&lt;/item&gt;</t>
  </si>
  <si>
    <t>&lt;item&gt;1-9|JR|高崎線|高崎線 -RT|http://traininfo.jreast.co.jp/train_info/kanto.aspx&lt;/item&gt;</t>
  </si>
  <si>
    <t>&lt;item&gt;1-10|JR|京葉線|京葉線 -RT|http://traininfo.jreast.co.jp/train_info/kanto.aspx&lt;/item&gt;</t>
  </si>
  <si>
    <t>&lt;item&gt;1-11|JR|南武線|南武線 -RT|http://traininfo.jreast.co.jp/train_info/kanto.aspx&lt;/item&gt;</t>
  </si>
  <si>
    <t>&lt;item&gt;1-12|JR|東海道本線|東海道本線 OR 東海道線-RT|http://traininfo.jreast.co.jp/train_info/kanto.aspx&lt;/item&gt;</t>
  </si>
  <si>
    <t>&lt;item&gt;1-13|JR|川越線|川越線 -RT|http://traininfo.jreast.co.jp/train_info/kanto.aspx&lt;/item&gt;</t>
  </si>
  <si>
    <t>&lt;item&gt;2-1|東京メトロ|銀座線|銀座線 -RT|http://www.tokyometro.jp/unkou/&lt;/item&gt;</t>
  </si>
  <si>
    <t>&lt;item&gt;2-2|東京メトロ|丸ノ内線|丸ノ内線 -RT|http://www.tokyometro.jp/unkou/&lt;/item&gt;</t>
  </si>
  <si>
    <t>&lt;item&gt;2-3|東京メトロ|日比谷線|日比谷線 -RT|http://www.tokyometro.jp/unkou/&lt;/item&gt;</t>
  </si>
  <si>
    <t>&lt;item&gt;2-4|東京メトロ|東西線|東西線 -RT|http://www.tokyometro.jp/unkou/&lt;/item&gt;</t>
  </si>
  <si>
    <t>&lt;item&gt;2-5|東京メトロ|千代田線|千代田線 -RT|http://www.tokyometro.jp/unkou/&lt;/item&gt;</t>
  </si>
  <si>
    <t>&lt;item&gt;2-6|東京メトロ|有楽町線|有楽町線 -RT|http://www.tokyometro.jp/unkou/&lt;/item&gt;</t>
  </si>
  <si>
    <t>&lt;item&gt;2-7|東京メトロ|半蔵門線|半蔵門線 -RT|http://www.tokyometro.jp/unkou/&lt;/item&gt;</t>
  </si>
  <si>
    <t>&lt;item&gt;2-8|東京メトロ|南北線|南北線 -RT|http://www.tokyometro.jp/unkou/&lt;/item&gt;</t>
  </si>
  <si>
    <t>&lt;item&gt;3-1|都営線|大江戸線|大江戸線 -RT|http://www.kotsu.metro.tokyo.jp/subway/schedule/&lt;/item&gt;</t>
  </si>
  <si>
    <t>&lt;item&gt;3-2|都営線|浅草線|浅草線 -RT|http://www.kotsu.metro.tokyo.jp/subway/schedule/&lt;/item&gt;</t>
  </si>
  <si>
    <t>&lt;item&gt;3-3|都営線|三田線|三田線 -RT|http://www.kotsu.metro.tokyo.jp/subway/schedule/&lt;/item&gt;</t>
  </si>
  <si>
    <t>&lt;item&gt;3-4|都営線|新宿線|新宿線 -RT|http://www.kotsu.metro.tokyo.jp/subway/schedule/&lt;/item&gt;</t>
  </si>
  <si>
    <t>&lt;item&gt;3-5|都営線|都電荒川線|荒川線 -RT|http://www.kotsu.metro.tokyo.jp/subway/schedule/&lt;/item&gt;</t>
  </si>
  <si>
    <t>&lt;item&gt;4-1|西武鉄道|池袋線|池袋線 -RT|http://www.seibu-group.co.jp/railways/unten/unten.asp&lt;/item&gt;</t>
  </si>
  <si>
    <t>&lt;item&gt;4-2|西武鉄道|新宿線|新宿線 -RT|http://www.seibu-group.co.jp/railways/unten/unten.asp&lt;/item&gt;</t>
  </si>
  <si>
    <t>&lt;item&gt;4-3|西武鉄道|西武秩父線|西武秩父線 -RT|http://www.seibu-group.co.jp/railways/unten/unten.asp&lt;/item&gt;</t>
  </si>
  <si>
    <t>&lt;item&gt;4-4|西武鉄道|西武園線|西武園線 -RT|http://www.seibu-group.co.jp/railways/unten/unten.asp&lt;/item&gt;</t>
  </si>
  <si>
    <t>&lt;item&gt;4-5|西武鉄道|西武有楽町線|西武有楽町線 -RT|http://www.seibu-group.co.jp/railways/unten/unten.asp&lt;/item&gt;</t>
  </si>
  <si>
    <t>&lt;item&gt;4-6|西武鉄道|国分寺線|国分寺線-RT|http://www.seibu-group.co.jp/railways/unten/unten.asp&lt;/item&gt;</t>
  </si>
  <si>
    <t>&lt;item&gt;4-7|西武鉄道|豊島線|豊島線 -RT|http://www.seibu-group.co.jp/railways/unten/unten.asp&lt;/item&gt;</t>
  </si>
  <si>
    <t>&lt;item&gt;4-8|西武鉄道|拝島線|拝島線-RT|http://www.seibu-group.co.jp/railways/unten/unten.asp&lt;/item&gt;</t>
  </si>
  <si>
    <t>&lt;item&gt;4-9|西武鉄道|狭山線|狭山線 -RT|http://www.seibu-group.co.jp/railways/unten/unten.asp&lt;/item&gt;</t>
  </si>
  <si>
    <t>&lt;item&gt;4-10|西武鉄道|多摩湖線|多摩湖線 -RT|http://www.seibu-group.co.jp/railways/unten/unten.asp&lt;/item&gt;</t>
  </si>
  <si>
    <t>&lt;item&gt;4-11|西武鉄道|山口線|山口線 -RT|http://www.seibu-group.co.jp/railways/unten/unten.asp&lt;/item&gt;</t>
  </si>
  <si>
    <t>&lt;item&gt;4-12|西武鉄道|西武多摩川線|西武多摩川線-RT|http://www.seibu-group.co.jp/railways/unten/unten.asp&lt;/item&gt;</t>
  </si>
  <si>
    <t>&lt;item&gt;5-1|東武鉄道|東上線|東上線 -RT|http://tra-rep.tobu.jp/&lt;/item&gt;</t>
  </si>
  <si>
    <t>&lt;item&gt;5-2|東武鉄道|伊勢崎線|伊勢崎線 -RT|http://tra-rep.tobu.jp/&lt;/item&gt;</t>
  </si>
  <si>
    <t>&lt;item&gt;5-3|東武鉄道|野田線|野田線 -RT|http://tra-rep.tobu.jp/&lt;/item&gt;</t>
  </si>
  <si>
    <t>&lt;item&gt;5-4|東武鉄道|亀戸線|亀戸線 -RT|http://tra-rep.tobu.jp/&lt;/item&gt;</t>
  </si>
  <si>
    <t>&lt;item&gt;5-5|東武鉄道|日光線|日光線 -RT|http://tra-rep.tobu.jp/&lt;/item&gt;</t>
  </si>
  <si>
    <t>&lt;item&gt;5-6|東武鉄道|小泉線|小泉線 -RT|http://tra-rep.tobu.jp/&lt;/item&gt;</t>
  </si>
  <si>
    <t>&lt;item&gt;5-7|東武鉄道|桐生線|桐生線 -RT|http://tra-rep.tobu.jp/&lt;/item&gt;</t>
  </si>
  <si>
    <t>&lt;item&gt;5-8|東武鉄道|宇都宮線|東武宇都宮線 -RT|http://tra-rep.tobu.jp/&lt;/item&gt;</t>
  </si>
  <si>
    <t>&lt;item&gt;5-9|東武鉄道|鬼怒川線|鬼怒川線 -RT|http://tra-rep.tobu.jp/&lt;/item&gt;</t>
  </si>
  <si>
    <t>&lt;item&gt;5-10|東武鉄道|大師線|東武 AND 大師線 -RT|http://tra-rep.tobu.jp/&lt;/item&gt;</t>
  </si>
  <si>
    <t>&lt;item&gt;5-11|東武鉄道|佐野線|佐野線 -RT|http://tra-rep.tobu.jp/&lt;/item&gt;</t>
  </si>
  <si>
    <t>&lt;item&gt;5-12|東武鉄道|越生線|越生線 -RT|http://tra-rep.tobu.jp/&lt;/item&gt;</t>
  </si>
  <si>
    <t>1-15</t>
  </si>
  <si>
    <t>1-16</t>
  </si>
  <si>
    <t>&lt;item&gt;1-15|JR|内房線|内房線 -RT|http://traininfo.jreast.co.jp/train_info/kanto.aspx&lt;/item&gt;</t>
  </si>
  <si>
    <t>&lt;item&gt;1-16|JR|外房線|外房線 -RT|http://traininfo.jreast.co.jp/train_info/kanto.aspx&lt;/item&gt;</t>
  </si>
  <si>
    <t>大阪市営地下鉄</t>
    <rPh sb="0" eb="4">
      <t>オオサカシエイ</t>
    </rPh>
    <rPh sb="4" eb="7">
      <t>チカテツ</t>
    </rPh>
    <phoneticPr fontId="1"/>
  </si>
  <si>
    <t>御堂筋線</t>
    <rPh sb="0" eb="4">
      <t>ミドウスジセン</t>
    </rPh>
    <phoneticPr fontId="1"/>
  </si>
  <si>
    <t>谷町線</t>
    <rPh sb="0" eb="3">
      <t>タニマチセン</t>
    </rPh>
    <phoneticPr fontId="1"/>
  </si>
  <si>
    <t>御堂筋線 -RT</t>
    <rPh sb="0" eb="4">
      <t>ミドウスジセン</t>
    </rPh>
    <phoneticPr fontId="1"/>
  </si>
  <si>
    <t>谷町線 -RT</t>
    <phoneticPr fontId="1"/>
  </si>
  <si>
    <t>四つ橋線</t>
    <rPh sb="0" eb="1">
      <t>ヨ</t>
    </rPh>
    <rPh sb="2" eb="3">
      <t>ハシ</t>
    </rPh>
    <rPh sb="3" eb="4">
      <t>セン</t>
    </rPh>
    <phoneticPr fontId="1"/>
  </si>
  <si>
    <t>四つ橋線-RT</t>
    <rPh sb="0" eb="1">
      <t>ヨ</t>
    </rPh>
    <rPh sb="2" eb="4">
      <t>バシセン</t>
    </rPh>
    <phoneticPr fontId="1"/>
  </si>
  <si>
    <t>http://www.kotsu.city.osaka.jp/sub-info/main.pc.html</t>
    <phoneticPr fontId="1"/>
  </si>
  <si>
    <t>地下鉄中央線 -RT</t>
    <rPh sb="0" eb="3">
      <t>チカテツ</t>
    </rPh>
    <rPh sb="3" eb="6">
      <t>チュウオウセン</t>
    </rPh>
    <phoneticPr fontId="1"/>
  </si>
  <si>
    <t>千日前線</t>
    <rPh sb="0" eb="3">
      <t>センニチマエ</t>
    </rPh>
    <rPh sb="3" eb="4">
      <t>セン</t>
    </rPh>
    <phoneticPr fontId="1"/>
  </si>
  <si>
    <t>千日前線 -RT</t>
    <phoneticPr fontId="1"/>
  </si>
  <si>
    <t>堺筋線</t>
    <rPh sb="0" eb="3">
      <t>サカイスジセン</t>
    </rPh>
    <phoneticPr fontId="1"/>
  </si>
  <si>
    <t>堺筋線 -RT</t>
    <phoneticPr fontId="1"/>
  </si>
  <si>
    <t>長堀鶴見緑地線</t>
    <rPh sb="0" eb="2">
      <t>ナガホリ</t>
    </rPh>
    <rPh sb="2" eb="4">
      <t>ツルミ</t>
    </rPh>
    <rPh sb="4" eb="6">
      <t>リョクチ</t>
    </rPh>
    <rPh sb="6" eb="7">
      <t>セン</t>
    </rPh>
    <phoneticPr fontId="1"/>
  </si>
  <si>
    <t>長堀鶴見緑地線 -RT</t>
    <phoneticPr fontId="1"/>
  </si>
  <si>
    <t>南港ポートタウン線</t>
    <rPh sb="0" eb="2">
      <t>ナンコウ</t>
    </rPh>
    <rPh sb="8" eb="9">
      <t>セン</t>
    </rPh>
    <phoneticPr fontId="1"/>
  </si>
  <si>
    <t>南港ポートタウン線 -RT</t>
    <phoneticPr fontId="1"/>
  </si>
  <si>
    <t>2-9</t>
    <phoneticPr fontId="1"/>
  </si>
  <si>
    <t>今里筋線</t>
    <rPh sb="0" eb="4">
      <t>イマザトスジセン</t>
    </rPh>
    <phoneticPr fontId="1"/>
  </si>
  <si>
    <t>今里筋線 -RT</t>
    <phoneticPr fontId="1"/>
  </si>
  <si>
    <t>福知山線</t>
    <rPh sb="0" eb="4">
      <t>フクチヤマセン</t>
    </rPh>
    <phoneticPr fontId="1"/>
  </si>
  <si>
    <t>福知山線 -RT</t>
    <phoneticPr fontId="1"/>
  </si>
  <si>
    <t>大阪環状線</t>
    <rPh sb="0" eb="2">
      <t>オオサカ</t>
    </rPh>
    <rPh sb="2" eb="5">
      <t>カンジョウセン</t>
    </rPh>
    <phoneticPr fontId="1"/>
  </si>
  <si>
    <t>大阪環状線 -RT</t>
    <rPh sb="0" eb="2">
      <t>オオサカ</t>
    </rPh>
    <rPh sb="2" eb="5">
      <t>カンジョウセン</t>
    </rPh>
    <phoneticPr fontId="1"/>
  </si>
  <si>
    <t>桜島線</t>
    <phoneticPr fontId="1"/>
  </si>
  <si>
    <t>桜島線 -RT</t>
    <rPh sb="0" eb="3">
      <t>サクラジマセン</t>
    </rPh>
    <phoneticPr fontId="1"/>
  </si>
  <si>
    <t>関西本線</t>
    <rPh sb="0" eb="2">
      <t>カンサイ</t>
    </rPh>
    <rPh sb="2" eb="4">
      <t>ホンセン</t>
    </rPh>
    <phoneticPr fontId="1"/>
  </si>
  <si>
    <t>関西本線 -RT</t>
    <phoneticPr fontId="1"/>
  </si>
  <si>
    <t>片町線</t>
    <rPh sb="0" eb="3">
      <t>カタマチセン</t>
    </rPh>
    <phoneticPr fontId="1"/>
  </si>
  <si>
    <t>片町線 -RT</t>
    <rPh sb="0" eb="3">
      <t>カタマチセン</t>
    </rPh>
    <phoneticPr fontId="1"/>
  </si>
  <si>
    <t>阪和線</t>
    <rPh sb="0" eb="3">
      <t>ハンワセン</t>
    </rPh>
    <phoneticPr fontId="1"/>
  </si>
  <si>
    <t>阪和線 -RT</t>
    <rPh sb="0" eb="3">
      <t>ハンワセン</t>
    </rPh>
    <phoneticPr fontId="1"/>
  </si>
  <si>
    <t>関西空港線</t>
    <rPh sb="0" eb="4">
      <t>カンサイクウコウ</t>
    </rPh>
    <rPh sb="4" eb="5">
      <t>セン</t>
    </rPh>
    <phoneticPr fontId="1"/>
  </si>
  <si>
    <t>関西空港線 -RT</t>
    <rPh sb="0" eb="4">
      <t>カンサイクウコウ</t>
    </rPh>
    <rPh sb="4" eb="5">
      <t>セン</t>
    </rPh>
    <phoneticPr fontId="1"/>
  </si>
  <si>
    <t>おおさか東線</t>
    <rPh sb="4" eb="6">
      <t>トウセン</t>
    </rPh>
    <phoneticPr fontId="1"/>
  </si>
  <si>
    <t>おおさか東線 -RT</t>
    <rPh sb="4" eb="6">
      <t>トウセン</t>
    </rPh>
    <phoneticPr fontId="1"/>
  </si>
  <si>
    <t>京都線</t>
    <rPh sb="0" eb="3">
      <t>キョウトセン</t>
    </rPh>
    <phoneticPr fontId="1"/>
  </si>
  <si>
    <t>京都線 -RT</t>
    <rPh sb="0" eb="3">
      <t>キョウトセン</t>
    </rPh>
    <phoneticPr fontId="1"/>
  </si>
  <si>
    <t>神戸線</t>
    <rPh sb="0" eb="3">
      <t>コウベセン</t>
    </rPh>
    <phoneticPr fontId="1"/>
  </si>
  <si>
    <t>神戸線 -RT</t>
    <rPh sb="0" eb="3">
      <t>コウベセン</t>
    </rPh>
    <phoneticPr fontId="1"/>
  </si>
  <si>
    <t>宝塚線</t>
    <phoneticPr fontId="1"/>
  </si>
  <si>
    <t>宝塚線 -RT</t>
    <phoneticPr fontId="1"/>
  </si>
  <si>
    <t>大和路線</t>
    <rPh sb="0" eb="4">
      <t>ヤマトジセン</t>
    </rPh>
    <phoneticPr fontId="1"/>
  </si>
  <si>
    <t>内房線 -RT</t>
    <phoneticPr fontId="1"/>
  </si>
  <si>
    <t>ゆめ咲線</t>
    <rPh sb="2" eb="3">
      <t>サキ</t>
    </rPh>
    <rPh sb="3" eb="4">
      <t>セン</t>
    </rPh>
    <phoneticPr fontId="1"/>
  </si>
  <si>
    <t>ゆめ咲線 -RT</t>
    <rPh sb="2" eb="3">
      <t>サキ</t>
    </rPh>
    <rPh sb="3" eb="4">
      <t>セン</t>
    </rPh>
    <phoneticPr fontId="1"/>
  </si>
  <si>
    <t>http://trafficinfo.westjr.co.jp/kinki.html</t>
  </si>
  <si>
    <t>http://trafficinfo.westjr.co.jp/kinki.html</t>
    <phoneticPr fontId="1"/>
  </si>
  <si>
    <t>JR東西線 -RT</t>
    <phoneticPr fontId="1"/>
  </si>
  <si>
    <t>近畿日本鉄道</t>
    <rPh sb="0" eb="2">
      <t>キンキ</t>
    </rPh>
    <rPh sb="2" eb="4">
      <t>ニホン</t>
    </rPh>
    <rPh sb="4" eb="6">
      <t>テツドウ</t>
    </rPh>
    <phoneticPr fontId="1"/>
  </si>
  <si>
    <t>近鉄大阪線</t>
    <rPh sb="0" eb="2">
      <t>キンテツ</t>
    </rPh>
    <rPh sb="2" eb="4">
      <t>オオサカ</t>
    </rPh>
    <rPh sb="4" eb="5">
      <t>セン</t>
    </rPh>
    <phoneticPr fontId="1"/>
  </si>
  <si>
    <t>近鉄大阪線 -RT</t>
    <rPh sb="0" eb="2">
      <t>キンテツ</t>
    </rPh>
    <rPh sb="2" eb="4">
      <t>オオサカ</t>
    </rPh>
    <rPh sb="4" eb="5">
      <t>セン</t>
    </rPh>
    <phoneticPr fontId="1"/>
  </si>
  <si>
    <t>近鉄奈良線</t>
    <rPh sb="0" eb="2">
      <t>キンテツ</t>
    </rPh>
    <rPh sb="2" eb="5">
      <t>ナラセン</t>
    </rPh>
    <phoneticPr fontId="1"/>
  </si>
  <si>
    <t>近鉄奈良線 -RT</t>
    <rPh sb="0" eb="2">
      <t>キンテツ</t>
    </rPh>
    <rPh sb="2" eb="5">
      <t>ナラセン</t>
    </rPh>
    <phoneticPr fontId="1"/>
  </si>
  <si>
    <t>近鉄けいはんな線</t>
    <rPh sb="0" eb="2">
      <t>キンテツ</t>
    </rPh>
    <rPh sb="7" eb="8">
      <t>セン</t>
    </rPh>
    <phoneticPr fontId="1"/>
  </si>
  <si>
    <t>近鉄けいはんな線 OR けいはんな線 -RT</t>
    <rPh sb="0" eb="2">
      <t>キンテツ</t>
    </rPh>
    <rPh sb="7" eb="8">
      <t>セン</t>
    </rPh>
    <rPh sb="17" eb="18">
      <t>セン</t>
    </rPh>
    <phoneticPr fontId="1"/>
  </si>
  <si>
    <t>近鉄信貴線</t>
  </si>
  <si>
    <t>近鉄南大阪線</t>
  </si>
  <si>
    <t>近鉄長野線</t>
  </si>
  <si>
    <t>近鉄道明寺線</t>
  </si>
  <si>
    <t>近鉄西信貴ケーブル</t>
  </si>
  <si>
    <t>近鉄信貴線 -RT</t>
    <phoneticPr fontId="1"/>
  </si>
  <si>
    <t>近鉄南大阪線 -RT</t>
    <phoneticPr fontId="1"/>
  </si>
  <si>
    <t>近鉄長野線 -RT</t>
    <phoneticPr fontId="1"/>
  </si>
  <si>
    <t>近鉄道明寺線 -RT</t>
    <phoneticPr fontId="1"/>
  </si>
  <si>
    <t>近鉄西信貴ケーブル -RT</t>
    <phoneticPr fontId="1"/>
  </si>
  <si>
    <t>3-7</t>
  </si>
  <si>
    <t>3-8</t>
  </si>
  <si>
    <t>http://www.kintetsu.jp/unkou/unkou.html</t>
    <phoneticPr fontId="1"/>
  </si>
  <si>
    <t>南海本線</t>
  </si>
  <si>
    <t>南海高師浜線</t>
  </si>
  <si>
    <t>南海空港線</t>
  </si>
  <si>
    <t>南海多奈川線</t>
  </si>
  <si>
    <t>南海高野線</t>
  </si>
  <si>
    <t>南海汐見橋線</t>
  </si>
  <si>
    <t>南海本線 -RT</t>
    <phoneticPr fontId="1"/>
  </si>
  <si>
    <t>南海高師浜線 -RT</t>
    <phoneticPr fontId="1"/>
  </si>
  <si>
    <t>南海空港線 -RT</t>
    <phoneticPr fontId="1"/>
  </si>
  <si>
    <t>南海多奈川線 -RT</t>
    <phoneticPr fontId="1"/>
  </si>
  <si>
    <t>南海高野線 -RT</t>
    <phoneticPr fontId="1"/>
  </si>
  <si>
    <t>南海汐見橋線 -RT</t>
    <phoneticPr fontId="1"/>
  </si>
  <si>
    <t>南海電気鉄道</t>
    <rPh sb="0" eb="2">
      <t>ナンカイ</t>
    </rPh>
    <rPh sb="2" eb="4">
      <t>デンキ</t>
    </rPh>
    <rPh sb="4" eb="6">
      <t>テツドウ</t>
    </rPh>
    <phoneticPr fontId="1"/>
  </si>
  <si>
    <t>http://www.nankai.co.jp/cgi-bin/retuinfo.cgi</t>
  </si>
  <si>
    <t>京阪電気鉄道</t>
    <rPh sb="0" eb="2">
      <t>ケイハン</t>
    </rPh>
    <rPh sb="2" eb="4">
      <t>デンキ</t>
    </rPh>
    <rPh sb="4" eb="6">
      <t>テツドウ</t>
    </rPh>
    <phoneticPr fontId="1"/>
  </si>
  <si>
    <t>京阪本線</t>
  </si>
  <si>
    <t>京阪交野線</t>
  </si>
  <si>
    <t>京阪中之島線</t>
  </si>
  <si>
    <t>京阪本線 -RT</t>
    <phoneticPr fontId="1"/>
  </si>
  <si>
    <t>京阪交野線 -RT</t>
    <phoneticPr fontId="1"/>
  </si>
  <si>
    <t>京阪中之島線 -RT</t>
    <phoneticPr fontId="1"/>
  </si>
  <si>
    <t>http://www.keihan.co.jp/traffic/traintraffic/</t>
  </si>
  <si>
    <t>阪急京都本線</t>
  </si>
  <si>
    <t>阪急千里線</t>
  </si>
  <si>
    <t>阪急宝塚本線</t>
  </si>
  <si>
    <t>阪急箕面線</t>
  </si>
  <si>
    <t>阪急神戸本線</t>
  </si>
  <si>
    <t>阪急電鉄</t>
    <phoneticPr fontId="1"/>
  </si>
  <si>
    <t>阪急京都本線 -RT</t>
    <phoneticPr fontId="1"/>
  </si>
  <si>
    <t>阪急千里線 -RT</t>
    <phoneticPr fontId="1"/>
  </si>
  <si>
    <t>阪急宝塚本線 -RT</t>
    <phoneticPr fontId="1"/>
  </si>
  <si>
    <t>阪急箕面線 -RT</t>
    <phoneticPr fontId="1"/>
  </si>
  <si>
    <t>阪急神戸本線 -RT</t>
    <phoneticPr fontId="1"/>
  </si>
  <si>
    <t>阪神電気鉄道</t>
    <rPh sb="0" eb="2">
      <t>ハンシン</t>
    </rPh>
    <rPh sb="2" eb="4">
      <t>デンキ</t>
    </rPh>
    <rPh sb="4" eb="6">
      <t>テツドウ</t>
    </rPh>
    <phoneticPr fontId="1"/>
  </si>
  <si>
    <t>阪神本線</t>
    <rPh sb="0" eb="2">
      <t>ハンシン</t>
    </rPh>
    <rPh sb="2" eb="4">
      <t>ホンセン</t>
    </rPh>
    <phoneticPr fontId="1"/>
  </si>
  <si>
    <t>阪神なんば線</t>
    <rPh sb="0" eb="2">
      <t>ハンシン</t>
    </rPh>
    <rPh sb="5" eb="6">
      <t>セン</t>
    </rPh>
    <phoneticPr fontId="1"/>
  </si>
  <si>
    <t>阪神なんば線 -RT</t>
    <rPh sb="0" eb="2">
      <t>ハンシン</t>
    </rPh>
    <rPh sb="5" eb="6">
      <t>セン</t>
    </rPh>
    <phoneticPr fontId="1"/>
  </si>
  <si>
    <t>阪神本線 -RT</t>
    <rPh sb="0" eb="2">
      <t>ハンシン</t>
    </rPh>
    <rPh sb="2" eb="4">
      <t>ホンセン</t>
    </rPh>
    <phoneticPr fontId="1"/>
  </si>
  <si>
    <t>http://rail.hankyu.co.jp/railinfo/</t>
  </si>
  <si>
    <t>http://www.hanshin.co.jp/railinfo/</t>
    <phoneticPr fontId="1"/>
  </si>
  <si>
    <t>阪神武庫川線</t>
    <phoneticPr fontId="1"/>
  </si>
  <si>
    <t>阪神武庫川線 -RT</t>
    <phoneticPr fontId="1"/>
  </si>
  <si>
    <t>5-1</t>
    <phoneticPr fontId="1"/>
  </si>
  <si>
    <t>5-2</t>
    <phoneticPr fontId="1"/>
  </si>
  <si>
    <t>5-3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</si>
  <si>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</si>
  <si>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</si>
  <si>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</si>
  <si>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</si>
  <si>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6-5</t>
    <phoneticPr fontId="1"/>
  </si>
  <si>
    <t>7-1</t>
    <phoneticPr fontId="1"/>
  </si>
  <si>
    <t>7-2</t>
    <phoneticPr fontId="1"/>
  </si>
  <si>
    <t>7-3</t>
    <phoneticPr fontId="1"/>
  </si>
  <si>
    <t>大阪高速鉄道</t>
    <rPh sb="0" eb="2">
      <t>オオサカ</t>
    </rPh>
    <rPh sb="2" eb="4">
      <t>コウソク</t>
    </rPh>
    <rPh sb="4" eb="6">
      <t>テツドウ</t>
    </rPh>
    <phoneticPr fontId="1"/>
  </si>
  <si>
    <t>大阪モノレール</t>
    <rPh sb="0" eb="2">
      <t>オオサカ</t>
    </rPh>
    <phoneticPr fontId="1"/>
  </si>
  <si>
    <t>大阪モノレール彩都線</t>
    <rPh sb="0" eb="2">
      <t>オオサカ</t>
    </rPh>
    <rPh sb="7" eb="10">
      <t>サイトセン</t>
    </rPh>
    <phoneticPr fontId="1"/>
  </si>
  <si>
    <t>大阪モノレール -RT</t>
    <rPh sb="0" eb="2">
      <t>オオサカ</t>
    </rPh>
    <phoneticPr fontId="1"/>
  </si>
  <si>
    <t>大阪モノレール彩都線 -RT</t>
    <rPh sb="0" eb="2">
      <t>オオサカ</t>
    </rPh>
    <rPh sb="7" eb="10">
      <t>サイトセン</t>
    </rPh>
    <phoneticPr fontId="1"/>
  </si>
  <si>
    <t>http://www.osaka-monorail.co.jp/</t>
    <phoneticPr fontId="1"/>
  </si>
  <si>
    <t>8-1</t>
    <phoneticPr fontId="1"/>
  </si>
  <si>
    <t>8-2</t>
    <phoneticPr fontId="1"/>
  </si>
  <si>
    <t>北大阪急行電鉄</t>
    <rPh sb="0" eb="1">
      <t>キタ</t>
    </rPh>
    <rPh sb="1" eb="3">
      <t>オオサカ</t>
    </rPh>
    <rPh sb="3" eb="5">
      <t>キュウコウ</t>
    </rPh>
    <rPh sb="5" eb="7">
      <t>デンテツ</t>
    </rPh>
    <phoneticPr fontId="1"/>
  </si>
  <si>
    <t>北大阪急行</t>
    <rPh sb="0" eb="1">
      <t>キタ</t>
    </rPh>
    <rPh sb="1" eb="3">
      <t>オオサカ</t>
    </rPh>
    <rPh sb="3" eb="5">
      <t>キュウコウ</t>
    </rPh>
    <phoneticPr fontId="1"/>
  </si>
  <si>
    <t>北大阪急行 -RT</t>
    <rPh sb="0" eb="1">
      <t>キタ</t>
    </rPh>
    <rPh sb="1" eb="3">
      <t>オオサカ</t>
    </rPh>
    <rPh sb="3" eb="5">
      <t>キュウコウ</t>
    </rPh>
    <phoneticPr fontId="1"/>
  </si>
  <si>
    <t>http://www.kita-kyu.co.jp/rinku.html</t>
    <phoneticPr fontId="1"/>
  </si>
  <si>
    <t>9-1</t>
    <phoneticPr fontId="1"/>
  </si>
  <si>
    <t>泉北高速鉄道</t>
    <rPh sb="0" eb="2">
      <t>センボク</t>
    </rPh>
    <rPh sb="2" eb="4">
      <t>コウソク</t>
    </rPh>
    <rPh sb="4" eb="6">
      <t>テツドウ</t>
    </rPh>
    <phoneticPr fontId="1"/>
  </si>
  <si>
    <t>阪堺電軌阪堺線</t>
    <rPh sb="0" eb="2">
      <t>ハンカイ</t>
    </rPh>
    <rPh sb="2" eb="4">
      <t>デンキ</t>
    </rPh>
    <rPh sb="4" eb="7">
      <t>ハンカイセン</t>
    </rPh>
    <phoneticPr fontId="1"/>
  </si>
  <si>
    <t>阪堺電軌上町線</t>
    <rPh sb="0" eb="2">
      <t>ハンカイ</t>
    </rPh>
    <rPh sb="2" eb="4">
      <t>デンキ</t>
    </rPh>
    <rPh sb="4" eb="7">
      <t>カミマチセン</t>
    </rPh>
    <phoneticPr fontId="1"/>
  </si>
  <si>
    <t>水間鉄道</t>
    <rPh sb="0" eb="2">
      <t>ミズマ</t>
    </rPh>
    <rPh sb="2" eb="4">
      <t>テツドウ</t>
    </rPh>
    <phoneticPr fontId="1"/>
  </si>
  <si>
    <t>妙見線</t>
    <phoneticPr fontId="1"/>
  </si>
  <si>
    <t>泉北高速鉄道 -RT</t>
    <rPh sb="0" eb="2">
      <t>センボク</t>
    </rPh>
    <rPh sb="2" eb="4">
      <t>コウソク</t>
    </rPh>
    <rPh sb="4" eb="6">
      <t>テツドウ</t>
    </rPh>
    <phoneticPr fontId="1"/>
  </si>
  <si>
    <t>阪堺電軌阪堺線 -RT</t>
    <rPh sb="0" eb="2">
      <t>ハンカイ</t>
    </rPh>
    <rPh sb="2" eb="4">
      <t>デンキ</t>
    </rPh>
    <rPh sb="4" eb="7">
      <t>ハンカイセン</t>
    </rPh>
    <phoneticPr fontId="1"/>
  </si>
  <si>
    <t>阪堺電軌上町線 -RT</t>
    <rPh sb="0" eb="2">
      <t>ハンカイ</t>
    </rPh>
    <rPh sb="2" eb="4">
      <t>デンキ</t>
    </rPh>
    <rPh sb="4" eb="7">
      <t>カミマチセン</t>
    </rPh>
    <phoneticPr fontId="1"/>
  </si>
  <si>
    <t>水間鉄道 -RT</t>
    <rPh sb="0" eb="2">
      <t>ミズマ</t>
    </rPh>
    <rPh sb="2" eb="4">
      <t>テツドウ</t>
    </rPh>
    <phoneticPr fontId="1"/>
  </si>
  <si>
    <t>妙見線 -RT</t>
    <phoneticPr fontId="1"/>
  </si>
  <si>
    <t>その他</t>
  </si>
  <si>
    <t>その他</t>
    <rPh sb="2" eb="3">
      <t>ホカ</t>
    </rPh>
    <phoneticPr fontId="1"/>
  </si>
  <si>
    <t>10-1</t>
    <phoneticPr fontId="1"/>
  </si>
  <si>
    <t>10-2</t>
    <phoneticPr fontId="1"/>
  </si>
  <si>
    <t>10-3</t>
    <phoneticPr fontId="1"/>
  </si>
  <si>
    <t>10-4</t>
    <phoneticPr fontId="1"/>
  </si>
  <si>
    <t>10-5</t>
    <phoneticPr fontId="1"/>
  </si>
  <si>
    <t>http://www.semboku.jp/delayinfo/</t>
    <phoneticPr fontId="1"/>
  </si>
  <si>
    <t>http://www.hankai.co.jp/</t>
    <phoneticPr fontId="1"/>
  </si>
  <si>
    <t>http://www.suitetsu.com/</t>
    <phoneticPr fontId="1"/>
  </si>
  <si>
    <t>AAAAAB38z90=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</si>
</sst>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49" fontId="0" fillId="0" borderId="4" xfId="0" applyNumberFormat="1" applyBorder="1">
      <alignment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2" fillId="0" borderId="5" xfId="1" applyFill="1" applyBorder="1">
      <alignment vertical="center"/>
    </xf>
    <xf numFmtId="0" fontId="2" fillId="0" borderId="3" xfId="1" applyFill="1" applyBorder="1">
      <alignment vertical="center"/>
    </xf>
    <xf numFmtId="0" fontId="2" fillId="0" borderId="4" xfId="1" applyFill="1" applyBorder="1">
      <alignment vertical="center"/>
    </xf>
    <xf numFmtId="0" fontId="2" fillId="0" borderId="7" xfId="1" applyBorder="1">
      <alignment vertical="center"/>
    </xf>
    <xf numFmtId="0" fontId="2" fillId="0" borderId="8" xfId="1" applyBorder="1">
      <alignment vertical="center"/>
    </xf>
    <xf numFmtId="0" fontId="2" fillId="0" borderId="9" xfId="1" applyBorder="1">
      <alignment vertical="center"/>
    </xf>
    <xf numFmtId="49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0" borderId="2" xfId="1" applyFill="1" applyBorder="1">
      <alignment vertical="center"/>
    </xf>
    <xf numFmtId="0" fontId="2" fillId="0" borderId="12" xfId="1" applyBorder="1">
      <alignment vertical="center"/>
    </xf>
    <xf numFmtId="0" fontId="2" fillId="0" borderId="6" xfId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3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rafficinfo.westjr.co.jp/kinki.html" TargetMode="External"/><Relationship Id="rId18" Type="http://schemas.openxmlformats.org/officeDocument/2006/relationships/hyperlink" Target="http://trafficinfo.westjr.co.jp/kinki.html" TargetMode="External"/><Relationship Id="rId26" Type="http://schemas.openxmlformats.org/officeDocument/2006/relationships/hyperlink" Target="http://www.nankai.co.jp/cgi-bin/retuinfo.cgi" TargetMode="External"/><Relationship Id="rId39" Type="http://schemas.openxmlformats.org/officeDocument/2006/relationships/hyperlink" Target="http://rail.hankyu.co.jp/railinfo/" TargetMode="External"/><Relationship Id="rId3" Type="http://schemas.openxmlformats.org/officeDocument/2006/relationships/hyperlink" Target="http://www.kotsu.city.osaka.jp/sub-info/main.pc.html" TargetMode="External"/><Relationship Id="rId21" Type="http://schemas.openxmlformats.org/officeDocument/2006/relationships/hyperlink" Target="http://trafficinfo.westjr.co.jp/kinki.html" TargetMode="External"/><Relationship Id="rId34" Type="http://schemas.openxmlformats.org/officeDocument/2006/relationships/hyperlink" Target="http://www.keihan.co.jp/traffic/traintraffic/" TargetMode="External"/><Relationship Id="rId42" Type="http://schemas.openxmlformats.org/officeDocument/2006/relationships/hyperlink" Target="http://www.hanshin.co.jp/railinfo/" TargetMode="External"/><Relationship Id="rId47" Type="http://schemas.openxmlformats.org/officeDocument/2006/relationships/hyperlink" Target="http://www.hankai.co.jp/" TargetMode="External"/><Relationship Id="rId50" Type="http://schemas.openxmlformats.org/officeDocument/2006/relationships/hyperlink" Target="http://www.hankai.co.jp/" TargetMode="External"/><Relationship Id="rId7" Type="http://schemas.openxmlformats.org/officeDocument/2006/relationships/hyperlink" Target="http://www.kotsu.city.osaka.jp/sub-info/main.pc.html" TargetMode="External"/><Relationship Id="rId12" Type="http://schemas.openxmlformats.org/officeDocument/2006/relationships/hyperlink" Target="http://trafficinfo.westjr.co.jp/kinki.html" TargetMode="External"/><Relationship Id="rId17" Type="http://schemas.openxmlformats.org/officeDocument/2006/relationships/hyperlink" Target="http://trafficinfo.westjr.co.jp/kinki.html" TargetMode="External"/><Relationship Id="rId25" Type="http://schemas.openxmlformats.org/officeDocument/2006/relationships/hyperlink" Target="http://www.seibu-group.co.jp/railways/unten/unten.asp" TargetMode="External"/><Relationship Id="rId33" Type="http://schemas.openxmlformats.org/officeDocument/2006/relationships/hyperlink" Target="http://www.keihan.co.jp/traffic/traintraffic/" TargetMode="External"/><Relationship Id="rId38" Type="http://schemas.openxmlformats.org/officeDocument/2006/relationships/hyperlink" Target="http://rail.hankyu.co.jp/railinfo/" TargetMode="External"/><Relationship Id="rId46" Type="http://schemas.openxmlformats.org/officeDocument/2006/relationships/hyperlink" Target="http://www.semboku.jp/delayinfo/" TargetMode="External"/><Relationship Id="rId2" Type="http://schemas.openxmlformats.org/officeDocument/2006/relationships/hyperlink" Target="http://www.kotsu.city.osaka.jp/sub-info/main.pc.html" TargetMode="External"/><Relationship Id="rId16" Type="http://schemas.openxmlformats.org/officeDocument/2006/relationships/hyperlink" Target="http://trafficinfo.westjr.co.jp/kinki.html" TargetMode="External"/><Relationship Id="rId20" Type="http://schemas.openxmlformats.org/officeDocument/2006/relationships/hyperlink" Target="http://trafficinfo.westjr.co.jp/kinki.html" TargetMode="External"/><Relationship Id="rId29" Type="http://schemas.openxmlformats.org/officeDocument/2006/relationships/hyperlink" Target="http://www.nankai.co.jp/cgi-bin/retuinfo.cgi" TargetMode="External"/><Relationship Id="rId41" Type="http://schemas.openxmlformats.org/officeDocument/2006/relationships/hyperlink" Target="http://www.hanshin.co.jp/railinfo/" TargetMode="External"/><Relationship Id="rId1" Type="http://schemas.openxmlformats.org/officeDocument/2006/relationships/hyperlink" Target="http://trafficinfo.westjr.co.jp/kinki.html" TargetMode="External"/><Relationship Id="rId6" Type="http://schemas.openxmlformats.org/officeDocument/2006/relationships/hyperlink" Target="http://www.kotsu.city.osaka.jp/sub-info/main.pc.html" TargetMode="External"/><Relationship Id="rId11" Type="http://schemas.openxmlformats.org/officeDocument/2006/relationships/hyperlink" Target="http://trafficinfo.westjr.co.jp/kinki.html" TargetMode="External"/><Relationship Id="rId24" Type="http://schemas.openxmlformats.org/officeDocument/2006/relationships/hyperlink" Target="http://trafficinfo.westjr.co.jp/kinki.html" TargetMode="External"/><Relationship Id="rId32" Type="http://schemas.openxmlformats.org/officeDocument/2006/relationships/hyperlink" Target="http://www.keihan.co.jp/traffic/traintraffic/" TargetMode="External"/><Relationship Id="rId37" Type="http://schemas.openxmlformats.org/officeDocument/2006/relationships/hyperlink" Target="http://rail.hankyu.co.jp/railinfo/" TargetMode="External"/><Relationship Id="rId40" Type="http://schemas.openxmlformats.org/officeDocument/2006/relationships/hyperlink" Target="http://www.hanshin.co.jp/railinfo/" TargetMode="External"/><Relationship Id="rId45" Type="http://schemas.openxmlformats.org/officeDocument/2006/relationships/hyperlink" Target="http://www.kita-kyu.co.jp/rinku.html" TargetMode="External"/><Relationship Id="rId5" Type="http://schemas.openxmlformats.org/officeDocument/2006/relationships/hyperlink" Target="http://www.kotsu.city.osaka.jp/sub-info/main.pc.html" TargetMode="External"/><Relationship Id="rId15" Type="http://schemas.openxmlformats.org/officeDocument/2006/relationships/hyperlink" Target="http://trafficinfo.westjr.co.jp/kinki.html" TargetMode="External"/><Relationship Id="rId23" Type="http://schemas.openxmlformats.org/officeDocument/2006/relationships/hyperlink" Target="http://trafficinfo.westjr.co.jp/kinki.html" TargetMode="External"/><Relationship Id="rId28" Type="http://schemas.openxmlformats.org/officeDocument/2006/relationships/hyperlink" Target="http://www.nankai.co.jp/cgi-bin/retuinfo.cgi" TargetMode="External"/><Relationship Id="rId36" Type="http://schemas.openxmlformats.org/officeDocument/2006/relationships/hyperlink" Target="http://rail.hankyu.co.jp/railinfo/" TargetMode="External"/><Relationship Id="rId49" Type="http://schemas.openxmlformats.org/officeDocument/2006/relationships/hyperlink" Target="http://www.suitetsu.com/" TargetMode="External"/><Relationship Id="rId10" Type="http://schemas.openxmlformats.org/officeDocument/2006/relationships/hyperlink" Target="http://www.kotsu.city.osaka.jp/sub-info/main.pc.html" TargetMode="External"/><Relationship Id="rId19" Type="http://schemas.openxmlformats.org/officeDocument/2006/relationships/hyperlink" Target="http://trafficinfo.westjr.co.jp/kinki.html" TargetMode="External"/><Relationship Id="rId31" Type="http://schemas.openxmlformats.org/officeDocument/2006/relationships/hyperlink" Target="http://www.nankai.co.jp/cgi-bin/retuinfo.cgi" TargetMode="External"/><Relationship Id="rId44" Type="http://schemas.openxmlformats.org/officeDocument/2006/relationships/hyperlink" Target="http://www.osaka-monorail.co.jp/" TargetMode="External"/><Relationship Id="rId52" Type="http://schemas.openxmlformats.org/officeDocument/2006/relationships/customProperty" Target="../customProperty1.bin"/><Relationship Id="rId4" Type="http://schemas.openxmlformats.org/officeDocument/2006/relationships/hyperlink" Target="http://www.kotsu.city.osaka.jp/sub-info/main.pc.html" TargetMode="External"/><Relationship Id="rId9" Type="http://schemas.openxmlformats.org/officeDocument/2006/relationships/hyperlink" Target="http://www.kotsu.city.osaka.jp/sub-info/main.pc.html" TargetMode="External"/><Relationship Id="rId14" Type="http://schemas.openxmlformats.org/officeDocument/2006/relationships/hyperlink" Target="http://trafficinfo.westjr.co.jp/kinki.html" TargetMode="External"/><Relationship Id="rId22" Type="http://schemas.openxmlformats.org/officeDocument/2006/relationships/hyperlink" Target="http://trafficinfo.westjr.co.jp/kinki.html" TargetMode="External"/><Relationship Id="rId27" Type="http://schemas.openxmlformats.org/officeDocument/2006/relationships/hyperlink" Target="http://www.nankai.co.jp/cgi-bin/retuinfo.cgi" TargetMode="External"/><Relationship Id="rId30" Type="http://schemas.openxmlformats.org/officeDocument/2006/relationships/hyperlink" Target="http://www.nankai.co.jp/cgi-bin/retuinfo.cgi" TargetMode="External"/><Relationship Id="rId35" Type="http://schemas.openxmlformats.org/officeDocument/2006/relationships/hyperlink" Target="http://rail.hankyu.co.jp/railinfo/" TargetMode="External"/><Relationship Id="rId43" Type="http://schemas.openxmlformats.org/officeDocument/2006/relationships/hyperlink" Target="http://www.osaka-monorail.co.jp/" TargetMode="External"/><Relationship Id="rId48" Type="http://schemas.openxmlformats.org/officeDocument/2006/relationships/hyperlink" Target="http://www.hankai.co.jp/" TargetMode="External"/><Relationship Id="rId8" Type="http://schemas.openxmlformats.org/officeDocument/2006/relationships/hyperlink" Target="http://www.kotsu.city.osaka.jp/sub-info/main.pc.html" TargetMode="External"/><Relationship Id="rId5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8"/>
  <sheetViews>
    <sheetView tabSelected="1" workbookViewId="0"/>
  </sheetViews>
  <sheetFormatPr defaultRowHeight="13.5" x14ac:dyDescent="0.15"/>
  <cols>
    <col min="1" max="1" width="5.5" style="1" bestFit="1" customWidth="1"/>
    <col min="2" max="2" width="15.125" bestFit="1" customWidth="1"/>
    <col min="3" max="3" width="19.125" bestFit="1" customWidth="1"/>
    <col min="4" max="4" width="35.25" bestFit="1" customWidth="1"/>
    <col min="5" max="5" width="49.25" customWidth="1"/>
    <col min="6" max="6" width="48.375" customWidth="1"/>
    <col min="7" max="7" width="119.125" bestFit="1" customWidth="1"/>
  </cols>
  <sheetData>
    <row r="1" spans="1:7" ht="14.25" thickBot="1" x14ac:dyDescent="0.2">
      <c r="A1" s="17" t="s">
        <v>6</v>
      </c>
      <c r="B1" s="18" t="s">
        <v>3</v>
      </c>
      <c r="C1" s="18" t="s">
        <v>4</v>
      </c>
      <c r="D1" s="18" t="s">
        <v>5</v>
      </c>
      <c r="E1" s="19"/>
    </row>
    <row r="2" spans="1:7" ht="14.25" thickTop="1" x14ac:dyDescent="0.15">
      <c r="A2" s="8" t="s">
        <v>7</v>
      </c>
      <c r="B2" s="9" t="s">
        <v>40</v>
      </c>
      <c r="C2" s="9" t="s">
        <v>115</v>
      </c>
      <c r="D2" s="9" t="s">
        <v>116</v>
      </c>
      <c r="E2" s="11" t="s">
        <v>142</v>
      </c>
      <c r="F2" t="str">
        <f t="shared" ref="F2:F19" si="0">"&lt;item&gt;"&amp;A2&amp;"|"&amp;B2&amp;"|"&amp;C2&amp;"|"&amp;D2&amp;"|" &amp;E2&amp; "&lt;/item&gt;"</f>
        <v>&lt;item&gt;1-1|JR|福知山線|福知山線 -RT|http://trafficinfo.westjr.co.jp/kinki.html&lt;/item&gt;</v>
      </c>
      <c r="G2" t="s">
        <v>41</v>
      </c>
    </row>
    <row r="3" spans="1:7" x14ac:dyDescent="0.15">
      <c r="A3" s="4" t="s">
        <v>8</v>
      </c>
      <c r="B3" s="5" t="s">
        <v>40</v>
      </c>
      <c r="C3" s="5" t="s">
        <v>1</v>
      </c>
      <c r="D3" s="5" t="s">
        <v>143</v>
      </c>
      <c r="E3" s="15" t="s">
        <v>141</v>
      </c>
      <c r="F3" t="str">
        <f t="shared" si="0"/>
        <v>&lt;item&gt;1-2|JR|東西線|JR東西線 -RT|http://trafficinfo.westjr.co.jp/kinki.html&lt;/item&gt;</v>
      </c>
      <c r="G3" t="s">
        <v>42</v>
      </c>
    </row>
    <row r="4" spans="1:7" x14ac:dyDescent="0.15">
      <c r="A4" s="4" t="s">
        <v>9</v>
      </c>
      <c r="B4" s="5" t="s">
        <v>40</v>
      </c>
      <c r="C4" s="5" t="s">
        <v>117</v>
      </c>
      <c r="D4" s="5" t="s">
        <v>118</v>
      </c>
      <c r="E4" s="15" t="s">
        <v>141</v>
      </c>
      <c r="F4" t="str">
        <f t="shared" si="0"/>
        <v>&lt;item&gt;1-3|JR|大阪環状線|大阪環状線 -RT|http://trafficinfo.westjr.co.jp/kinki.html&lt;/item&gt;</v>
      </c>
      <c r="G4" t="s">
        <v>43</v>
      </c>
    </row>
    <row r="5" spans="1:7" x14ac:dyDescent="0.15">
      <c r="A5" s="4" t="s">
        <v>10</v>
      </c>
      <c r="B5" s="5" t="s">
        <v>40</v>
      </c>
      <c r="C5" s="5" t="s">
        <v>0</v>
      </c>
      <c r="D5" s="5" t="s">
        <v>2</v>
      </c>
      <c r="E5" s="15" t="s">
        <v>141</v>
      </c>
      <c r="F5" t="str">
        <f t="shared" si="0"/>
        <v>&lt;item&gt;1-4|JR|中央線|中央線 -RT|http://trafficinfo.westjr.co.jp/kinki.html&lt;/item&gt;</v>
      </c>
      <c r="G5" t="s">
        <v>44</v>
      </c>
    </row>
    <row r="6" spans="1:7" x14ac:dyDescent="0.15">
      <c r="A6" s="4" t="s">
        <v>11</v>
      </c>
      <c r="B6" s="5" t="s">
        <v>40</v>
      </c>
      <c r="C6" s="5" t="s">
        <v>119</v>
      </c>
      <c r="D6" s="5" t="s">
        <v>120</v>
      </c>
      <c r="E6" s="15" t="s">
        <v>141</v>
      </c>
      <c r="F6" t="str">
        <f t="shared" si="0"/>
        <v>&lt;item&gt;1-5|JR|桜島線|桜島線 -RT|http://trafficinfo.westjr.co.jp/kinki.html&lt;/item&gt;</v>
      </c>
      <c r="G6" t="s">
        <v>45</v>
      </c>
    </row>
    <row r="7" spans="1:7" x14ac:dyDescent="0.15">
      <c r="A7" s="4" t="s">
        <v>12</v>
      </c>
      <c r="B7" s="5" t="s">
        <v>40</v>
      </c>
      <c r="C7" s="5" t="s">
        <v>121</v>
      </c>
      <c r="D7" s="5" t="s">
        <v>122</v>
      </c>
      <c r="E7" s="15" t="s">
        <v>141</v>
      </c>
      <c r="F7" t="str">
        <f t="shared" si="0"/>
        <v>&lt;item&gt;1-6|JR|関西本線|関西本線 -RT|http://trafficinfo.westjr.co.jp/kinki.html&lt;/item&gt;</v>
      </c>
      <c r="G7" t="s">
        <v>46</v>
      </c>
    </row>
    <row r="8" spans="1:7" x14ac:dyDescent="0.15">
      <c r="A8" s="4" t="s">
        <v>13</v>
      </c>
      <c r="B8" s="5" t="s">
        <v>40</v>
      </c>
      <c r="C8" s="5" t="s">
        <v>123</v>
      </c>
      <c r="D8" s="5" t="s">
        <v>124</v>
      </c>
      <c r="E8" s="15" t="s">
        <v>141</v>
      </c>
      <c r="F8" t="str">
        <f t="shared" si="0"/>
        <v>&lt;item&gt;1-7|JR|片町線|片町線 -RT|http://trafficinfo.westjr.co.jp/kinki.html&lt;/item&gt;</v>
      </c>
      <c r="G8" t="s">
        <v>47</v>
      </c>
    </row>
    <row r="9" spans="1:7" x14ac:dyDescent="0.15">
      <c r="A9" s="4" t="s">
        <v>14</v>
      </c>
      <c r="B9" s="5" t="s">
        <v>40</v>
      </c>
      <c r="C9" s="5" t="s">
        <v>125</v>
      </c>
      <c r="D9" s="5" t="s">
        <v>126</v>
      </c>
      <c r="E9" s="15" t="s">
        <v>141</v>
      </c>
      <c r="F9" t="str">
        <f t="shared" si="0"/>
        <v>&lt;item&gt;1-8|JR|阪和線|阪和線 -RT|http://trafficinfo.westjr.co.jp/kinki.html&lt;/item&gt;</v>
      </c>
      <c r="G9" t="s">
        <v>48</v>
      </c>
    </row>
    <row r="10" spans="1:7" x14ac:dyDescent="0.15">
      <c r="A10" s="4" t="s">
        <v>15</v>
      </c>
      <c r="B10" s="5" t="s">
        <v>40</v>
      </c>
      <c r="C10" s="5" t="s">
        <v>127</v>
      </c>
      <c r="D10" s="5" t="s">
        <v>128</v>
      </c>
      <c r="E10" s="15" t="s">
        <v>141</v>
      </c>
      <c r="F10" t="str">
        <f t="shared" si="0"/>
        <v>&lt;item&gt;1-9|JR|関西空港線|関西空港線 -RT|http://trafficinfo.westjr.co.jp/kinki.html&lt;/item&gt;</v>
      </c>
      <c r="G10" t="s">
        <v>49</v>
      </c>
    </row>
    <row r="11" spans="1:7" x14ac:dyDescent="0.15">
      <c r="A11" s="4" t="s">
        <v>16</v>
      </c>
      <c r="B11" s="5" t="s">
        <v>40</v>
      </c>
      <c r="C11" s="5" t="s">
        <v>129</v>
      </c>
      <c r="D11" s="5" t="s">
        <v>130</v>
      </c>
      <c r="E11" s="15" t="s">
        <v>141</v>
      </c>
      <c r="F11" t="str">
        <f t="shared" si="0"/>
        <v>&lt;item&gt;1-10|JR|おおさか東線|おおさか東線 -RT|http://trafficinfo.westjr.co.jp/kinki.html&lt;/item&gt;</v>
      </c>
      <c r="G11" t="s">
        <v>50</v>
      </c>
    </row>
    <row r="12" spans="1:7" x14ac:dyDescent="0.15">
      <c r="A12" s="4" t="s">
        <v>17</v>
      </c>
      <c r="B12" s="5" t="s">
        <v>40</v>
      </c>
      <c r="C12" s="5" t="s">
        <v>131</v>
      </c>
      <c r="D12" s="5" t="s">
        <v>132</v>
      </c>
      <c r="E12" s="15" t="s">
        <v>141</v>
      </c>
      <c r="F12" t="str">
        <f t="shared" si="0"/>
        <v>&lt;item&gt;1-11|JR|京都線|京都線 -RT|http://trafficinfo.westjr.co.jp/kinki.html&lt;/item&gt;</v>
      </c>
      <c r="G12" t="s">
        <v>51</v>
      </c>
    </row>
    <row r="13" spans="1:7" x14ac:dyDescent="0.15">
      <c r="A13" s="4" t="s">
        <v>18</v>
      </c>
      <c r="B13" s="5" t="s">
        <v>40</v>
      </c>
      <c r="C13" s="5" t="s">
        <v>133</v>
      </c>
      <c r="D13" s="5" t="s">
        <v>134</v>
      </c>
      <c r="E13" s="15" t="s">
        <v>141</v>
      </c>
      <c r="F13" t="str">
        <f t="shared" si="0"/>
        <v>&lt;item&gt;1-12|JR|神戸線|神戸線 -RT|http://trafficinfo.westjr.co.jp/kinki.html&lt;/item&gt;</v>
      </c>
      <c r="G13" t="s">
        <v>52</v>
      </c>
    </row>
    <row r="14" spans="1:7" x14ac:dyDescent="0.15">
      <c r="A14" s="4" t="s">
        <v>19</v>
      </c>
      <c r="B14" s="5" t="s">
        <v>40</v>
      </c>
      <c r="C14" s="5" t="s">
        <v>135</v>
      </c>
      <c r="D14" s="5" t="s">
        <v>136</v>
      </c>
      <c r="E14" s="15" t="s">
        <v>141</v>
      </c>
      <c r="F14" t="str">
        <f t="shared" si="0"/>
        <v>&lt;item&gt;1-13|JR|宝塚線|宝塚線 -RT|http://trafficinfo.westjr.co.jp/kinki.html&lt;/item&gt;</v>
      </c>
      <c r="G14" t="s">
        <v>53</v>
      </c>
    </row>
    <row r="15" spans="1:7" x14ac:dyDescent="0.15">
      <c r="A15" s="4" t="s">
        <v>91</v>
      </c>
      <c r="B15" s="5" t="s">
        <v>40</v>
      </c>
      <c r="C15" s="5" t="s">
        <v>137</v>
      </c>
      <c r="D15" s="5" t="s">
        <v>138</v>
      </c>
      <c r="E15" s="15" t="s">
        <v>141</v>
      </c>
      <c r="F15" t="str">
        <f t="shared" si="0"/>
        <v>&lt;item&gt;1-15|JR|大和路線|内房線 -RT|http://trafficinfo.westjr.co.jp/kinki.html&lt;/item&gt;</v>
      </c>
      <c r="G15" t="s">
        <v>93</v>
      </c>
    </row>
    <row r="16" spans="1:7" x14ac:dyDescent="0.15">
      <c r="A16" s="6" t="s">
        <v>92</v>
      </c>
      <c r="B16" s="7" t="s">
        <v>40</v>
      </c>
      <c r="C16" s="7" t="s">
        <v>139</v>
      </c>
      <c r="D16" s="7" t="s">
        <v>140</v>
      </c>
      <c r="E16" s="16" t="s">
        <v>141</v>
      </c>
      <c r="F16" t="str">
        <f t="shared" si="0"/>
        <v>&lt;item&gt;1-16|JR|ゆめ咲線|ゆめ咲線 -RT|http://trafficinfo.westjr.co.jp/kinki.html&lt;/item&gt;</v>
      </c>
      <c r="G16" t="s">
        <v>94</v>
      </c>
    </row>
    <row r="17" spans="1:7" x14ac:dyDescent="0.15">
      <c r="A17" s="8" t="s">
        <v>20</v>
      </c>
      <c r="B17" s="9" t="s">
        <v>95</v>
      </c>
      <c r="C17" s="9" t="s">
        <v>96</v>
      </c>
      <c r="D17" s="9" t="s">
        <v>98</v>
      </c>
      <c r="E17" s="11" t="s">
        <v>102</v>
      </c>
      <c r="F17" t="str">
        <f t="shared" si="0"/>
        <v>&lt;item&gt;2-1|大阪市営地下鉄|御堂筋線|御堂筋線 -RT|http://www.kotsu.city.osaka.jp/sub-info/main.pc.html&lt;/item&gt;</v>
      </c>
      <c r="G17" t="s">
        <v>54</v>
      </c>
    </row>
    <row r="18" spans="1:7" x14ac:dyDescent="0.15">
      <c r="A18" s="4" t="s">
        <v>21</v>
      </c>
      <c r="B18" s="5" t="s">
        <v>95</v>
      </c>
      <c r="C18" s="5" t="s">
        <v>97</v>
      </c>
      <c r="D18" s="5" t="s">
        <v>99</v>
      </c>
      <c r="E18" s="12" t="s">
        <v>102</v>
      </c>
      <c r="F18" t="str">
        <f t="shared" si="0"/>
        <v>&lt;item&gt;2-2|大阪市営地下鉄|谷町線|谷町線 -RT|http://www.kotsu.city.osaka.jp/sub-info/main.pc.html&lt;/item&gt;</v>
      </c>
      <c r="G18" t="s">
        <v>55</v>
      </c>
    </row>
    <row r="19" spans="1:7" x14ac:dyDescent="0.15">
      <c r="A19" s="4" t="s">
        <v>22</v>
      </c>
      <c r="B19" s="5" t="s">
        <v>95</v>
      </c>
      <c r="C19" s="5" t="s">
        <v>100</v>
      </c>
      <c r="D19" s="5" t="s">
        <v>101</v>
      </c>
      <c r="E19" s="12" t="s">
        <v>102</v>
      </c>
      <c r="F19" t="str">
        <f t="shared" si="0"/>
        <v>&lt;item&gt;2-3|大阪市営地下鉄|四つ橋線|四つ橋線-RT|http://www.kotsu.city.osaka.jp/sub-info/main.pc.html&lt;/item&gt;</v>
      </c>
      <c r="G19" t="s">
        <v>56</v>
      </c>
    </row>
    <row r="20" spans="1:7" x14ac:dyDescent="0.15">
      <c r="A20" s="4" t="s">
        <v>23</v>
      </c>
      <c r="B20" s="5" t="s">
        <v>95</v>
      </c>
      <c r="C20" s="5" t="s">
        <v>0</v>
      </c>
      <c r="D20" s="5" t="s">
        <v>103</v>
      </c>
      <c r="E20" s="12" t="s">
        <v>102</v>
      </c>
      <c r="F20" t="str">
        <f>"&lt;item&gt;"&amp;A20&amp;"|"&amp;B20&amp;"|"&amp;C20&amp;"|"&amp;D20&amp;"|" &amp;E20&amp; "&lt;/item&gt;"</f>
        <v>&lt;item&gt;2-4|大阪市営地下鉄|中央線|地下鉄中央線 -RT|http://www.kotsu.city.osaka.jp/sub-info/main.pc.html&lt;/item&gt;</v>
      </c>
      <c r="G20" t="s">
        <v>57</v>
      </c>
    </row>
    <row r="21" spans="1:7" x14ac:dyDescent="0.15">
      <c r="A21" s="4" t="s">
        <v>24</v>
      </c>
      <c r="B21" s="5" t="s">
        <v>95</v>
      </c>
      <c r="C21" s="5" t="s">
        <v>104</v>
      </c>
      <c r="D21" s="5" t="s">
        <v>105</v>
      </c>
      <c r="E21" s="12" t="s">
        <v>102</v>
      </c>
      <c r="F21" t="str">
        <f t="shared" ref="F21:F58" si="1">"&lt;item&gt;"&amp;A21&amp;"|"&amp;B21&amp;"|"&amp;C21&amp;"|"&amp;D21&amp;"|" &amp;E21&amp; "&lt;/item&gt;"</f>
        <v>&lt;item&gt;2-5|大阪市営地下鉄|千日前線|千日前線 -RT|http://www.kotsu.city.osaka.jp/sub-info/main.pc.html&lt;/item&gt;</v>
      </c>
      <c r="G21" t="s">
        <v>58</v>
      </c>
    </row>
    <row r="22" spans="1:7" x14ac:dyDescent="0.15">
      <c r="A22" s="4" t="s">
        <v>25</v>
      </c>
      <c r="B22" s="5" t="s">
        <v>95</v>
      </c>
      <c r="C22" s="5" t="s">
        <v>106</v>
      </c>
      <c r="D22" s="5" t="s">
        <v>107</v>
      </c>
      <c r="E22" s="12" t="s">
        <v>102</v>
      </c>
      <c r="F22" t="str">
        <f t="shared" si="1"/>
        <v>&lt;item&gt;2-6|大阪市営地下鉄|堺筋線|堺筋線 -RT|http://www.kotsu.city.osaka.jp/sub-info/main.pc.html&lt;/item&gt;</v>
      </c>
      <c r="G22" t="s">
        <v>59</v>
      </c>
    </row>
    <row r="23" spans="1:7" x14ac:dyDescent="0.15">
      <c r="A23" s="4" t="s">
        <v>26</v>
      </c>
      <c r="B23" s="5" t="s">
        <v>95</v>
      </c>
      <c r="C23" s="5" t="s">
        <v>108</v>
      </c>
      <c r="D23" s="5" t="s">
        <v>109</v>
      </c>
      <c r="E23" s="12" t="s">
        <v>102</v>
      </c>
      <c r="F23" t="str">
        <f t="shared" si="1"/>
        <v>&lt;item&gt;2-7|大阪市営地下鉄|長堀鶴見緑地線|長堀鶴見緑地線 -RT|http://www.kotsu.city.osaka.jp/sub-info/main.pc.html&lt;/item&gt;</v>
      </c>
      <c r="G23" t="s">
        <v>60</v>
      </c>
    </row>
    <row r="24" spans="1:7" x14ac:dyDescent="0.15">
      <c r="A24" s="4" t="s">
        <v>27</v>
      </c>
      <c r="B24" s="5" t="s">
        <v>95</v>
      </c>
      <c r="C24" s="5" t="s">
        <v>110</v>
      </c>
      <c r="D24" s="5" t="s">
        <v>111</v>
      </c>
      <c r="E24" s="12" t="s">
        <v>102</v>
      </c>
      <c r="F24" t="str">
        <f t="shared" ref="F24" si="2">"&lt;item&gt;"&amp;A24&amp;"|"&amp;B24&amp;"|"&amp;C24&amp;"|"&amp;D24&amp;"|" &amp;E24&amp; "&lt;/item&gt;"</f>
        <v>&lt;item&gt;2-8|大阪市営地下鉄|南港ポートタウン線|南港ポートタウン線 -RT|http://www.kotsu.city.osaka.jp/sub-info/main.pc.html&lt;/item&gt;</v>
      </c>
      <c r="G24" t="s">
        <v>61</v>
      </c>
    </row>
    <row r="25" spans="1:7" x14ac:dyDescent="0.15">
      <c r="A25" s="6" t="s">
        <v>112</v>
      </c>
      <c r="B25" s="7" t="s">
        <v>95</v>
      </c>
      <c r="C25" s="7" t="s">
        <v>113</v>
      </c>
      <c r="D25" s="7" t="s">
        <v>114</v>
      </c>
      <c r="E25" s="13" t="s">
        <v>102</v>
      </c>
      <c r="F25" t="str">
        <f t="shared" si="1"/>
        <v>&lt;item&gt;2-9|大阪市営地下鉄|今里筋線|今里筋線 -RT|http://www.kotsu.city.osaka.jp/sub-info/main.pc.html&lt;/item&gt;</v>
      </c>
      <c r="G25" t="s">
        <v>61</v>
      </c>
    </row>
    <row r="26" spans="1:7" x14ac:dyDescent="0.15">
      <c r="A26" s="2" t="s">
        <v>28</v>
      </c>
      <c r="B26" s="3" t="s">
        <v>144</v>
      </c>
      <c r="C26" s="3" t="s">
        <v>145</v>
      </c>
      <c r="D26" s="3" t="s">
        <v>146</v>
      </c>
      <c r="E26" s="20" t="s">
        <v>163</v>
      </c>
      <c r="F26" t="str">
        <f t="shared" si="1"/>
        <v>&lt;item&gt;3-1|近畿日本鉄道|近鉄大阪線|近鉄大阪線 -RT|http://www.kintetsu.jp/unkou/unkou.html&lt;/item&gt;</v>
      </c>
      <c r="G26" t="s">
        <v>62</v>
      </c>
    </row>
    <row r="27" spans="1:7" x14ac:dyDescent="0.15">
      <c r="A27" s="4" t="s">
        <v>29</v>
      </c>
      <c r="B27" s="5" t="s">
        <v>144</v>
      </c>
      <c r="C27" s="5" t="s">
        <v>147</v>
      </c>
      <c r="D27" s="5" t="s">
        <v>148</v>
      </c>
      <c r="E27" s="12" t="s">
        <v>163</v>
      </c>
      <c r="F27" t="str">
        <f t="shared" si="1"/>
        <v>&lt;item&gt;3-2|近畿日本鉄道|近鉄奈良線|近鉄奈良線 -RT|http://www.kintetsu.jp/unkou/unkou.html&lt;/item&gt;</v>
      </c>
      <c r="G27" t="s">
        <v>63</v>
      </c>
    </row>
    <row r="28" spans="1:7" x14ac:dyDescent="0.15">
      <c r="A28" s="4" t="s">
        <v>30</v>
      </c>
      <c r="B28" s="5" t="s">
        <v>144</v>
      </c>
      <c r="C28" s="5" t="s">
        <v>149</v>
      </c>
      <c r="D28" s="5" t="s">
        <v>150</v>
      </c>
      <c r="E28" s="12" t="s">
        <v>163</v>
      </c>
      <c r="F28" t="str">
        <f t="shared" si="1"/>
        <v>&lt;item&gt;3-3|近畿日本鉄道|近鉄けいはんな線|近鉄けいはんな線 OR けいはんな線 -RT|http://www.kintetsu.jp/unkou/unkou.html&lt;/item&gt;</v>
      </c>
      <c r="G28" t="s">
        <v>64</v>
      </c>
    </row>
    <row r="29" spans="1:7" x14ac:dyDescent="0.15">
      <c r="A29" s="4" t="s">
        <v>31</v>
      </c>
      <c r="B29" s="5" t="s">
        <v>144</v>
      </c>
      <c r="C29" s="5" t="s">
        <v>151</v>
      </c>
      <c r="D29" s="5" t="s">
        <v>156</v>
      </c>
      <c r="E29" s="12" t="s">
        <v>163</v>
      </c>
      <c r="F29" t="str">
        <f t="shared" si="1"/>
        <v>&lt;item&gt;3-4|近畿日本鉄道|近鉄信貴線|近鉄信貴線 -RT|http://www.kintetsu.jp/unkou/unkou.html&lt;/item&gt;</v>
      </c>
      <c r="G29" t="s">
        <v>65</v>
      </c>
    </row>
    <row r="30" spans="1:7" x14ac:dyDescent="0.15">
      <c r="A30" s="4" t="s">
        <v>32</v>
      </c>
      <c r="B30" s="5" t="s">
        <v>144</v>
      </c>
      <c r="C30" s="5" t="s">
        <v>152</v>
      </c>
      <c r="D30" s="5" t="s">
        <v>157</v>
      </c>
      <c r="E30" s="12" t="s">
        <v>163</v>
      </c>
      <c r="F30" t="str">
        <f t="shared" si="1"/>
        <v>&lt;item&gt;3-5|近畿日本鉄道|近鉄南大阪線|近鉄南大阪線 -RT|http://www.kintetsu.jp/unkou/unkou.html&lt;/item&gt;</v>
      </c>
    </row>
    <row r="31" spans="1:7" x14ac:dyDescent="0.15">
      <c r="A31" s="4" t="s">
        <v>33</v>
      </c>
      <c r="B31" s="5" t="s">
        <v>144</v>
      </c>
      <c r="C31" s="5" t="s">
        <v>153</v>
      </c>
      <c r="D31" s="5" t="s">
        <v>158</v>
      </c>
      <c r="E31" s="12" t="s">
        <v>163</v>
      </c>
      <c r="F31" t="str">
        <f t="shared" si="1"/>
        <v>&lt;item&gt;3-6|近畿日本鉄道|近鉄長野線|近鉄長野線 -RT|http://www.kintetsu.jp/unkou/unkou.html&lt;/item&gt;</v>
      </c>
    </row>
    <row r="32" spans="1:7" x14ac:dyDescent="0.15">
      <c r="A32" s="4" t="s">
        <v>161</v>
      </c>
      <c r="B32" s="5" t="s">
        <v>144</v>
      </c>
      <c r="C32" s="5" t="s">
        <v>154</v>
      </c>
      <c r="D32" s="5" t="s">
        <v>159</v>
      </c>
      <c r="E32" s="12" t="s">
        <v>163</v>
      </c>
      <c r="F32" t="str">
        <f t="shared" si="1"/>
        <v>&lt;item&gt;3-7|近畿日本鉄道|近鉄道明寺線|近鉄道明寺線 -RT|http://www.kintetsu.jp/unkou/unkou.html&lt;/item&gt;</v>
      </c>
    </row>
    <row r="33" spans="1:7" x14ac:dyDescent="0.15">
      <c r="A33" s="6" t="s">
        <v>162</v>
      </c>
      <c r="B33" s="7" t="s">
        <v>144</v>
      </c>
      <c r="C33" s="7" t="s">
        <v>155</v>
      </c>
      <c r="D33" s="7" t="s">
        <v>160</v>
      </c>
      <c r="E33" s="13" t="s">
        <v>163</v>
      </c>
      <c r="F33" t="str">
        <f t="shared" si="1"/>
        <v>&lt;item&gt;3-8|近畿日本鉄道|近鉄西信貴ケーブル|近鉄西信貴ケーブル -RT|http://www.kintetsu.jp/unkou/unkou.html&lt;/item&gt;</v>
      </c>
      <c r="G33" t="s">
        <v>66</v>
      </c>
    </row>
    <row r="34" spans="1:7" x14ac:dyDescent="0.15">
      <c r="A34" s="2" t="s">
        <v>34</v>
      </c>
      <c r="B34" s="3" t="s">
        <v>176</v>
      </c>
      <c r="C34" s="3" t="s">
        <v>164</v>
      </c>
      <c r="D34" s="3" t="s">
        <v>170</v>
      </c>
      <c r="E34" s="21" t="s">
        <v>177</v>
      </c>
      <c r="F34" t="str">
        <f t="shared" si="1"/>
        <v>&lt;item&gt;4-1|南海電気鉄道|南海本線|南海本線 -RT|http://www.nankai.co.jp/cgi-bin/retuinfo.cgi&lt;/item&gt;</v>
      </c>
      <c r="G34" t="s">
        <v>67</v>
      </c>
    </row>
    <row r="35" spans="1:7" x14ac:dyDescent="0.15">
      <c r="A35" s="4" t="s">
        <v>35</v>
      </c>
      <c r="B35" s="5" t="s">
        <v>176</v>
      </c>
      <c r="C35" s="5" t="s">
        <v>165</v>
      </c>
      <c r="D35" s="5" t="s">
        <v>171</v>
      </c>
      <c r="E35" s="15" t="s">
        <v>177</v>
      </c>
      <c r="F35" t="str">
        <f t="shared" si="1"/>
        <v>&lt;item&gt;4-2|南海電気鉄道|南海高師浜線|南海高師浜線 -RT|http://www.nankai.co.jp/cgi-bin/retuinfo.cgi&lt;/item&gt;</v>
      </c>
      <c r="G35" t="s">
        <v>68</v>
      </c>
    </row>
    <row r="36" spans="1:7" x14ac:dyDescent="0.15">
      <c r="A36" s="4" t="s">
        <v>36</v>
      </c>
      <c r="B36" s="5" t="s">
        <v>176</v>
      </c>
      <c r="C36" s="5" t="s">
        <v>166</v>
      </c>
      <c r="D36" s="5" t="s">
        <v>172</v>
      </c>
      <c r="E36" s="15" t="s">
        <v>177</v>
      </c>
      <c r="F36" t="str">
        <f t="shared" si="1"/>
        <v>&lt;item&gt;4-3|南海電気鉄道|南海空港線|南海空港線 -RT|http://www.nankai.co.jp/cgi-bin/retuinfo.cgi&lt;/item&gt;</v>
      </c>
      <c r="G36" t="s">
        <v>69</v>
      </c>
    </row>
    <row r="37" spans="1:7" x14ac:dyDescent="0.15">
      <c r="A37" s="4" t="s">
        <v>37</v>
      </c>
      <c r="B37" s="5" t="s">
        <v>176</v>
      </c>
      <c r="C37" s="5" t="s">
        <v>167</v>
      </c>
      <c r="D37" s="5" t="s">
        <v>173</v>
      </c>
      <c r="E37" s="15" t="s">
        <v>177</v>
      </c>
      <c r="F37" t="str">
        <f t="shared" si="1"/>
        <v>&lt;item&gt;4-4|南海電気鉄道|南海多奈川線|南海多奈川線 -RT|http://www.nankai.co.jp/cgi-bin/retuinfo.cgi&lt;/item&gt;</v>
      </c>
      <c r="G37" t="s">
        <v>70</v>
      </c>
    </row>
    <row r="38" spans="1:7" x14ac:dyDescent="0.15">
      <c r="A38" s="4" t="s">
        <v>38</v>
      </c>
      <c r="B38" s="5" t="s">
        <v>176</v>
      </c>
      <c r="C38" s="5" t="s">
        <v>168</v>
      </c>
      <c r="D38" s="5" t="s">
        <v>174</v>
      </c>
      <c r="E38" s="15" t="s">
        <v>177</v>
      </c>
      <c r="F38" t="str">
        <f t="shared" si="1"/>
        <v>&lt;item&gt;4-5|南海電気鉄道|南海高野線|南海高野線 -RT|http://www.nankai.co.jp/cgi-bin/retuinfo.cgi&lt;/item&gt;</v>
      </c>
      <c r="G38" t="s">
        <v>71</v>
      </c>
    </row>
    <row r="39" spans="1:7" x14ac:dyDescent="0.15">
      <c r="A39" s="6" t="s">
        <v>39</v>
      </c>
      <c r="B39" s="7" t="s">
        <v>176</v>
      </c>
      <c r="C39" s="7" t="s">
        <v>169</v>
      </c>
      <c r="D39" s="7" t="s">
        <v>175</v>
      </c>
      <c r="E39" s="16" t="s">
        <v>177</v>
      </c>
      <c r="F39" t="str">
        <f t="shared" si="1"/>
        <v>&lt;item&gt;4-6|南海電気鉄道|南海汐見橋線|南海汐見橋線 -RT|http://www.nankai.co.jp/cgi-bin/retuinfo.cgi&lt;/item&gt;</v>
      </c>
      <c r="G39" t="s">
        <v>72</v>
      </c>
    </row>
    <row r="40" spans="1:7" x14ac:dyDescent="0.15">
      <c r="A40" s="2" t="s">
        <v>206</v>
      </c>
      <c r="B40" s="3" t="s">
        <v>178</v>
      </c>
      <c r="C40" s="3" t="s">
        <v>179</v>
      </c>
      <c r="D40" s="3" t="s">
        <v>182</v>
      </c>
      <c r="E40" s="21" t="s">
        <v>185</v>
      </c>
      <c r="F40" t="str">
        <f t="shared" si="1"/>
        <v>&lt;item&gt;5-1|京阪電気鉄道|京阪本線|京阪本線 -RT|http://www.keihan.co.jp/traffic/traintraffic/&lt;/item&gt;</v>
      </c>
      <c r="G40" t="s">
        <v>73</v>
      </c>
    </row>
    <row r="41" spans="1:7" x14ac:dyDescent="0.15">
      <c r="A41" s="4" t="s">
        <v>207</v>
      </c>
      <c r="B41" s="5" t="s">
        <v>178</v>
      </c>
      <c r="C41" s="5" t="s">
        <v>180</v>
      </c>
      <c r="D41" s="5" t="s">
        <v>183</v>
      </c>
      <c r="E41" s="15" t="s">
        <v>185</v>
      </c>
      <c r="F41" t="str">
        <f t="shared" si="1"/>
        <v>&lt;item&gt;5-2|京阪電気鉄道|京阪交野線|京阪交野線 -RT|http://www.keihan.co.jp/traffic/traintraffic/&lt;/item&gt;</v>
      </c>
      <c r="G41" t="s">
        <v>74</v>
      </c>
    </row>
    <row r="42" spans="1:7" x14ac:dyDescent="0.15">
      <c r="A42" s="6" t="s">
        <v>208</v>
      </c>
      <c r="B42" s="7" t="s">
        <v>178</v>
      </c>
      <c r="C42" s="7" t="s">
        <v>181</v>
      </c>
      <c r="D42" s="7" t="s">
        <v>184</v>
      </c>
      <c r="E42" s="16" t="s">
        <v>185</v>
      </c>
      <c r="F42" t="str">
        <f t="shared" si="1"/>
        <v>&lt;item&gt;5-3|京阪電気鉄道|京阪中之島線|京阪中之島線 -RT|http://www.keihan.co.jp/traffic/traintraffic/&lt;/item&gt;</v>
      </c>
      <c r="G42" t="s">
        <v>75</v>
      </c>
    </row>
    <row r="43" spans="1:7" x14ac:dyDescent="0.15">
      <c r="A43" s="2" t="s">
        <v>209</v>
      </c>
      <c r="B43" s="3" t="s">
        <v>191</v>
      </c>
      <c r="C43" s="3" t="s">
        <v>186</v>
      </c>
      <c r="D43" s="3" t="s">
        <v>192</v>
      </c>
      <c r="E43" s="22" t="s">
        <v>202</v>
      </c>
      <c r="F43" t="str">
        <f t="shared" si="1"/>
        <v>&lt;item&gt;6-1|阪急電鉄|阪急京都本線|阪急京都本線 -RT|http://rail.hankyu.co.jp/railinfo/&lt;/item&gt;</v>
      </c>
      <c r="G43" t="s">
        <v>76</v>
      </c>
    </row>
    <row r="44" spans="1:7" x14ac:dyDescent="0.15">
      <c r="A44" s="4" t="s">
        <v>210</v>
      </c>
      <c r="B44" s="5" t="s">
        <v>191</v>
      </c>
      <c r="C44" s="5" t="s">
        <v>187</v>
      </c>
      <c r="D44" s="5" t="s">
        <v>193</v>
      </c>
      <c r="E44" s="14" t="s">
        <v>202</v>
      </c>
      <c r="F44" t="str">
        <f t="shared" si="1"/>
        <v>&lt;item&gt;6-2|阪急電鉄|阪急千里線|阪急千里線 -RT|http://rail.hankyu.co.jp/railinfo/&lt;/item&gt;</v>
      </c>
      <c r="G44" t="s">
        <v>77</v>
      </c>
    </row>
    <row r="45" spans="1:7" x14ac:dyDescent="0.15">
      <c r="A45" s="4" t="s">
        <v>211</v>
      </c>
      <c r="B45" s="5" t="s">
        <v>191</v>
      </c>
      <c r="C45" s="5" t="s">
        <v>188</v>
      </c>
      <c r="D45" s="5" t="s">
        <v>194</v>
      </c>
      <c r="E45" s="14" t="s">
        <v>202</v>
      </c>
      <c r="F45" t="str">
        <f t="shared" si="1"/>
        <v>&lt;item&gt;6-3|阪急電鉄|阪急宝塚本線|阪急宝塚本線 -RT|http://rail.hankyu.co.jp/railinfo/&lt;/item&gt;</v>
      </c>
      <c r="G45" t="s">
        <v>78</v>
      </c>
    </row>
    <row r="46" spans="1:7" x14ac:dyDescent="0.15">
      <c r="A46" s="4" t="s">
        <v>212</v>
      </c>
      <c r="B46" s="5" t="s">
        <v>191</v>
      </c>
      <c r="C46" s="5" t="s">
        <v>189</v>
      </c>
      <c r="D46" s="5" t="s">
        <v>195</v>
      </c>
      <c r="E46" s="14" t="s">
        <v>202</v>
      </c>
      <c r="F46" t="str">
        <f t="shared" si="1"/>
        <v>&lt;item&gt;6-4|阪急電鉄|阪急箕面線|阪急箕面線 -RT|http://rail.hankyu.co.jp/railinfo/&lt;/item&gt;</v>
      </c>
      <c r="G46" t="s">
        <v>79</v>
      </c>
    </row>
    <row r="47" spans="1:7" x14ac:dyDescent="0.15">
      <c r="A47" s="6" t="s">
        <v>213</v>
      </c>
      <c r="B47" s="7" t="s">
        <v>191</v>
      </c>
      <c r="C47" s="7" t="s">
        <v>190</v>
      </c>
      <c r="D47" s="7" t="s">
        <v>196</v>
      </c>
      <c r="E47" s="14" t="s">
        <v>202</v>
      </c>
      <c r="F47" t="str">
        <f t="shared" si="1"/>
        <v>&lt;item&gt;6-5|阪急電鉄|阪急神戸本線|阪急神戸本線 -RT|http://rail.hankyu.co.jp/railinfo/&lt;/item&gt;</v>
      </c>
      <c r="G47" t="s">
        <v>80</v>
      </c>
    </row>
    <row r="48" spans="1:7" x14ac:dyDescent="0.15">
      <c r="A48" s="2" t="s">
        <v>214</v>
      </c>
      <c r="B48" s="3" t="s">
        <v>197</v>
      </c>
      <c r="C48" s="3" t="s">
        <v>198</v>
      </c>
      <c r="D48" s="3" t="s">
        <v>201</v>
      </c>
      <c r="E48" s="21" t="s">
        <v>203</v>
      </c>
      <c r="F48" t="str">
        <f t="shared" si="1"/>
        <v>&lt;item&gt;7-1|阪神電気鉄道|阪神本線|阪神本線 -RT|http://www.hanshin.co.jp/railinfo/&lt;/item&gt;</v>
      </c>
      <c r="G48" t="s">
        <v>81</v>
      </c>
    </row>
    <row r="49" spans="1:7" x14ac:dyDescent="0.15">
      <c r="A49" s="4" t="s">
        <v>215</v>
      </c>
      <c r="B49" s="5" t="s">
        <v>197</v>
      </c>
      <c r="C49" s="5" t="s">
        <v>199</v>
      </c>
      <c r="D49" s="5" t="s">
        <v>200</v>
      </c>
      <c r="E49" s="15" t="s">
        <v>203</v>
      </c>
      <c r="F49" t="str">
        <f t="shared" ref="F49" si="3">"&lt;item&gt;"&amp;A49&amp;"|"&amp;B49&amp;"|"&amp;C49&amp;"|"&amp;D49&amp;"|" &amp;E49&amp; "&lt;/item&gt;"</f>
        <v>&lt;item&gt;7-2|阪神電気鉄道|阪神なんば線|阪神なんば線 -RT|http://www.hanshin.co.jp/railinfo/&lt;/item&gt;</v>
      </c>
      <c r="G49" t="s">
        <v>82</v>
      </c>
    </row>
    <row r="50" spans="1:7" x14ac:dyDescent="0.15">
      <c r="A50" s="6" t="s">
        <v>216</v>
      </c>
      <c r="B50" s="7" t="s">
        <v>197</v>
      </c>
      <c r="C50" s="7" t="s">
        <v>204</v>
      </c>
      <c r="D50" s="7" t="s">
        <v>205</v>
      </c>
      <c r="E50" s="16" t="s">
        <v>203</v>
      </c>
      <c r="F50" t="str">
        <f t="shared" si="1"/>
        <v>&lt;item&gt;7-3|阪神電気鉄道|阪神武庫川線|阪神武庫川線 -RT|http://www.hanshin.co.jp/railinfo/&lt;/item&gt;</v>
      </c>
      <c r="G50" t="s">
        <v>82</v>
      </c>
    </row>
    <row r="51" spans="1:7" x14ac:dyDescent="0.15">
      <c r="A51" s="2" t="s">
        <v>223</v>
      </c>
      <c r="B51" s="3" t="s">
        <v>217</v>
      </c>
      <c r="C51" s="3" t="s">
        <v>218</v>
      </c>
      <c r="D51" s="3" t="s">
        <v>220</v>
      </c>
      <c r="E51" s="21" t="s">
        <v>222</v>
      </c>
      <c r="F51" t="str">
        <f t="shared" si="1"/>
        <v>&lt;item&gt;8-1|大阪高速鉄道|大阪モノレール|大阪モノレール -RT|http://www.osaka-monorail.co.jp/&lt;/item&gt;</v>
      </c>
      <c r="G51" t="s">
        <v>83</v>
      </c>
    </row>
    <row r="52" spans="1:7" x14ac:dyDescent="0.15">
      <c r="A52" s="6" t="s">
        <v>224</v>
      </c>
      <c r="B52" s="7" t="s">
        <v>217</v>
      </c>
      <c r="C52" s="7" t="s">
        <v>219</v>
      </c>
      <c r="D52" s="7" t="s">
        <v>221</v>
      </c>
      <c r="E52" s="16" t="s">
        <v>222</v>
      </c>
      <c r="F52" t="str">
        <f t="shared" si="1"/>
        <v>&lt;item&gt;8-2|大阪高速鉄道|大阪モノレール彩都線|大阪モノレール彩都線 -RT|http://www.osaka-monorail.co.jp/&lt;/item&gt;</v>
      </c>
      <c r="G52" t="s">
        <v>84</v>
      </c>
    </row>
    <row r="53" spans="1:7" x14ac:dyDescent="0.15">
      <c r="A53" s="23" t="s">
        <v>229</v>
      </c>
      <c r="B53" s="24" t="s">
        <v>225</v>
      </c>
      <c r="C53" s="10" t="s">
        <v>226</v>
      </c>
      <c r="D53" s="10" t="s">
        <v>227</v>
      </c>
      <c r="E53" s="25" t="s">
        <v>228</v>
      </c>
      <c r="F53" t="str">
        <f t="shared" si="1"/>
        <v>&lt;item&gt;9-1|北大阪急行電鉄|北大阪急行|北大阪急行 -RT|http://www.kita-kyu.co.jp/rinku.html&lt;/item&gt;</v>
      </c>
      <c r="G53" t="s">
        <v>85</v>
      </c>
    </row>
    <row r="54" spans="1:7" x14ac:dyDescent="0.15">
      <c r="A54" s="2" t="s">
        <v>242</v>
      </c>
      <c r="B54" s="3" t="s">
        <v>241</v>
      </c>
      <c r="C54" s="3" t="s">
        <v>230</v>
      </c>
      <c r="D54" s="3" t="s">
        <v>235</v>
      </c>
      <c r="E54" s="21" t="s">
        <v>247</v>
      </c>
      <c r="F54" t="str">
        <f t="shared" si="1"/>
        <v>&lt;item&gt;10-1|その他|泉北高速鉄道|泉北高速鉄道 -RT|http://www.semboku.jp/delayinfo/&lt;/item&gt;</v>
      </c>
      <c r="G54" t="s">
        <v>86</v>
      </c>
    </row>
    <row r="55" spans="1:7" x14ac:dyDescent="0.15">
      <c r="A55" s="4" t="s">
        <v>243</v>
      </c>
      <c r="B55" s="5" t="s">
        <v>240</v>
      </c>
      <c r="C55" s="5" t="s">
        <v>231</v>
      </c>
      <c r="D55" s="5" t="s">
        <v>236</v>
      </c>
      <c r="E55" s="15" t="s">
        <v>248</v>
      </c>
      <c r="F55" t="str">
        <f t="shared" si="1"/>
        <v>&lt;item&gt;10-2|その他|阪堺電軌阪堺線|阪堺電軌阪堺線 -RT|http://www.hankai.co.jp/&lt;/item&gt;</v>
      </c>
      <c r="G55" t="s">
        <v>87</v>
      </c>
    </row>
    <row r="56" spans="1:7" x14ac:dyDescent="0.15">
      <c r="A56" s="4" t="s">
        <v>244</v>
      </c>
      <c r="B56" s="5" t="s">
        <v>240</v>
      </c>
      <c r="C56" s="5" t="s">
        <v>232</v>
      </c>
      <c r="D56" s="5" t="s">
        <v>237</v>
      </c>
      <c r="E56" s="15" t="s">
        <v>248</v>
      </c>
      <c r="F56" t="str">
        <f t="shared" si="1"/>
        <v>&lt;item&gt;10-3|その他|阪堺電軌上町線|阪堺電軌上町線 -RT|http://www.hankai.co.jp/&lt;/item&gt;</v>
      </c>
      <c r="G56" t="s">
        <v>88</v>
      </c>
    </row>
    <row r="57" spans="1:7" x14ac:dyDescent="0.15">
      <c r="A57" s="4" t="s">
        <v>245</v>
      </c>
      <c r="B57" s="5" t="s">
        <v>240</v>
      </c>
      <c r="C57" s="5" t="s">
        <v>233</v>
      </c>
      <c r="D57" s="5" t="s">
        <v>238</v>
      </c>
      <c r="E57" s="15" t="s">
        <v>249</v>
      </c>
      <c r="F57" t="str">
        <f t="shared" si="1"/>
        <v>&lt;item&gt;10-4|その他|水間鉄道|水間鉄道 -RT|http://www.suitetsu.com/&lt;/item&gt;</v>
      </c>
      <c r="G57" t="s">
        <v>89</v>
      </c>
    </row>
    <row r="58" spans="1:7" x14ac:dyDescent="0.15">
      <c r="A58" s="6" t="s">
        <v>246</v>
      </c>
      <c r="B58" s="7" t="s">
        <v>240</v>
      </c>
      <c r="C58" s="7" t="s">
        <v>234</v>
      </c>
      <c r="D58" s="7" t="s">
        <v>239</v>
      </c>
      <c r="E58" s="16" t="s">
        <v>248</v>
      </c>
      <c r="F58" t="str">
        <f t="shared" si="1"/>
        <v>&lt;item&gt;10-5|その他|妙見線|妙見線 -RT|http://www.hankai.co.jp/&lt;/item&gt;</v>
      </c>
      <c r="G58" t="s">
        <v>90</v>
      </c>
    </row>
  </sheetData>
  <phoneticPr fontId="1"/>
  <hyperlinks>
    <hyperlink ref="E2" r:id="rId1"/>
    <hyperlink ref="E17" r:id="rId2"/>
    <hyperlink ref="E18" r:id="rId3"/>
    <hyperlink ref="E19" r:id="rId4"/>
    <hyperlink ref="E20" r:id="rId5"/>
    <hyperlink ref="E21" r:id="rId6"/>
    <hyperlink ref="E22" r:id="rId7"/>
    <hyperlink ref="E23" r:id="rId8"/>
    <hyperlink ref="E25" r:id="rId9"/>
    <hyperlink ref="E24" r:id="rId10"/>
    <hyperlink ref="E3" r:id="rId11"/>
    <hyperlink ref="E4" r:id="rId12"/>
    <hyperlink ref="E5" r:id="rId13"/>
    <hyperlink ref="E6" r:id="rId14"/>
    <hyperlink ref="E7" r:id="rId15"/>
    <hyperlink ref="E8" r:id="rId16"/>
    <hyperlink ref="E9" r:id="rId17"/>
    <hyperlink ref="E10" r:id="rId18"/>
    <hyperlink ref="E11" r:id="rId19"/>
    <hyperlink ref="E12" r:id="rId20"/>
    <hyperlink ref="E13" r:id="rId21"/>
    <hyperlink ref="E14" r:id="rId22"/>
    <hyperlink ref="E15" r:id="rId23"/>
    <hyperlink ref="E16" r:id="rId24"/>
    <hyperlink ref="E26:E33" r:id="rId25" display="http://www.seibu-group.co.jp/railways/unten/unten.asp"/>
    <hyperlink ref="E34" r:id="rId26"/>
    <hyperlink ref="E35" r:id="rId27"/>
    <hyperlink ref="E36" r:id="rId28"/>
    <hyperlink ref="E37" r:id="rId29"/>
    <hyperlink ref="E38" r:id="rId30"/>
    <hyperlink ref="E39" r:id="rId31"/>
    <hyperlink ref="E40" r:id="rId32"/>
    <hyperlink ref="E41" r:id="rId33"/>
    <hyperlink ref="E42" r:id="rId34"/>
    <hyperlink ref="E43" r:id="rId35"/>
    <hyperlink ref="E44" r:id="rId36"/>
    <hyperlink ref="E45" r:id="rId37"/>
    <hyperlink ref="E46" r:id="rId38"/>
    <hyperlink ref="E47" r:id="rId39"/>
    <hyperlink ref="E48" r:id="rId40"/>
    <hyperlink ref="E50" r:id="rId41"/>
    <hyperlink ref="E49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</hyperlinks>
  <pageMargins left="0.7" right="0.7" top="0.75" bottom="0.75" header="0.3" footer="0.3"/>
  <pageSetup paperSize="9" orientation="portrait" r:id="rId51"/>
  <customProperties>
    <customPr name="DVSECTIONID" r:id="rId5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customProperties>
    <customPr name="DVSECTION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customProperties>
    <customPr name="DVSECTION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2"/>
  <sheetViews>
    <sheetView workbookViewId="0">
      <selection activeCell="HN2" sqref="HN2"/>
    </sheetView>
  </sheetViews>
  <sheetFormatPr defaultRowHeight="13.5" x14ac:dyDescent="0.15"/>
  <sheetData>
    <row r="1" spans="1:256" x14ac:dyDescent="0.15">
      <c r="A1" t="e">
        <f>IF(Sheet1!1:1,"AAAAAD//FgA=",0)</f>
        <v>#VALUE!</v>
      </c>
      <c r="B1" t="e">
        <f>AND(Sheet1!A1,"AAAAAD//FgE=")</f>
        <v>#VALUE!</v>
      </c>
      <c r="C1" t="e">
        <f>AND(Sheet1!B1,"AAAAAD//FgI=")</f>
        <v>#VALUE!</v>
      </c>
      <c r="D1" t="e">
        <f>AND(Sheet1!C1,"AAAAAD//FgM=")</f>
        <v>#VALUE!</v>
      </c>
      <c r="E1" t="e">
        <f>AND(Sheet1!D1,"AAAAAD//FgQ=")</f>
        <v>#VALUE!</v>
      </c>
      <c r="F1" t="e">
        <f>AND(Sheet1!E1,"AAAAAD//FgU=")</f>
        <v>#VALUE!</v>
      </c>
      <c r="G1" t="e">
        <f>AND(Sheet1!F1,"AAAAAD//FgY=")</f>
        <v>#VALUE!</v>
      </c>
      <c r="H1" t="e">
        <f>AND(Sheet1!G1,"AAAAAD//Fgc=")</f>
        <v>#VALUE!</v>
      </c>
      <c r="I1">
        <f>IF(Sheet1!2:2,"AAAAAD//Fgg=",0)</f>
        <v>0</v>
      </c>
      <c r="J1" t="e">
        <f>AND(Sheet1!A2,"AAAAAD//Fgk=")</f>
        <v>#VALUE!</v>
      </c>
      <c r="K1" t="e">
        <f>AND(Sheet1!B2,"AAAAAD//Fgo=")</f>
        <v>#VALUE!</v>
      </c>
      <c r="L1" t="e">
        <f>AND(Sheet1!C2,"AAAAAD//Fgs=")</f>
        <v>#VALUE!</v>
      </c>
      <c r="M1" t="e">
        <f>AND(Sheet1!D2,"AAAAAD//Fgw=")</f>
        <v>#VALUE!</v>
      </c>
      <c r="N1" t="e">
        <f>AND(Sheet1!E2,"AAAAAD//Fg0=")</f>
        <v>#VALUE!</v>
      </c>
      <c r="O1" t="e">
        <f>AND(Sheet1!F2,"AAAAAD//Fg4=")</f>
        <v>#VALUE!</v>
      </c>
      <c r="P1" t="e">
        <f>AND(Sheet1!G2,"AAAAAD//Fg8=")</f>
        <v>#VALUE!</v>
      </c>
      <c r="Q1">
        <f>IF(Sheet1!3:3,"AAAAAD//FhA=",0)</f>
        <v>0</v>
      </c>
      <c r="R1" t="e">
        <f>AND(Sheet1!A3,"AAAAAD//FhE=")</f>
        <v>#VALUE!</v>
      </c>
      <c r="S1" t="e">
        <f>AND(Sheet1!B3,"AAAAAD//FhI=")</f>
        <v>#VALUE!</v>
      </c>
      <c r="T1" t="e">
        <f>AND(Sheet1!C3,"AAAAAD//FhM=")</f>
        <v>#VALUE!</v>
      </c>
      <c r="U1" t="e">
        <f>AND(Sheet1!D3,"AAAAAD//FhQ=")</f>
        <v>#VALUE!</v>
      </c>
      <c r="V1" t="e">
        <f>AND(Sheet1!E3,"AAAAAD//FhU=")</f>
        <v>#VALUE!</v>
      </c>
      <c r="W1" t="e">
        <f>AND(Sheet1!F3,"AAAAAD//FhY=")</f>
        <v>#VALUE!</v>
      </c>
      <c r="X1" t="e">
        <f>AND(Sheet1!G3,"AAAAAD//Fhc=")</f>
        <v>#VALUE!</v>
      </c>
      <c r="Y1">
        <f>IF(Sheet1!4:4,"AAAAAD//Fhg=",0)</f>
        <v>0</v>
      </c>
      <c r="Z1" t="e">
        <f>AND(Sheet1!A4,"AAAAAD//Fhk=")</f>
        <v>#VALUE!</v>
      </c>
      <c r="AA1" t="e">
        <f>AND(Sheet1!B4,"AAAAAD//Fho=")</f>
        <v>#VALUE!</v>
      </c>
      <c r="AB1" t="e">
        <f>AND(Sheet1!C4,"AAAAAD//Fhs=")</f>
        <v>#VALUE!</v>
      </c>
      <c r="AC1" t="e">
        <f>AND(Sheet1!D4,"AAAAAD//Fhw=")</f>
        <v>#VALUE!</v>
      </c>
      <c r="AD1" t="e">
        <f>AND(Sheet1!E4,"AAAAAD//Fh0=")</f>
        <v>#VALUE!</v>
      </c>
      <c r="AE1" t="e">
        <f>AND(Sheet1!F4,"AAAAAD//Fh4=")</f>
        <v>#VALUE!</v>
      </c>
      <c r="AF1" t="e">
        <f>AND(Sheet1!G4,"AAAAAD//Fh8=")</f>
        <v>#VALUE!</v>
      </c>
      <c r="AG1">
        <f>IF(Sheet1!5:5,"AAAAAD//FiA=",0)</f>
        <v>0</v>
      </c>
      <c r="AH1" t="e">
        <f>AND(Sheet1!A5,"AAAAAD//FiE=")</f>
        <v>#VALUE!</v>
      </c>
      <c r="AI1" t="e">
        <f>AND(Sheet1!B5,"AAAAAD//FiI=")</f>
        <v>#VALUE!</v>
      </c>
      <c r="AJ1" t="e">
        <f>AND(Sheet1!C5,"AAAAAD//FiM=")</f>
        <v>#VALUE!</v>
      </c>
      <c r="AK1" t="e">
        <f>AND(Sheet1!D5,"AAAAAD//FiQ=")</f>
        <v>#VALUE!</v>
      </c>
      <c r="AL1" t="e">
        <f>AND(Sheet1!E5,"AAAAAD//FiU=")</f>
        <v>#VALUE!</v>
      </c>
      <c r="AM1" t="e">
        <f>AND(Sheet1!F5,"AAAAAD//FiY=")</f>
        <v>#VALUE!</v>
      </c>
      <c r="AN1" t="e">
        <f>AND(Sheet1!G5,"AAAAAD//Fic=")</f>
        <v>#VALUE!</v>
      </c>
      <c r="AO1">
        <f>IF(Sheet1!6:6,"AAAAAD//Fig=",0)</f>
        <v>0</v>
      </c>
      <c r="AP1" t="e">
        <f>AND(Sheet1!A6,"AAAAAD//Fik=")</f>
        <v>#VALUE!</v>
      </c>
      <c r="AQ1" t="e">
        <f>AND(Sheet1!B6,"AAAAAD//Fio=")</f>
        <v>#VALUE!</v>
      </c>
      <c r="AR1" t="e">
        <f>AND(Sheet1!C6,"AAAAAD//Fis=")</f>
        <v>#VALUE!</v>
      </c>
      <c r="AS1" t="e">
        <f>AND(Sheet1!D6,"AAAAAD//Fiw=")</f>
        <v>#VALUE!</v>
      </c>
      <c r="AT1" t="e">
        <f>AND(Sheet1!E6,"AAAAAD//Fi0=")</f>
        <v>#VALUE!</v>
      </c>
      <c r="AU1" t="e">
        <f>AND(Sheet1!F6,"AAAAAD//Fi4=")</f>
        <v>#VALUE!</v>
      </c>
      <c r="AV1" t="e">
        <f>AND(Sheet1!G6,"AAAAAD//Fi8=")</f>
        <v>#VALUE!</v>
      </c>
      <c r="AW1">
        <f>IF(Sheet1!7:7,"AAAAAD//FjA=",0)</f>
        <v>0</v>
      </c>
      <c r="AX1" t="e">
        <f>AND(Sheet1!A7,"AAAAAD//FjE=")</f>
        <v>#VALUE!</v>
      </c>
      <c r="AY1" t="e">
        <f>AND(Sheet1!B7,"AAAAAD//FjI=")</f>
        <v>#VALUE!</v>
      </c>
      <c r="AZ1" t="e">
        <f>AND(Sheet1!C7,"AAAAAD//FjM=")</f>
        <v>#VALUE!</v>
      </c>
      <c r="BA1" t="e">
        <f>AND(Sheet1!D7,"AAAAAD//FjQ=")</f>
        <v>#VALUE!</v>
      </c>
      <c r="BB1" t="e">
        <f>AND(Sheet1!E7,"AAAAAD//FjU=")</f>
        <v>#VALUE!</v>
      </c>
      <c r="BC1" t="e">
        <f>AND(Sheet1!F7,"AAAAAD//FjY=")</f>
        <v>#VALUE!</v>
      </c>
      <c r="BD1" t="e">
        <f>AND(Sheet1!G7,"AAAAAD//Fjc=")</f>
        <v>#VALUE!</v>
      </c>
      <c r="BE1">
        <f>IF(Sheet1!8:8,"AAAAAD//Fjg=",0)</f>
        <v>0</v>
      </c>
      <c r="BF1" t="e">
        <f>AND(Sheet1!A8,"AAAAAD//Fjk=")</f>
        <v>#VALUE!</v>
      </c>
      <c r="BG1" t="e">
        <f>AND(Sheet1!B8,"AAAAAD//Fjo=")</f>
        <v>#VALUE!</v>
      </c>
      <c r="BH1" t="e">
        <f>AND(Sheet1!C8,"AAAAAD//Fjs=")</f>
        <v>#VALUE!</v>
      </c>
      <c r="BI1" t="e">
        <f>AND(Sheet1!D8,"AAAAAD//Fjw=")</f>
        <v>#VALUE!</v>
      </c>
      <c r="BJ1" t="e">
        <f>AND(Sheet1!E8,"AAAAAD//Fj0=")</f>
        <v>#VALUE!</v>
      </c>
      <c r="BK1" t="e">
        <f>AND(Sheet1!F8,"AAAAAD//Fj4=")</f>
        <v>#VALUE!</v>
      </c>
      <c r="BL1" t="e">
        <f>AND(Sheet1!G8,"AAAAAD//Fj8=")</f>
        <v>#VALUE!</v>
      </c>
      <c r="BM1">
        <f>IF(Sheet1!9:9,"AAAAAD//FkA=",0)</f>
        <v>0</v>
      </c>
      <c r="BN1" t="e">
        <f>AND(Sheet1!A9,"AAAAAD//FkE=")</f>
        <v>#VALUE!</v>
      </c>
      <c r="BO1" t="e">
        <f>AND(Sheet1!B9,"AAAAAD//FkI=")</f>
        <v>#VALUE!</v>
      </c>
      <c r="BP1" t="e">
        <f>AND(Sheet1!C9,"AAAAAD//FkM=")</f>
        <v>#VALUE!</v>
      </c>
      <c r="BQ1" t="e">
        <f>AND(Sheet1!D9,"AAAAAD//FkQ=")</f>
        <v>#VALUE!</v>
      </c>
      <c r="BR1" t="e">
        <f>AND(Sheet1!E9,"AAAAAD//FkU=")</f>
        <v>#VALUE!</v>
      </c>
      <c r="BS1" t="e">
        <f>AND(Sheet1!F9,"AAAAAD//FkY=")</f>
        <v>#VALUE!</v>
      </c>
      <c r="BT1" t="e">
        <f>AND(Sheet1!G9,"AAAAAD//Fkc=")</f>
        <v>#VALUE!</v>
      </c>
      <c r="BU1">
        <f>IF(Sheet1!10:10,"AAAAAD//Fkg=",0)</f>
        <v>0</v>
      </c>
      <c r="BV1" t="e">
        <f>AND(Sheet1!A10,"AAAAAD//Fkk=")</f>
        <v>#VALUE!</v>
      </c>
      <c r="BW1" t="e">
        <f>AND(Sheet1!B10,"AAAAAD//Fko=")</f>
        <v>#VALUE!</v>
      </c>
      <c r="BX1" t="e">
        <f>AND(Sheet1!C10,"AAAAAD//Fks=")</f>
        <v>#VALUE!</v>
      </c>
      <c r="BY1" t="e">
        <f>AND(Sheet1!D10,"AAAAAD//Fkw=")</f>
        <v>#VALUE!</v>
      </c>
      <c r="BZ1" t="e">
        <f>AND(Sheet1!E10,"AAAAAD//Fk0=")</f>
        <v>#VALUE!</v>
      </c>
      <c r="CA1" t="e">
        <f>AND(Sheet1!F10,"AAAAAD//Fk4=")</f>
        <v>#VALUE!</v>
      </c>
      <c r="CB1" t="e">
        <f>AND(Sheet1!G10,"AAAAAD//Fk8=")</f>
        <v>#VALUE!</v>
      </c>
      <c r="CC1">
        <f>IF(Sheet1!11:11,"AAAAAD//FlA=",0)</f>
        <v>0</v>
      </c>
      <c r="CD1" t="e">
        <f>AND(Sheet1!A11,"AAAAAD//FlE=")</f>
        <v>#VALUE!</v>
      </c>
      <c r="CE1" t="e">
        <f>AND(Sheet1!B11,"AAAAAD//FlI=")</f>
        <v>#VALUE!</v>
      </c>
      <c r="CF1" t="e">
        <f>AND(Sheet1!C11,"AAAAAD//FlM=")</f>
        <v>#VALUE!</v>
      </c>
      <c r="CG1" t="e">
        <f>AND(Sheet1!D11,"AAAAAD//FlQ=")</f>
        <v>#VALUE!</v>
      </c>
      <c r="CH1" t="e">
        <f>AND(Sheet1!E11,"AAAAAD//FlU=")</f>
        <v>#VALUE!</v>
      </c>
      <c r="CI1" t="e">
        <f>AND(Sheet1!F11,"AAAAAD//FlY=")</f>
        <v>#VALUE!</v>
      </c>
      <c r="CJ1" t="e">
        <f>AND(Sheet1!G11,"AAAAAD//Flc=")</f>
        <v>#VALUE!</v>
      </c>
      <c r="CK1">
        <f>IF(Sheet1!12:12,"AAAAAD//Flg=",0)</f>
        <v>0</v>
      </c>
      <c r="CL1" t="e">
        <f>AND(Sheet1!A12,"AAAAAD//Flk=")</f>
        <v>#VALUE!</v>
      </c>
      <c r="CM1" t="e">
        <f>AND(Sheet1!B12,"AAAAAD//Flo=")</f>
        <v>#VALUE!</v>
      </c>
      <c r="CN1" t="e">
        <f>AND(Sheet1!C12,"AAAAAD//Fls=")</f>
        <v>#VALUE!</v>
      </c>
      <c r="CO1" t="e">
        <f>AND(Sheet1!D12,"AAAAAD//Flw=")</f>
        <v>#VALUE!</v>
      </c>
      <c r="CP1" t="e">
        <f>AND(Sheet1!E12,"AAAAAD//Fl0=")</f>
        <v>#VALUE!</v>
      </c>
      <c r="CQ1" t="e">
        <f>AND(Sheet1!F12,"AAAAAD//Fl4=")</f>
        <v>#VALUE!</v>
      </c>
      <c r="CR1" t="e">
        <f>AND(Sheet1!G12,"AAAAAD//Fl8=")</f>
        <v>#VALUE!</v>
      </c>
      <c r="CS1">
        <f>IF(Sheet1!13:13,"AAAAAD//FmA=",0)</f>
        <v>0</v>
      </c>
      <c r="CT1" t="e">
        <f>AND(Sheet1!A13,"AAAAAD//FmE=")</f>
        <v>#VALUE!</v>
      </c>
      <c r="CU1" t="e">
        <f>AND(Sheet1!B13,"AAAAAD//FmI=")</f>
        <v>#VALUE!</v>
      </c>
      <c r="CV1" t="e">
        <f>AND(Sheet1!C13,"AAAAAD//FmM=")</f>
        <v>#VALUE!</v>
      </c>
      <c r="CW1" t="e">
        <f>AND(Sheet1!D13,"AAAAAD//FmQ=")</f>
        <v>#VALUE!</v>
      </c>
      <c r="CX1" t="e">
        <f>AND(Sheet1!E13,"AAAAAD//FmU=")</f>
        <v>#VALUE!</v>
      </c>
      <c r="CY1" t="e">
        <f>AND(Sheet1!F13,"AAAAAD//FmY=")</f>
        <v>#VALUE!</v>
      </c>
      <c r="CZ1" t="e">
        <f>AND(Sheet1!G13,"AAAAAD//Fmc=")</f>
        <v>#VALUE!</v>
      </c>
      <c r="DA1">
        <f>IF(Sheet1!14:14,"AAAAAD//Fmg=",0)</f>
        <v>0</v>
      </c>
      <c r="DB1" t="e">
        <f>AND(Sheet1!A14,"AAAAAD//Fmk=")</f>
        <v>#VALUE!</v>
      </c>
      <c r="DC1" t="e">
        <f>AND(Sheet1!B14,"AAAAAD//Fmo=")</f>
        <v>#VALUE!</v>
      </c>
      <c r="DD1" t="e">
        <f>AND(Sheet1!C14,"AAAAAD//Fms=")</f>
        <v>#VALUE!</v>
      </c>
      <c r="DE1" t="e">
        <f>AND(Sheet1!D14,"AAAAAD//Fmw=")</f>
        <v>#VALUE!</v>
      </c>
      <c r="DF1" t="e">
        <f>AND(Sheet1!E14,"AAAAAD//Fm0=")</f>
        <v>#VALUE!</v>
      </c>
      <c r="DG1" t="e">
        <f>AND(Sheet1!F14,"AAAAAD//Fm4=")</f>
        <v>#VALUE!</v>
      </c>
      <c r="DH1" t="e">
        <f>AND(Sheet1!G14,"AAAAAD//Fm8=")</f>
        <v>#VALUE!</v>
      </c>
      <c r="DI1">
        <f>IF(Sheet1!15:15,"AAAAAD//FnA=",0)</f>
        <v>0</v>
      </c>
      <c r="DJ1" t="e">
        <f>AND(Sheet1!A15,"AAAAAD//FnE=")</f>
        <v>#VALUE!</v>
      </c>
      <c r="DK1" t="e">
        <f>AND(Sheet1!B15,"AAAAAD//FnI=")</f>
        <v>#VALUE!</v>
      </c>
      <c r="DL1" t="e">
        <f>AND(Sheet1!C15,"AAAAAD//FnM=")</f>
        <v>#VALUE!</v>
      </c>
      <c r="DM1" t="e">
        <f>AND(Sheet1!D15,"AAAAAD//FnQ=")</f>
        <v>#VALUE!</v>
      </c>
      <c r="DN1" t="e">
        <f>AND(Sheet1!E15,"AAAAAD//FnU=")</f>
        <v>#VALUE!</v>
      </c>
      <c r="DO1" t="e">
        <f>AND(Sheet1!F15,"AAAAAD//FnY=")</f>
        <v>#VALUE!</v>
      </c>
      <c r="DP1" t="e">
        <f>AND(Sheet1!G15,"AAAAAD//Fnc=")</f>
        <v>#VALUE!</v>
      </c>
      <c r="DQ1">
        <f>IF(Sheet1!16:16,"AAAAAD//Fng=",0)</f>
        <v>0</v>
      </c>
      <c r="DR1" t="e">
        <f>AND(Sheet1!A16,"AAAAAD//Fnk=")</f>
        <v>#VALUE!</v>
      </c>
      <c r="DS1" t="e">
        <f>AND(Sheet1!B16,"AAAAAD//Fno=")</f>
        <v>#VALUE!</v>
      </c>
      <c r="DT1" t="e">
        <f>AND(Sheet1!C16,"AAAAAD//Fns=")</f>
        <v>#VALUE!</v>
      </c>
      <c r="DU1" t="e">
        <f>AND(Sheet1!D16,"AAAAAD//Fnw=")</f>
        <v>#VALUE!</v>
      </c>
      <c r="DV1" t="e">
        <f>AND(Sheet1!E16,"AAAAAD//Fn0=")</f>
        <v>#VALUE!</v>
      </c>
      <c r="DW1" t="e">
        <f>AND(Sheet1!F16,"AAAAAD//Fn4=")</f>
        <v>#VALUE!</v>
      </c>
      <c r="DX1" t="e">
        <f>AND(Sheet1!G16,"AAAAAD//Fn8=")</f>
        <v>#VALUE!</v>
      </c>
      <c r="DY1">
        <f>IF(Sheet1!17:17,"AAAAAD//FoA=",0)</f>
        <v>0</v>
      </c>
      <c r="DZ1" t="e">
        <f>AND(Sheet1!A17,"AAAAAD//FoE=")</f>
        <v>#VALUE!</v>
      </c>
      <c r="EA1" t="e">
        <f>AND(Sheet1!B17,"AAAAAD//FoI=")</f>
        <v>#VALUE!</v>
      </c>
      <c r="EB1" t="e">
        <f>AND(Sheet1!C17,"AAAAAD//FoM=")</f>
        <v>#VALUE!</v>
      </c>
      <c r="EC1" t="e">
        <f>AND(Sheet1!D17,"AAAAAD//FoQ=")</f>
        <v>#VALUE!</v>
      </c>
      <c r="ED1" t="e">
        <f>AND(Sheet1!E17,"AAAAAD//FoU=")</f>
        <v>#VALUE!</v>
      </c>
      <c r="EE1" t="e">
        <f>AND(Sheet1!F17,"AAAAAD//FoY=")</f>
        <v>#VALUE!</v>
      </c>
      <c r="EF1" t="e">
        <f>AND(Sheet1!G17,"AAAAAD//Foc=")</f>
        <v>#VALUE!</v>
      </c>
      <c r="EG1">
        <f>IF(Sheet1!18:18,"AAAAAD//Fog=",0)</f>
        <v>0</v>
      </c>
      <c r="EH1" t="e">
        <f>AND(Sheet1!A18,"AAAAAD//Fok=")</f>
        <v>#VALUE!</v>
      </c>
      <c r="EI1" t="e">
        <f>AND(Sheet1!B18,"AAAAAD//Foo=")</f>
        <v>#VALUE!</v>
      </c>
      <c r="EJ1" t="e">
        <f>AND(Sheet1!C18,"AAAAAD//Fos=")</f>
        <v>#VALUE!</v>
      </c>
      <c r="EK1" t="e">
        <f>AND(Sheet1!D18,"AAAAAD//Fow=")</f>
        <v>#VALUE!</v>
      </c>
      <c r="EL1" t="e">
        <f>AND(Sheet1!E18,"AAAAAD//Fo0=")</f>
        <v>#VALUE!</v>
      </c>
      <c r="EM1" t="e">
        <f>AND(Sheet1!F18,"AAAAAD//Fo4=")</f>
        <v>#VALUE!</v>
      </c>
      <c r="EN1" t="e">
        <f>AND(Sheet1!G18,"AAAAAD//Fo8=")</f>
        <v>#VALUE!</v>
      </c>
      <c r="EO1">
        <f>IF(Sheet1!19:19,"AAAAAD//FpA=",0)</f>
        <v>0</v>
      </c>
      <c r="EP1" t="e">
        <f>AND(Sheet1!A19,"AAAAAD//FpE=")</f>
        <v>#VALUE!</v>
      </c>
      <c r="EQ1" t="e">
        <f>AND(Sheet1!B19,"AAAAAD//FpI=")</f>
        <v>#VALUE!</v>
      </c>
      <c r="ER1" t="e">
        <f>AND(Sheet1!C19,"AAAAAD//FpM=")</f>
        <v>#VALUE!</v>
      </c>
      <c r="ES1" t="e">
        <f>AND(Sheet1!D19,"AAAAAD//FpQ=")</f>
        <v>#VALUE!</v>
      </c>
      <c r="ET1" t="e">
        <f>AND(Sheet1!E19,"AAAAAD//FpU=")</f>
        <v>#VALUE!</v>
      </c>
      <c r="EU1" t="e">
        <f>AND(Sheet1!F19,"AAAAAD//FpY=")</f>
        <v>#VALUE!</v>
      </c>
      <c r="EV1" t="e">
        <f>AND(Sheet1!G19,"AAAAAD//Fpc=")</f>
        <v>#VALUE!</v>
      </c>
      <c r="EW1">
        <f>IF(Sheet1!20:20,"AAAAAD//Fpg=",0)</f>
        <v>0</v>
      </c>
      <c r="EX1" t="e">
        <f>AND(Sheet1!A20,"AAAAAD//Fpk=")</f>
        <v>#VALUE!</v>
      </c>
      <c r="EY1" t="e">
        <f>AND(Sheet1!B20,"AAAAAD//Fpo=")</f>
        <v>#VALUE!</v>
      </c>
      <c r="EZ1" t="e">
        <f>AND(Sheet1!C20,"AAAAAD//Fps=")</f>
        <v>#VALUE!</v>
      </c>
      <c r="FA1" t="e">
        <f>AND(Sheet1!D20,"AAAAAD//Fpw=")</f>
        <v>#VALUE!</v>
      </c>
      <c r="FB1" t="e">
        <f>AND(Sheet1!E20,"AAAAAD//Fp0=")</f>
        <v>#VALUE!</v>
      </c>
      <c r="FC1" t="e">
        <f>AND(Sheet1!F20,"AAAAAD//Fp4=")</f>
        <v>#VALUE!</v>
      </c>
      <c r="FD1" t="e">
        <f>AND(Sheet1!G20,"AAAAAD//Fp8=")</f>
        <v>#VALUE!</v>
      </c>
      <c r="FE1">
        <f>IF(Sheet1!21:21,"AAAAAD//FqA=",0)</f>
        <v>0</v>
      </c>
      <c r="FF1" t="e">
        <f>AND(Sheet1!A21,"AAAAAD//FqE=")</f>
        <v>#VALUE!</v>
      </c>
      <c r="FG1" t="e">
        <f>AND(Sheet1!B21,"AAAAAD//FqI=")</f>
        <v>#VALUE!</v>
      </c>
      <c r="FH1" t="e">
        <f>AND(Sheet1!C21,"AAAAAD//FqM=")</f>
        <v>#VALUE!</v>
      </c>
      <c r="FI1" t="e">
        <f>AND(Sheet1!D21,"AAAAAD//FqQ=")</f>
        <v>#VALUE!</v>
      </c>
      <c r="FJ1" t="e">
        <f>AND(Sheet1!E21,"AAAAAD//FqU=")</f>
        <v>#VALUE!</v>
      </c>
      <c r="FK1" t="e">
        <f>AND(Sheet1!F21,"AAAAAD//FqY=")</f>
        <v>#VALUE!</v>
      </c>
      <c r="FL1" t="e">
        <f>AND(Sheet1!G21,"AAAAAD//Fqc=")</f>
        <v>#VALUE!</v>
      </c>
      <c r="FM1">
        <f>IF(Sheet1!22:22,"AAAAAD//Fqg=",0)</f>
        <v>0</v>
      </c>
      <c r="FN1" t="e">
        <f>AND(Sheet1!A22,"AAAAAD//Fqk=")</f>
        <v>#VALUE!</v>
      </c>
      <c r="FO1" t="e">
        <f>AND(Sheet1!B22,"AAAAAD//Fqo=")</f>
        <v>#VALUE!</v>
      </c>
      <c r="FP1" t="e">
        <f>AND(Sheet1!C22,"AAAAAD//Fqs=")</f>
        <v>#VALUE!</v>
      </c>
      <c r="FQ1" t="e">
        <f>AND(Sheet1!D22,"AAAAAD//Fqw=")</f>
        <v>#VALUE!</v>
      </c>
      <c r="FR1" t="e">
        <f>AND(Sheet1!E22,"AAAAAD//Fq0=")</f>
        <v>#VALUE!</v>
      </c>
      <c r="FS1" t="e">
        <f>AND(Sheet1!F22,"AAAAAD//Fq4=")</f>
        <v>#VALUE!</v>
      </c>
      <c r="FT1" t="e">
        <f>AND(Sheet1!G22,"AAAAAD//Fq8=")</f>
        <v>#VALUE!</v>
      </c>
      <c r="FU1">
        <f>IF(Sheet1!23:23,"AAAAAD//FrA=",0)</f>
        <v>0</v>
      </c>
      <c r="FV1" t="e">
        <f>AND(Sheet1!A23,"AAAAAD//FrE=")</f>
        <v>#VALUE!</v>
      </c>
      <c r="FW1" t="e">
        <f>AND(Sheet1!B23,"AAAAAD//FrI=")</f>
        <v>#VALUE!</v>
      </c>
      <c r="FX1" t="e">
        <f>AND(Sheet1!C23,"AAAAAD//FrM=")</f>
        <v>#VALUE!</v>
      </c>
      <c r="FY1" t="e">
        <f>AND(Sheet1!D23,"AAAAAD//FrQ=")</f>
        <v>#VALUE!</v>
      </c>
      <c r="FZ1" t="e">
        <f>AND(Sheet1!E23,"AAAAAD//FrU=")</f>
        <v>#VALUE!</v>
      </c>
      <c r="GA1" t="e">
        <f>AND(Sheet1!F23,"AAAAAD//FrY=")</f>
        <v>#VALUE!</v>
      </c>
      <c r="GB1" t="e">
        <f>AND(Sheet1!G23,"AAAAAD//Frc=")</f>
        <v>#VALUE!</v>
      </c>
      <c r="GC1">
        <f>IF(Sheet1!24:24,"AAAAAD//Frg=",0)</f>
        <v>0</v>
      </c>
      <c r="GD1" t="e">
        <f>AND(Sheet1!A24,"AAAAAD//Frk=")</f>
        <v>#VALUE!</v>
      </c>
      <c r="GE1" t="e">
        <f>AND(Sheet1!B24,"AAAAAD//Fro=")</f>
        <v>#VALUE!</v>
      </c>
      <c r="GF1" t="e">
        <f>AND(Sheet1!C24,"AAAAAD//Frs=")</f>
        <v>#VALUE!</v>
      </c>
      <c r="GG1" t="e">
        <f>AND(Sheet1!D24,"AAAAAD//Frw=")</f>
        <v>#VALUE!</v>
      </c>
      <c r="GH1" t="e">
        <f>AND(Sheet1!E24,"AAAAAD//Fr0=")</f>
        <v>#VALUE!</v>
      </c>
      <c r="GI1" t="e">
        <f>AND(Sheet1!F24,"AAAAAD//Fr4=")</f>
        <v>#VALUE!</v>
      </c>
      <c r="GJ1" t="e">
        <f>AND(Sheet1!G24,"AAAAAD//Fr8=")</f>
        <v>#VALUE!</v>
      </c>
      <c r="GK1">
        <f>IF(Sheet1!25:25,"AAAAAD//FsA=",0)</f>
        <v>0</v>
      </c>
      <c r="GL1" t="e">
        <f>AND(Sheet1!A25,"AAAAAD//FsE=")</f>
        <v>#VALUE!</v>
      </c>
      <c r="GM1" t="e">
        <f>AND(Sheet1!B25,"AAAAAD//FsI=")</f>
        <v>#VALUE!</v>
      </c>
      <c r="GN1" t="e">
        <f>AND(Sheet1!C25,"AAAAAD//FsM=")</f>
        <v>#VALUE!</v>
      </c>
      <c r="GO1" t="e">
        <f>AND(Sheet1!D25,"AAAAAD//FsQ=")</f>
        <v>#VALUE!</v>
      </c>
      <c r="GP1" t="e">
        <f>AND(Sheet1!E25,"AAAAAD//FsU=")</f>
        <v>#VALUE!</v>
      </c>
      <c r="GQ1" t="e">
        <f>AND(Sheet1!F25,"AAAAAD//FsY=")</f>
        <v>#VALUE!</v>
      </c>
      <c r="GR1" t="e">
        <f>AND(Sheet1!G25,"AAAAAD//Fsc=")</f>
        <v>#VALUE!</v>
      </c>
      <c r="GS1">
        <f>IF(Sheet1!26:26,"AAAAAD//Fsg=",0)</f>
        <v>0</v>
      </c>
      <c r="GT1" t="e">
        <f>AND(Sheet1!A26,"AAAAAD//Fsk=")</f>
        <v>#VALUE!</v>
      </c>
      <c r="GU1" t="e">
        <f>AND(Sheet1!B26,"AAAAAD//Fso=")</f>
        <v>#VALUE!</v>
      </c>
      <c r="GV1" t="e">
        <f>AND(Sheet1!C26,"AAAAAD//Fss=")</f>
        <v>#VALUE!</v>
      </c>
      <c r="GW1" t="e">
        <f>AND(Sheet1!D26,"AAAAAD//Fsw=")</f>
        <v>#VALUE!</v>
      </c>
      <c r="GX1" t="e">
        <f>AND(Sheet1!E26,"AAAAAD//Fs0=")</f>
        <v>#VALUE!</v>
      </c>
      <c r="GY1" t="e">
        <f>AND(Sheet1!F26,"AAAAAD//Fs4=")</f>
        <v>#VALUE!</v>
      </c>
      <c r="GZ1" t="e">
        <f>AND(Sheet1!G26,"AAAAAD//Fs8=")</f>
        <v>#VALUE!</v>
      </c>
      <c r="HA1">
        <f>IF(Sheet1!27:27,"AAAAAD//FtA=",0)</f>
        <v>0</v>
      </c>
      <c r="HB1" t="e">
        <f>AND(Sheet1!A27,"AAAAAD//FtE=")</f>
        <v>#VALUE!</v>
      </c>
      <c r="HC1" t="e">
        <f>AND(Sheet1!B27,"AAAAAD//FtI=")</f>
        <v>#VALUE!</v>
      </c>
      <c r="HD1" t="e">
        <f>AND(Sheet1!C27,"AAAAAD//FtM=")</f>
        <v>#VALUE!</v>
      </c>
      <c r="HE1" t="e">
        <f>AND(Sheet1!D27,"AAAAAD//FtQ=")</f>
        <v>#VALUE!</v>
      </c>
      <c r="HF1" t="e">
        <f>AND(Sheet1!E27,"AAAAAD//FtU=")</f>
        <v>#VALUE!</v>
      </c>
      <c r="HG1" t="e">
        <f>AND(Sheet1!F27,"AAAAAD//FtY=")</f>
        <v>#VALUE!</v>
      </c>
      <c r="HH1" t="e">
        <f>AND(Sheet1!G27,"AAAAAD//Ftc=")</f>
        <v>#VALUE!</v>
      </c>
      <c r="HI1">
        <f>IF(Sheet1!28:28,"AAAAAD//Ftg=",0)</f>
        <v>0</v>
      </c>
      <c r="HJ1" t="e">
        <f>AND(Sheet1!A28,"AAAAAD//Ftk=")</f>
        <v>#VALUE!</v>
      </c>
      <c r="HK1" t="e">
        <f>AND(Sheet1!B28,"AAAAAD//Fto=")</f>
        <v>#VALUE!</v>
      </c>
      <c r="HL1" t="e">
        <f>AND(Sheet1!C28,"AAAAAD//Fts=")</f>
        <v>#VALUE!</v>
      </c>
      <c r="HM1" t="e">
        <f>AND(Sheet1!D28,"AAAAAD//Ftw=")</f>
        <v>#VALUE!</v>
      </c>
      <c r="HN1" t="e">
        <f>AND(Sheet1!E28,"AAAAAD//Ft0=")</f>
        <v>#VALUE!</v>
      </c>
      <c r="HO1" t="e">
        <f>AND(Sheet1!F28,"AAAAAD//Ft4=")</f>
        <v>#VALUE!</v>
      </c>
      <c r="HP1" t="e">
        <f>AND(Sheet1!G28,"AAAAAD//Ft8=")</f>
        <v>#VALUE!</v>
      </c>
      <c r="HQ1">
        <f>IF(Sheet1!29:29,"AAAAAD//FuA=",0)</f>
        <v>0</v>
      </c>
      <c r="HR1" t="e">
        <f>AND(Sheet1!A29,"AAAAAD//FuE=")</f>
        <v>#VALUE!</v>
      </c>
      <c r="HS1" t="e">
        <f>AND(Sheet1!B29,"AAAAAD//FuI=")</f>
        <v>#VALUE!</v>
      </c>
      <c r="HT1" t="e">
        <f>AND(Sheet1!C29,"AAAAAD//FuM=")</f>
        <v>#VALUE!</v>
      </c>
      <c r="HU1" t="e">
        <f>AND(Sheet1!D29,"AAAAAD//FuQ=")</f>
        <v>#VALUE!</v>
      </c>
      <c r="HV1" t="e">
        <f>AND(Sheet1!E29,"AAAAAD//FuU=")</f>
        <v>#VALUE!</v>
      </c>
      <c r="HW1" t="e">
        <f>AND(Sheet1!F29,"AAAAAD//FuY=")</f>
        <v>#VALUE!</v>
      </c>
      <c r="HX1" t="e">
        <f>AND(Sheet1!G29,"AAAAAD//Fuc=")</f>
        <v>#VALUE!</v>
      </c>
      <c r="HY1">
        <f>IF(Sheet1!30:30,"AAAAAD//Fug=",0)</f>
        <v>0</v>
      </c>
      <c r="HZ1" t="e">
        <f>AND(Sheet1!A30,"AAAAAD//Fuk=")</f>
        <v>#VALUE!</v>
      </c>
      <c r="IA1" t="e">
        <f>AND(Sheet1!B30,"AAAAAD//Fuo=")</f>
        <v>#VALUE!</v>
      </c>
      <c r="IB1" t="e">
        <f>AND(Sheet1!C30,"AAAAAD//Fus=")</f>
        <v>#VALUE!</v>
      </c>
      <c r="IC1" t="e">
        <f>AND(Sheet1!D30,"AAAAAD//Fuw=")</f>
        <v>#VALUE!</v>
      </c>
      <c r="ID1" t="e">
        <f>AND(Sheet1!E30,"AAAAAD//Fu0=")</f>
        <v>#VALUE!</v>
      </c>
      <c r="IE1" t="e">
        <f>AND(Sheet1!F30,"AAAAAD//Fu4=")</f>
        <v>#VALUE!</v>
      </c>
      <c r="IF1" t="e">
        <f>AND(Sheet1!G30,"AAAAAD//Fu8=")</f>
        <v>#VALUE!</v>
      </c>
      <c r="IG1">
        <f>IF(Sheet1!31:31,"AAAAAD//FvA=",0)</f>
        <v>0</v>
      </c>
      <c r="IH1" t="e">
        <f>AND(Sheet1!A31,"AAAAAD//FvE=")</f>
        <v>#VALUE!</v>
      </c>
      <c r="II1" t="e">
        <f>AND(Sheet1!B31,"AAAAAD//FvI=")</f>
        <v>#VALUE!</v>
      </c>
      <c r="IJ1" t="e">
        <f>AND(Sheet1!C31,"AAAAAD//FvM=")</f>
        <v>#VALUE!</v>
      </c>
      <c r="IK1" t="e">
        <f>AND(Sheet1!D31,"AAAAAD//FvQ=")</f>
        <v>#VALUE!</v>
      </c>
      <c r="IL1" t="e">
        <f>AND(Sheet1!E31,"AAAAAD//FvU=")</f>
        <v>#VALUE!</v>
      </c>
      <c r="IM1" t="e">
        <f>AND(Sheet1!F31,"AAAAAD//FvY=")</f>
        <v>#VALUE!</v>
      </c>
      <c r="IN1" t="e">
        <f>AND(Sheet1!G31,"AAAAAD//Fvc=")</f>
        <v>#VALUE!</v>
      </c>
      <c r="IO1">
        <f>IF(Sheet1!32:32,"AAAAAD//Fvg=",0)</f>
        <v>0</v>
      </c>
      <c r="IP1" t="e">
        <f>AND(Sheet1!A32,"AAAAAD//Fvk=")</f>
        <v>#VALUE!</v>
      </c>
      <c r="IQ1" t="e">
        <f>AND(Sheet1!B32,"AAAAAD//Fvo=")</f>
        <v>#VALUE!</v>
      </c>
      <c r="IR1" t="e">
        <f>AND(Sheet1!C32,"AAAAAD//Fvs=")</f>
        <v>#VALUE!</v>
      </c>
      <c r="IS1" t="e">
        <f>AND(Sheet1!D32,"AAAAAD//Fvw=")</f>
        <v>#VALUE!</v>
      </c>
      <c r="IT1" t="e">
        <f>AND(Sheet1!E32,"AAAAAD//Fv0=")</f>
        <v>#VALUE!</v>
      </c>
      <c r="IU1" t="e">
        <f>AND(Sheet1!F32,"AAAAAD//Fv4=")</f>
        <v>#VALUE!</v>
      </c>
      <c r="IV1" t="e">
        <f>AND(Sheet1!G32,"AAAAAD//Fv8=")</f>
        <v>#VALUE!</v>
      </c>
    </row>
    <row r="2" spans="1:256" x14ac:dyDescent="0.15">
      <c r="A2" t="e">
        <f>IF(Sheet1!33:33,"AAAAAB38zwA=",0)</f>
        <v>#VALUE!</v>
      </c>
      <c r="B2" t="e">
        <f>AND(Sheet1!A33,"AAAAAB38zwE=")</f>
        <v>#VALUE!</v>
      </c>
      <c r="C2" t="e">
        <f>AND(Sheet1!B33,"AAAAAB38zwI=")</f>
        <v>#VALUE!</v>
      </c>
      <c r="D2" t="e">
        <f>AND(Sheet1!C33,"AAAAAB38zwM=")</f>
        <v>#VALUE!</v>
      </c>
      <c r="E2" t="e">
        <f>AND(Sheet1!D33,"AAAAAB38zwQ=")</f>
        <v>#VALUE!</v>
      </c>
      <c r="F2" t="e">
        <f>AND(Sheet1!E33,"AAAAAB38zwU=")</f>
        <v>#VALUE!</v>
      </c>
      <c r="G2" t="e">
        <f>AND(Sheet1!F33,"AAAAAB38zwY=")</f>
        <v>#VALUE!</v>
      </c>
      <c r="H2" t="e">
        <f>AND(Sheet1!G33,"AAAAAB38zwc=")</f>
        <v>#VALUE!</v>
      </c>
      <c r="I2">
        <f>IF(Sheet1!34:34,"AAAAAB38zwg=",0)</f>
        <v>0</v>
      </c>
      <c r="J2" t="e">
        <f>AND(Sheet1!A34,"AAAAAB38zwk=")</f>
        <v>#VALUE!</v>
      </c>
      <c r="K2" t="e">
        <f>AND(Sheet1!B34,"AAAAAB38zwo=")</f>
        <v>#VALUE!</v>
      </c>
      <c r="L2" t="e">
        <f>AND(Sheet1!C34,"AAAAAB38zws=")</f>
        <v>#VALUE!</v>
      </c>
      <c r="M2" t="e">
        <f>AND(Sheet1!D34,"AAAAAB38zww=")</f>
        <v>#VALUE!</v>
      </c>
      <c r="N2" t="e">
        <f>AND(Sheet1!E34,"AAAAAB38zw0=")</f>
        <v>#VALUE!</v>
      </c>
      <c r="O2" t="e">
        <f>AND(Sheet1!F34,"AAAAAB38zw4=")</f>
        <v>#VALUE!</v>
      </c>
      <c r="P2" t="e">
        <f>AND(Sheet1!G34,"AAAAAB38zw8=")</f>
        <v>#VALUE!</v>
      </c>
      <c r="Q2">
        <f>IF(Sheet1!35:35,"AAAAAB38zxA=",0)</f>
        <v>0</v>
      </c>
      <c r="R2" t="e">
        <f>AND(Sheet1!A35,"AAAAAB38zxE=")</f>
        <v>#VALUE!</v>
      </c>
      <c r="S2" t="e">
        <f>AND(Sheet1!B35,"AAAAAB38zxI=")</f>
        <v>#VALUE!</v>
      </c>
      <c r="T2" t="e">
        <f>AND(Sheet1!C35,"AAAAAB38zxM=")</f>
        <v>#VALUE!</v>
      </c>
      <c r="U2" t="e">
        <f>AND(Sheet1!D35,"AAAAAB38zxQ=")</f>
        <v>#VALUE!</v>
      </c>
      <c r="V2" t="e">
        <f>AND(Sheet1!E35,"AAAAAB38zxU=")</f>
        <v>#VALUE!</v>
      </c>
      <c r="W2" t="e">
        <f>AND(Sheet1!F35,"AAAAAB38zxY=")</f>
        <v>#VALUE!</v>
      </c>
      <c r="X2" t="e">
        <f>AND(Sheet1!G35,"AAAAAB38zxc=")</f>
        <v>#VALUE!</v>
      </c>
      <c r="Y2">
        <f>IF(Sheet1!36:36,"AAAAAB38zxg=",0)</f>
        <v>0</v>
      </c>
      <c r="Z2" t="e">
        <f>AND(Sheet1!A36,"AAAAAB38zxk=")</f>
        <v>#VALUE!</v>
      </c>
      <c r="AA2" t="e">
        <f>AND(Sheet1!B36,"AAAAAB38zxo=")</f>
        <v>#VALUE!</v>
      </c>
      <c r="AB2" t="e">
        <f>AND(Sheet1!C36,"AAAAAB38zxs=")</f>
        <v>#VALUE!</v>
      </c>
      <c r="AC2" t="e">
        <f>AND(Sheet1!D36,"AAAAAB38zxw=")</f>
        <v>#VALUE!</v>
      </c>
      <c r="AD2" t="e">
        <f>AND(Sheet1!E36,"AAAAAB38zx0=")</f>
        <v>#VALUE!</v>
      </c>
      <c r="AE2" t="e">
        <f>AND(Sheet1!F36,"AAAAAB38zx4=")</f>
        <v>#VALUE!</v>
      </c>
      <c r="AF2" t="e">
        <f>AND(Sheet1!G36,"AAAAAB38zx8=")</f>
        <v>#VALUE!</v>
      </c>
      <c r="AG2">
        <f>IF(Sheet1!37:37,"AAAAAB38zyA=",0)</f>
        <v>0</v>
      </c>
      <c r="AH2" t="e">
        <f>AND(Sheet1!A37,"AAAAAB38zyE=")</f>
        <v>#VALUE!</v>
      </c>
      <c r="AI2" t="e">
        <f>AND(Sheet1!B37,"AAAAAB38zyI=")</f>
        <v>#VALUE!</v>
      </c>
      <c r="AJ2" t="e">
        <f>AND(Sheet1!C37,"AAAAAB38zyM=")</f>
        <v>#VALUE!</v>
      </c>
      <c r="AK2" t="e">
        <f>AND(Sheet1!D37,"AAAAAB38zyQ=")</f>
        <v>#VALUE!</v>
      </c>
      <c r="AL2" t="e">
        <f>AND(Sheet1!E37,"AAAAAB38zyU=")</f>
        <v>#VALUE!</v>
      </c>
      <c r="AM2" t="e">
        <f>AND(Sheet1!F37,"AAAAAB38zyY=")</f>
        <v>#VALUE!</v>
      </c>
      <c r="AN2" t="e">
        <f>AND(Sheet1!G37,"AAAAAB38zyc=")</f>
        <v>#VALUE!</v>
      </c>
      <c r="AO2">
        <f>IF(Sheet1!38:38,"AAAAAB38zyg=",0)</f>
        <v>0</v>
      </c>
      <c r="AP2" t="e">
        <f>AND(Sheet1!A38,"AAAAAB38zyk=")</f>
        <v>#VALUE!</v>
      </c>
      <c r="AQ2" t="e">
        <f>AND(Sheet1!B38,"AAAAAB38zyo=")</f>
        <v>#VALUE!</v>
      </c>
      <c r="AR2" t="e">
        <f>AND(Sheet1!C38,"AAAAAB38zys=")</f>
        <v>#VALUE!</v>
      </c>
      <c r="AS2" t="e">
        <f>AND(Sheet1!D38,"AAAAAB38zyw=")</f>
        <v>#VALUE!</v>
      </c>
      <c r="AT2" t="e">
        <f>AND(Sheet1!E38,"AAAAAB38zy0=")</f>
        <v>#VALUE!</v>
      </c>
      <c r="AU2" t="e">
        <f>AND(Sheet1!F38,"AAAAAB38zy4=")</f>
        <v>#VALUE!</v>
      </c>
      <c r="AV2" t="e">
        <f>AND(Sheet1!G38,"AAAAAB38zy8=")</f>
        <v>#VALUE!</v>
      </c>
      <c r="AW2">
        <f>IF(Sheet1!39:39,"AAAAAB38zzA=",0)</f>
        <v>0</v>
      </c>
      <c r="AX2" t="e">
        <f>AND(Sheet1!A39,"AAAAAB38zzE=")</f>
        <v>#VALUE!</v>
      </c>
      <c r="AY2" t="e">
        <f>AND(Sheet1!B39,"AAAAAB38zzI=")</f>
        <v>#VALUE!</v>
      </c>
      <c r="AZ2" t="e">
        <f>AND(Sheet1!C39,"AAAAAB38zzM=")</f>
        <v>#VALUE!</v>
      </c>
      <c r="BA2" t="e">
        <f>AND(Sheet1!D39,"AAAAAB38zzQ=")</f>
        <v>#VALUE!</v>
      </c>
      <c r="BB2" t="e">
        <f>AND(Sheet1!E39,"AAAAAB38zzU=")</f>
        <v>#VALUE!</v>
      </c>
      <c r="BC2" t="e">
        <f>AND(Sheet1!F39,"AAAAAB38zzY=")</f>
        <v>#VALUE!</v>
      </c>
      <c r="BD2" t="e">
        <f>AND(Sheet1!G39,"AAAAAB38zzc=")</f>
        <v>#VALUE!</v>
      </c>
      <c r="BE2">
        <f>IF(Sheet1!40:40,"AAAAAB38zzg=",0)</f>
        <v>0</v>
      </c>
      <c r="BF2" t="e">
        <f>AND(Sheet1!A40,"AAAAAB38zzk=")</f>
        <v>#VALUE!</v>
      </c>
      <c r="BG2" t="e">
        <f>AND(Sheet1!B40,"AAAAAB38zzo=")</f>
        <v>#VALUE!</v>
      </c>
      <c r="BH2" t="e">
        <f>AND(Sheet1!C40,"AAAAAB38zzs=")</f>
        <v>#VALUE!</v>
      </c>
      <c r="BI2" t="e">
        <f>AND(Sheet1!D40,"AAAAAB38zzw=")</f>
        <v>#VALUE!</v>
      </c>
      <c r="BJ2" t="e">
        <f>AND(Sheet1!E40,"AAAAAB38zz0=")</f>
        <v>#VALUE!</v>
      </c>
      <c r="BK2" t="e">
        <f>AND(Sheet1!F40,"AAAAAB38zz4=")</f>
        <v>#VALUE!</v>
      </c>
      <c r="BL2" t="e">
        <f>AND(Sheet1!G40,"AAAAAB38zz8=")</f>
        <v>#VALUE!</v>
      </c>
      <c r="BM2">
        <f>IF(Sheet1!41:41,"AAAAAB38z0A=",0)</f>
        <v>0</v>
      </c>
      <c r="BN2" t="e">
        <f>AND(Sheet1!A41,"AAAAAB38z0E=")</f>
        <v>#VALUE!</v>
      </c>
      <c r="BO2" t="e">
        <f>AND(Sheet1!B41,"AAAAAB38z0I=")</f>
        <v>#VALUE!</v>
      </c>
      <c r="BP2" t="e">
        <f>AND(Sheet1!C41,"AAAAAB38z0M=")</f>
        <v>#VALUE!</v>
      </c>
      <c r="BQ2" t="e">
        <f>AND(Sheet1!D41,"AAAAAB38z0Q=")</f>
        <v>#VALUE!</v>
      </c>
      <c r="BR2" t="e">
        <f>AND(Sheet1!E41,"AAAAAB38z0U=")</f>
        <v>#VALUE!</v>
      </c>
      <c r="BS2" t="e">
        <f>AND(Sheet1!F41,"AAAAAB38z0Y=")</f>
        <v>#VALUE!</v>
      </c>
      <c r="BT2" t="e">
        <f>AND(Sheet1!G41,"AAAAAB38z0c=")</f>
        <v>#VALUE!</v>
      </c>
      <c r="BU2">
        <f>IF(Sheet1!42:42,"AAAAAB38z0g=",0)</f>
        <v>0</v>
      </c>
      <c r="BV2" t="e">
        <f>AND(Sheet1!A42,"AAAAAB38z0k=")</f>
        <v>#VALUE!</v>
      </c>
      <c r="BW2" t="e">
        <f>AND(Sheet1!B42,"AAAAAB38z0o=")</f>
        <v>#VALUE!</v>
      </c>
      <c r="BX2" t="e">
        <f>AND(Sheet1!C42,"AAAAAB38z0s=")</f>
        <v>#VALUE!</v>
      </c>
      <c r="BY2" t="e">
        <f>AND(Sheet1!D42,"AAAAAB38z0w=")</f>
        <v>#VALUE!</v>
      </c>
      <c r="BZ2" t="e">
        <f>AND(Sheet1!E42,"AAAAAB38z00=")</f>
        <v>#VALUE!</v>
      </c>
      <c r="CA2" t="e">
        <f>AND(Sheet1!F42,"AAAAAB38z04=")</f>
        <v>#VALUE!</v>
      </c>
      <c r="CB2" t="e">
        <f>AND(Sheet1!G42,"AAAAAB38z08=")</f>
        <v>#VALUE!</v>
      </c>
      <c r="CC2">
        <f>IF(Sheet1!43:43,"AAAAAB38z1A=",0)</f>
        <v>0</v>
      </c>
      <c r="CD2" t="e">
        <f>AND(Sheet1!A43,"AAAAAB38z1E=")</f>
        <v>#VALUE!</v>
      </c>
      <c r="CE2" t="e">
        <f>AND(Sheet1!B43,"AAAAAB38z1I=")</f>
        <v>#VALUE!</v>
      </c>
      <c r="CF2" t="e">
        <f>AND(Sheet1!C43,"AAAAAB38z1M=")</f>
        <v>#VALUE!</v>
      </c>
      <c r="CG2" t="e">
        <f>AND(Sheet1!D43,"AAAAAB38z1Q=")</f>
        <v>#VALUE!</v>
      </c>
      <c r="CH2" t="e">
        <f>AND(Sheet1!E43,"AAAAAB38z1U=")</f>
        <v>#VALUE!</v>
      </c>
      <c r="CI2" t="e">
        <f>AND(Sheet1!F43,"AAAAAB38z1Y=")</f>
        <v>#VALUE!</v>
      </c>
      <c r="CJ2" t="e">
        <f>AND(Sheet1!G43,"AAAAAB38z1c=")</f>
        <v>#VALUE!</v>
      </c>
      <c r="CK2">
        <f>IF(Sheet1!44:44,"AAAAAB38z1g=",0)</f>
        <v>0</v>
      </c>
      <c r="CL2" t="e">
        <f>AND(Sheet1!A44,"AAAAAB38z1k=")</f>
        <v>#VALUE!</v>
      </c>
      <c r="CM2" t="e">
        <f>AND(Sheet1!B44,"AAAAAB38z1o=")</f>
        <v>#VALUE!</v>
      </c>
      <c r="CN2" t="e">
        <f>AND(Sheet1!C44,"AAAAAB38z1s=")</f>
        <v>#VALUE!</v>
      </c>
      <c r="CO2" t="e">
        <f>AND(Sheet1!D44,"AAAAAB38z1w=")</f>
        <v>#VALUE!</v>
      </c>
      <c r="CP2" t="e">
        <f>AND(Sheet1!E44,"AAAAAB38z10=")</f>
        <v>#VALUE!</v>
      </c>
      <c r="CQ2" t="e">
        <f>AND(Sheet1!F44,"AAAAAB38z14=")</f>
        <v>#VALUE!</v>
      </c>
      <c r="CR2" t="e">
        <f>AND(Sheet1!G44,"AAAAAB38z18=")</f>
        <v>#VALUE!</v>
      </c>
      <c r="CS2">
        <f>IF(Sheet1!45:45,"AAAAAB38z2A=",0)</f>
        <v>0</v>
      </c>
      <c r="CT2" t="e">
        <f>AND(Sheet1!A45,"AAAAAB38z2E=")</f>
        <v>#VALUE!</v>
      </c>
      <c r="CU2" t="e">
        <f>AND(Sheet1!B45,"AAAAAB38z2I=")</f>
        <v>#VALUE!</v>
      </c>
      <c r="CV2" t="e">
        <f>AND(Sheet1!C45,"AAAAAB38z2M=")</f>
        <v>#VALUE!</v>
      </c>
      <c r="CW2" t="e">
        <f>AND(Sheet1!D45,"AAAAAB38z2Q=")</f>
        <v>#VALUE!</v>
      </c>
      <c r="CX2" t="e">
        <f>AND(Sheet1!E45,"AAAAAB38z2U=")</f>
        <v>#VALUE!</v>
      </c>
      <c r="CY2" t="e">
        <f>AND(Sheet1!F45,"AAAAAB38z2Y=")</f>
        <v>#VALUE!</v>
      </c>
      <c r="CZ2" t="e">
        <f>AND(Sheet1!G45,"AAAAAB38z2c=")</f>
        <v>#VALUE!</v>
      </c>
      <c r="DA2">
        <f>IF(Sheet1!46:46,"AAAAAB38z2g=",0)</f>
        <v>0</v>
      </c>
      <c r="DB2" t="e">
        <f>AND(Sheet1!A46,"AAAAAB38z2k=")</f>
        <v>#VALUE!</v>
      </c>
      <c r="DC2" t="e">
        <f>AND(Sheet1!B46,"AAAAAB38z2o=")</f>
        <v>#VALUE!</v>
      </c>
      <c r="DD2" t="e">
        <f>AND(Sheet1!C46,"AAAAAB38z2s=")</f>
        <v>#VALUE!</v>
      </c>
      <c r="DE2" t="e">
        <f>AND(Sheet1!D46,"AAAAAB38z2w=")</f>
        <v>#VALUE!</v>
      </c>
      <c r="DF2" t="e">
        <f>AND(Sheet1!E46,"AAAAAB38z20=")</f>
        <v>#VALUE!</v>
      </c>
      <c r="DG2" t="e">
        <f>AND(Sheet1!F46,"AAAAAB38z24=")</f>
        <v>#VALUE!</v>
      </c>
      <c r="DH2" t="e">
        <f>AND(Sheet1!G46,"AAAAAB38z28=")</f>
        <v>#VALUE!</v>
      </c>
      <c r="DI2">
        <f>IF(Sheet1!47:47,"AAAAAB38z3A=",0)</f>
        <v>0</v>
      </c>
      <c r="DJ2" t="e">
        <f>AND(Sheet1!A47,"AAAAAB38z3E=")</f>
        <v>#VALUE!</v>
      </c>
      <c r="DK2" t="e">
        <f>AND(Sheet1!B47,"AAAAAB38z3I=")</f>
        <v>#VALUE!</v>
      </c>
      <c r="DL2" t="e">
        <f>AND(Sheet1!C47,"AAAAAB38z3M=")</f>
        <v>#VALUE!</v>
      </c>
      <c r="DM2" t="e">
        <f>AND(Sheet1!D47,"AAAAAB38z3Q=")</f>
        <v>#VALUE!</v>
      </c>
      <c r="DN2" t="e">
        <f>AND(Sheet1!E47,"AAAAAB38z3U=")</f>
        <v>#VALUE!</v>
      </c>
      <c r="DO2" t="e">
        <f>AND(Sheet1!F47,"AAAAAB38z3Y=")</f>
        <v>#VALUE!</v>
      </c>
      <c r="DP2" t="e">
        <f>AND(Sheet1!G47,"AAAAAB38z3c=")</f>
        <v>#VALUE!</v>
      </c>
      <c r="DQ2">
        <f>IF(Sheet1!48:48,"AAAAAB38z3g=",0)</f>
        <v>0</v>
      </c>
      <c r="DR2" t="e">
        <f>AND(Sheet1!A48,"AAAAAB38z3k=")</f>
        <v>#VALUE!</v>
      </c>
      <c r="DS2" t="e">
        <f>AND(Sheet1!B48,"AAAAAB38z3o=")</f>
        <v>#VALUE!</v>
      </c>
      <c r="DT2" t="e">
        <f>AND(Sheet1!C48,"AAAAAB38z3s=")</f>
        <v>#VALUE!</v>
      </c>
      <c r="DU2" t="e">
        <f>AND(Sheet1!D48,"AAAAAB38z3w=")</f>
        <v>#VALUE!</v>
      </c>
      <c r="DV2" t="e">
        <f>AND(Sheet1!E48,"AAAAAB38z30=")</f>
        <v>#VALUE!</v>
      </c>
      <c r="DW2" t="e">
        <f>AND(Sheet1!F48,"AAAAAB38z34=")</f>
        <v>#VALUE!</v>
      </c>
      <c r="DX2" t="e">
        <f>AND(Sheet1!G48,"AAAAAB38z38=")</f>
        <v>#VALUE!</v>
      </c>
      <c r="DY2">
        <f>IF(Sheet1!49:49,"AAAAAB38z4A=",0)</f>
        <v>0</v>
      </c>
      <c r="DZ2" t="e">
        <f>AND(Sheet1!A49,"AAAAAB38z4E=")</f>
        <v>#VALUE!</v>
      </c>
      <c r="EA2" t="e">
        <f>AND(Sheet1!B49,"AAAAAB38z4I=")</f>
        <v>#VALUE!</v>
      </c>
      <c r="EB2" t="e">
        <f>AND(Sheet1!C49,"AAAAAB38z4M=")</f>
        <v>#VALUE!</v>
      </c>
      <c r="EC2" t="e">
        <f>AND(Sheet1!D49,"AAAAAB38z4Q=")</f>
        <v>#VALUE!</v>
      </c>
      <c r="ED2" t="e">
        <f>AND(Sheet1!E49,"AAAAAB38z4U=")</f>
        <v>#VALUE!</v>
      </c>
      <c r="EE2" t="e">
        <f>AND(Sheet1!F49,"AAAAAB38z4Y=")</f>
        <v>#VALUE!</v>
      </c>
      <c r="EF2" t="e">
        <f>AND(Sheet1!G49,"AAAAAB38z4c=")</f>
        <v>#VALUE!</v>
      </c>
      <c r="EG2">
        <f>IF(Sheet1!50:50,"AAAAAB38z4g=",0)</f>
        <v>0</v>
      </c>
      <c r="EH2" t="e">
        <f>AND(Sheet1!A50,"AAAAAB38z4k=")</f>
        <v>#VALUE!</v>
      </c>
      <c r="EI2" t="e">
        <f>AND(Sheet1!B50,"AAAAAB38z4o=")</f>
        <v>#VALUE!</v>
      </c>
      <c r="EJ2" t="e">
        <f>AND(Sheet1!C50,"AAAAAB38z4s=")</f>
        <v>#VALUE!</v>
      </c>
      <c r="EK2" t="e">
        <f>AND(Sheet1!D50,"AAAAAB38z4w=")</f>
        <v>#VALUE!</v>
      </c>
      <c r="EL2" t="e">
        <f>AND(Sheet1!E50,"AAAAAB38z40=")</f>
        <v>#VALUE!</v>
      </c>
      <c r="EM2" t="e">
        <f>AND(Sheet1!F50,"AAAAAB38z44=")</f>
        <v>#VALUE!</v>
      </c>
      <c r="EN2" t="e">
        <f>AND(Sheet1!G50,"AAAAAB38z48=")</f>
        <v>#VALUE!</v>
      </c>
      <c r="EO2">
        <f>IF(Sheet1!51:51,"AAAAAB38z5A=",0)</f>
        <v>0</v>
      </c>
      <c r="EP2" t="e">
        <f>AND(Sheet1!A51,"AAAAAB38z5E=")</f>
        <v>#VALUE!</v>
      </c>
      <c r="EQ2" t="e">
        <f>AND(Sheet1!B51,"AAAAAB38z5I=")</f>
        <v>#VALUE!</v>
      </c>
      <c r="ER2" t="e">
        <f>AND(Sheet1!C51,"AAAAAB38z5M=")</f>
        <v>#VALUE!</v>
      </c>
      <c r="ES2" t="e">
        <f>AND(Sheet1!D51,"AAAAAB38z5Q=")</f>
        <v>#VALUE!</v>
      </c>
      <c r="ET2" t="e">
        <f>AND(Sheet1!E51,"AAAAAB38z5U=")</f>
        <v>#VALUE!</v>
      </c>
      <c r="EU2" t="e">
        <f>AND(Sheet1!F51,"AAAAAB38z5Y=")</f>
        <v>#VALUE!</v>
      </c>
      <c r="EV2" t="e">
        <f>AND(Sheet1!G51,"AAAAAB38z5c=")</f>
        <v>#VALUE!</v>
      </c>
      <c r="EW2">
        <f>IF(Sheet1!52:52,"AAAAAB38z5g=",0)</f>
        <v>0</v>
      </c>
      <c r="EX2" t="e">
        <f>AND(Sheet1!A52,"AAAAAB38z5k=")</f>
        <v>#VALUE!</v>
      </c>
      <c r="EY2" t="e">
        <f>AND(Sheet1!B52,"AAAAAB38z5o=")</f>
        <v>#VALUE!</v>
      </c>
      <c r="EZ2" t="e">
        <f>AND(Sheet1!C52,"AAAAAB38z5s=")</f>
        <v>#VALUE!</v>
      </c>
      <c r="FA2" t="e">
        <f>AND(Sheet1!D52,"AAAAAB38z5w=")</f>
        <v>#VALUE!</v>
      </c>
      <c r="FB2" t="e">
        <f>AND(Sheet1!E52,"AAAAAB38z50=")</f>
        <v>#VALUE!</v>
      </c>
      <c r="FC2" t="e">
        <f>AND(Sheet1!F52,"AAAAAB38z54=")</f>
        <v>#VALUE!</v>
      </c>
      <c r="FD2" t="e">
        <f>AND(Sheet1!G52,"AAAAAB38z58=")</f>
        <v>#VALUE!</v>
      </c>
      <c r="FE2">
        <f>IF(Sheet1!53:53,"AAAAAB38z6A=",0)</f>
        <v>0</v>
      </c>
      <c r="FF2" t="e">
        <f>AND(Sheet1!A53,"AAAAAB38z6E=")</f>
        <v>#VALUE!</v>
      </c>
      <c r="FG2" t="e">
        <f>AND(Sheet1!B53,"AAAAAB38z6I=")</f>
        <v>#VALUE!</v>
      </c>
      <c r="FH2" t="e">
        <f>AND(Sheet1!C53,"AAAAAB38z6M=")</f>
        <v>#VALUE!</v>
      </c>
      <c r="FI2" t="e">
        <f>AND(Sheet1!D53,"AAAAAB38z6Q=")</f>
        <v>#VALUE!</v>
      </c>
      <c r="FJ2" t="e">
        <f>AND(Sheet1!E53,"AAAAAB38z6U=")</f>
        <v>#VALUE!</v>
      </c>
      <c r="FK2" t="e">
        <f>AND(Sheet1!F53,"AAAAAB38z6Y=")</f>
        <v>#VALUE!</v>
      </c>
      <c r="FL2" t="e">
        <f>AND(Sheet1!G53,"AAAAAB38z6c=")</f>
        <v>#VALUE!</v>
      </c>
      <c r="FM2">
        <f>IF(Sheet1!54:54,"AAAAAB38z6g=",0)</f>
        <v>0</v>
      </c>
      <c r="FN2" t="e">
        <f>AND(Sheet1!A54,"AAAAAB38z6k=")</f>
        <v>#VALUE!</v>
      </c>
      <c r="FO2" t="e">
        <f>AND(Sheet1!B54,"AAAAAB38z6o=")</f>
        <v>#VALUE!</v>
      </c>
      <c r="FP2" t="e">
        <f>AND(Sheet1!C54,"AAAAAB38z6s=")</f>
        <v>#VALUE!</v>
      </c>
      <c r="FQ2" t="e">
        <f>AND(Sheet1!D54,"AAAAAB38z6w=")</f>
        <v>#VALUE!</v>
      </c>
      <c r="FR2" t="e">
        <f>AND(Sheet1!E54,"AAAAAB38z60=")</f>
        <v>#VALUE!</v>
      </c>
      <c r="FS2" t="e">
        <f>AND(Sheet1!F54,"AAAAAB38z64=")</f>
        <v>#VALUE!</v>
      </c>
      <c r="FT2" t="e">
        <f>AND(Sheet1!G54,"AAAAAB38z68=")</f>
        <v>#VALUE!</v>
      </c>
      <c r="FU2">
        <f>IF(Sheet1!55:55,"AAAAAB38z7A=",0)</f>
        <v>0</v>
      </c>
      <c r="FV2" t="e">
        <f>AND(Sheet1!A55,"AAAAAB38z7E=")</f>
        <v>#VALUE!</v>
      </c>
      <c r="FW2" t="e">
        <f>AND(Sheet1!B55,"AAAAAB38z7I=")</f>
        <v>#VALUE!</v>
      </c>
      <c r="FX2" t="e">
        <f>AND(Sheet1!C55,"AAAAAB38z7M=")</f>
        <v>#VALUE!</v>
      </c>
      <c r="FY2" t="e">
        <f>AND(Sheet1!D55,"AAAAAB38z7Q=")</f>
        <v>#VALUE!</v>
      </c>
      <c r="FZ2" t="e">
        <f>AND(Sheet1!E55,"AAAAAB38z7U=")</f>
        <v>#VALUE!</v>
      </c>
      <c r="GA2" t="e">
        <f>AND(Sheet1!F55,"AAAAAB38z7Y=")</f>
        <v>#VALUE!</v>
      </c>
      <c r="GB2" t="e">
        <f>AND(Sheet1!G55,"AAAAAB38z7c=")</f>
        <v>#VALUE!</v>
      </c>
      <c r="GC2">
        <f>IF(Sheet1!56:56,"AAAAAB38z7g=",0)</f>
        <v>0</v>
      </c>
      <c r="GD2" t="e">
        <f>AND(Sheet1!A56,"AAAAAB38z7k=")</f>
        <v>#VALUE!</v>
      </c>
      <c r="GE2" t="e">
        <f>AND(Sheet1!B56,"AAAAAB38z7o=")</f>
        <v>#VALUE!</v>
      </c>
      <c r="GF2" t="e">
        <f>AND(Sheet1!C56,"AAAAAB38z7s=")</f>
        <v>#VALUE!</v>
      </c>
      <c r="GG2" t="e">
        <f>AND(Sheet1!D56,"AAAAAB38z7w=")</f>
        <v>#VALUE!</v>
      </c>
      <c r="GH2" t="e">
        <f>AND(Sheet1!E56,"AAAAAB38z70=")</f>
        <v>#VALUE!</v>
      </c>
      <c r="GI2" t="e">
        <f>AND(Sheet1!F56,"AAAAAB38z74=")</f>
        <v>#VALUE!</v>
      </c>
      <c r="GJ2" t="e">
        <f>AND(Sheet1!G56,"AAAAAB38z78=")</f>
        <v>#VALUE!</v>
      </c>
      <c r="GK2">
        <f>IF(Sheet1!57:57,"AAAAAB38z8A=",0)</f>
        <v>0</v>
      </c>
      <c r="GL2" t="e">
        <f>AND(Sheet1!A57,"AAAAAB38z8E=")</f>
        <v>#VALUE!</v>
      </c>
      <c r="GM2" t="e">
        <f>AND(Sheet1!B57,"AAAAAB38z8I=")</f>
        <v>#VALUE!</v>
      </c>
      <c r="GN2" t="e">
        <f>AND(Sheet1!C57,"AAAAAB38z8M=")</f>
        <v>#VALUE!</v>
      </c>
      <c r="GO2" t="e">
        <f>AND(Sheet1!D57,"AAAAAB38z8Q=")</f>
        <v>#VALUE!</v>
      </c>
      <c r="GP2" t="e">
        <f>AND(Sheet1!E57,"AAAAAB38z8U=")</f>
        <v>#VALUE!</v>
      </c>
      <c r="GQ2" t="e">
        <f>AND(Sheet1!F57,"AAAAAB38z8Y=")</f>
        <v>#VALUE!</v>
      </c>
      <c r="GR2" t="e">
        <f>AND(Sheet1!G57,"AAAAAB38z8c=")</f>
        <v>#VALUE!</v>
      </c>
      <c r="GS2">
        <f>IF(Sheet1!58:58,"AAAAAB38z8g=",0)</f>
        <v>0</v>
      </c>
      <c r="GT2" t="e">
        <f>AND(Sheet1!A58,"AAAAAB38z8k=")</f>
        <v>#VALUE!</v>
      </c>
      <c r="GU2" t="e">
        <f>AND(Sheet1!B58,"AAAAAB38z8o=")</f>
        <v>#VALUE!</v>
      </c>
      <c r="GV2" t="e">
        <f>AND(Sheet1!C58,"AAAAAB38z8s=")</f>
        <v>#VALUE!</v>
      </c>
      <c r="GW2" t="e">
        <f>AND(Sheet1!D58,"AAAAAB38z8w=")</f>
        <v>#VALUE!</v>
      </c>
      <c r="GX2" t="e">
        <f>AND(Sheet1!E58,"AAAAAB38z80=")</f>
        <v>#VALUE!</v>
      </c>
      <c r="GY2" t="e">
        <f>AND(Sheet1!F58,"AAAAAB38z84=")</f>
        <v>#VALUE!</v>
      </c>
      <c r="GZ2" t="e">
        <f>AND(Sheet1!G58,"AAAAAB38z88=")</f>
        <v>#VALUE!</v>
      </c>
      <c r="HA2" t="e">
        <f>IF(Sheet1!A:A,"AAAAAB38z9A=",0)</f>
        <v>#VALUE!</v>
      </c>
      <c r="HB2" t="e">
        <f>IF(Sheet1!B:B,"AAAAAB38z9E=",0)</f>
        <v>#VALUE!</v>
      </c>
      <c r="HC2" t="e">
        <f>IF(Sheet1!C:C,"AAAAAB38z9I=",0)</f>
        <v>#VALUE!</v>
      </c>
      <c r="HD2" t="e">
        <f>IF(Sheet1!D:D,"AAAAAB38z9M=",0)</f>
        <v>#VALUE!</v>
      </c>
      <c r="HE2" t="e">
        <f>IF(Sheet1!E:E,"AAAAAB38z9Q=",0)</f>
        <v>#VALUE!</v>
      </c>
      <c r="HF2" t="e">
        <f>IF(Sheet1!F:F,"AAAAAB38z9U=",0)</f>
        <v>#VALUE!</v>
      </c>
      <c r="HG2" t="e">
        <f>IF(Sheet1!G:G,"AAAAAB38z9Y=",0)</f>
        <v>#VALUE!</v>
      </c>
      <c r="HH2">
        <f>IF(Sheet2!1:1,"AAAAAB38z9c=",0)</f>
        <v>0</v>
      </c>
      <c r="HI2" t="e">
        <f>AND(Sheet2!A1,"AAAAAB38z9g=")</f>
        <v>#VALUE!</v>
      </c>
      <c r="HJ2">
        <f>IF(Sheet2!A:A,"AAAAAB38z9k=",0)</f>
        <v>0</v>
      </c>
      <c r="HK2">
        <f>IF(Sheet3!1:1,"AAAAAB38z9o=",0)</f>
        <v>0</v>
      </c>
      <c r="HL2" t="e">
        <f>AND(Sheet3!A1,"AAAAAB38z9s=")</f>
        <v>#VALUE!</v>
      </c>
      <c r="HM2">
        <f>IF(Sheet3!A:A,"AAAAAB38z9w=",0)</f>
        <v>0</v>
      </c>
      <c r="HN2" t="s">
        <v>250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大橋 力丈</dc:creator>
  <cp:lastModifiedBy>深澤 豪</cp:lastModifiedBy>
  <dcterms:created xsi:type="dcterms:W3CDTF">2011-09-26T06:00:15Z</dcterms:created>
  <dcterms:modified xsi:type="dcterms:W3CDTF">2012-02-14T09:04:19Z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Tracking">
    <vt:lpwstr>true</vt:lpwstr>
  </property>
  <property fmtid="{D5CDD505-2E9C-101B-9397-08002B2CF9AE}" pid="3" name="Google.Documents.DocumentId">
    <vt:lpwstr>1AHLzqZR-XredJ9_AYYwC759KW9Y3IyRqSzsYn-AZolM</vt:lpwstr>
  </property>
  <property fmtid="{D5CDD505-2E9C-101B-9397-08002B2CF9AE}" pid="4" name="Google.Documents.RevisionId">
    <vt:lpwstr>08676892266014248574</vt:lpwstr>
  </property>
  <property fmtid="{D5CDD505-2E9C-101B-9397-08002B2CF9AE}" pid="5" name="Google.Documents.PluginVersion">
    <vt:lpwstr>2.0.2662.553</vt:lpwstr>
  </property>
  <property fmtid="{D5CDD505-2E9C-101B-9397-08002B2CF9AE}" pid="6" name="Google.Documents.MergeIncapabilityFlags">
    <vt:i4>0</vt:i4>
  </property>
</Properties>
</file>