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425" firstSheet="4" activeTab="4"/>
  </bookViews>
  <sheets>
    <sheet name="PHOTOBOOK KM" sheetId="3" r:id="rId1"/>
    <sheet name="PHOTOBOOK SSN" sheetId="2" state="hidden" r:id="rId2"/>
    <sheet name="MO PHANG KM" sheetId="4" r:id="rId3"/>
    <sheet name="PRINTS SSN" sheetId="7" r:id="rId4"/>
    <sheet name="MO PHANG SSN" sheetId="5" r:id="rId5"/>
    <sheet name="PHOTOBOOK SSN SATIN" sheetId="8" r:id="rId6"/>
    <sheet name="PHOTOBOOK SSN LUSTRE" sheetId="9" r:id="rId7"/>
    <sheet name="PHOTOBOOK SSN GLOSSY" sheetId="10" r:id="rId8"/>
    <sheet name="NGOC HUY PVH" sheetId="16" r:id="rId9"/>
    <sheet name="TINY PHOTOBOOK" sheetId="11" r:id="rId10"/>
    <sheet name="TINY MP" sheetId="12" r:id="rId11"/>
    <sheet name="TINY CANVAS" sheetId="13" r:id="rId12"/>
  </sheets>
  <externalReferences>
    <externalReference r:id="rId13"/>
  </externalReferences>
  <calcPr calcId="124519"/>
</workbook>
</file>

<file path=xl/calcChain.xml><?xml version="1.0" encoding="utf-8"?>
<calcChain xmlns="http://schemas.openxmlformats.org/spreadsheetml/2006/main">
  <c r="S3" i="5"/>
  <c r="I7"/>
  <c r="T7" s="1"/>
  <c r="G19" i="16"/>
  <c r="R9" i="5" l="1"/>
  <c r="R8"/>
  <c r="R7"/>
  <c r="Q9"/>
  <c r="Q8"/>
  <c r="Q7"/>
  <c r="H25" i="16" l="1"/>
  <c r="G25"/>
  <c r="F28" l="1"/>
  <c r="F25"/>
  <c r="E25"/>
  <c r="D25"/>
  <c r="C25"/>
  <c r="H19"/>
  <c r="F19"/>
  <c r="E19"/>
  <c r="D19"/>
  <c r="C19"/>
  <c r="H13"/>
  <c r="G13"/>
  <c r="F13"/>
  <c r="E13"/>
  <c r="D13"/>
  <c r="C13"/>
  <c r="Q23"/>
  <c r="P23"/>
  <c r="O23"/>
  <c r="N23"/>
  <c r="M23"/>
  <c r="L23"/>
  <c r="Q17"/>
  <c r="P17"/>
  <c r="O17"/>
  <c r="N17"/>
  <c r="M17"/>
  <c r="L17"/>
  <c r="Q11"/>
  <c r="P11"/>
  <c r="O11"/>
  <c r="N11"/>
  <c r="M11"/>
  <c r="L11"/>
  <c r="H23"/>
  <c r="G23"/>
  <c r="F23"/>
  <c r="E23"/>
  <c r="D23"/>
  <c r="C23"/>
  <c r="H17"/>
  <c r="G17"/>
  <c r="F17"/>
  <c r="E17"/>
  <c r="D17"/>
  <c r="C17"/>
  <c r="H11"/>
  <c r="G11"/>
  <c r="F11"/>
  <c r="E11"/>
  <c r="D11"/>
  <c r="C11"/>
  <c r="L9" i="5" l="1"/>
  <c r="K9"/>
  <c r="J9"/>
  <c r="I9"/>
  <c r="H9"/>
  <c r="D9"/>
  <c r="L8"/>
  <c r="K8"/>
  <c r="J8"/>
  <c r="I8"/>
  <c r="H8"/>
  <c r="D8"/>
  <c r="L7"/>
  <c r="K7"/>
  <c r="J7"/>
  <c r="H7"/>
  <c r="G9"/>
  <c r="F9"/>
  <c r="E9"/>
  <c r="G8"/>
  <c r="F8"/>
  <c r="E8"/>
  <c r="G7"/>
  <c r="F7"/>
  <c r="E7"/>
  <c r="D7"/>
  <c r="H21" i="10"/>
  <c r="H20"/>
  <c r="H19"/>
  <c r="J18"/>
  <c r="I18"/>
  <c r="H18"/>
  <c r="G18"/>
  <c r="F18"/>
  <c r="E18"/>
  <c r="D18"/>
  <c r="C18"/>
  <c r="I17"/>
  <c r="J17" s="1"/>
  <c r="K17" s="1"/>
  <c r="H17"/>
  <c r="G17"/>
  <c r="F17"/>
  <c r="E17"/>
  <c r="D17"/>
  <c r="C17"/>
  <c r="K16"/>
  <c r="J16"/>
  <c r="I16"/>
  <c r="H16"/>
  <c r="G16"/>
  <c r="F16"/>
  <c r="E16"/>
  <c r="D16"/>
  <c r="C16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10"/>
  <c r="J10"/>
  <c r="I10"/>
  <c r="H10"/>
  <c r="G10"/>
  <c r="F10"/>
  <c r="E10"/>
  <c r="D10"/>
  <c r="C10"/>
  <c r="A5"/>
  <c r="K16" i="9"/>
  <c r="J16"/>
  <c r="J18"/>
  <c r="I16"/>
  <c r="I17"/>
  <c r="J17" s="1"/>
  <c r="K17" s="1"/>
  <c r="I18"/>
  <c r="H16"/>
  <c r="H17"/>
  <c r="H18"/>
  <c r="G16"/>
  <c r="G17"/>
  <c r="G18"/>
  <c r="F16"/>
  <c r="F17"/>
  <c r="F18"/>
  <c r="E16"/>
  <c r="E17"/>
  <c r="E18"/>
  <c r="D16"/>
  <c r="D17"/>
  <c r="D18"/>
  <c r="C16"/>
  <c r="C17"/>
  <c r="C18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10"/>
  <c r="J10"/>
  <c r="I10"/>
  <c r="H10"/>
  <c r="G10"/>
  <c r="F10"/>
  <c r="E10"/>
  <c r="D10"/>
  <c r="C10"/>
  <c r="A5"/>
  <c r="J18" i="8"/>
  <c r="I18"/>
  <c r="H18"/>
  <c r="G18"/>
  <c r="F18"/>
  <c r="E18"/>
  <c r="D18"/>
  <c r="C18"/>
  <c r="I17"/>
  <c r="J17" s="1"/>
  <c r="K17" s="1"/>
  <c r="H17"/>
  <c r="G17"/>
  <c r="F17"/>
  <c r="E17"/>
  <c r="D17"/>
  <c r="C17"/>
  <c r="K16"/>
  <c r="J16"/>
  <c r="I16"/>
  <c r="H16"/>
  <c r="G16"/>
  <c r="F16"/>
  <c r="E16"/>
  <c r="D16"/>
  <c r="C16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10"/>
  <c r="J10"/>
  <c r="I10"/>
  <c r="H10"/>
  <c r="G10"/>
  <c r="F10"/>
  <c r="E10"/>
  <c r="D10"/>
  <c r="C10"/>
  <c r="A5"/>
  <c r="E10" i="7"/>
  <c r="K10" i="4" l="1"/>
  <c r="K9"/>
  <c r="K8"/>
  <c r="I10"/>
  <c r="I9"/>
  <c r="I8"/>
  <c r="H10"/>
  <c r="H9"/>
  <c r="H8"/>
  <c r="G10"/>
  <c r="G9"/>
  <c r="G8"/>
  <c r="F10"/>
  <c r="F9"/>
  <c r="F8"/>
  <c r="E10"/>
  <c r="E9"/>
  <c r="E8"/>
  <c r="D10"/>
  <c r="D9"/>
  <c r="D8"/>
  <c r="J8"/>
  <c r="J9"/>
  <c r="J10"/>
  <c r="J7"/>
  <c r="H7"/>
  <c r="G7"/>
  <c r="F7"/>
  <c r="E7"/>
  <c r="D7"/>
  <c r="AC13" i="2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C10"/>
  <c r="AB10"/>
  <c r="AA10"/>
  <c r="Z10"/>
  <c r="Y10"/>
  <c r="X10"/>
  <c r="W10"/>
  <c r="V10"/>
  <c r="U10"/>
  <c r="T10"/>
  <c r="S10"/>
  <c r="R10"/>
  <c r="Q10"/>
  <c r="P10"/>
  <c r="N10"/>
  <c r="M10"/>
  <c r="K10"/>
  <c r="C10"/>
  <c r="L10"/>
  <c r="O10"/>
  <c r="J10"/>
  <c r="I10"/>
  <c r="H10"/>
  <c r="G10"/>
  <c r="F10"/>
  <c r="E10"/>
  <c r="D10"/>
  <c r="AA16"/>
  <c r="D12" i="3"/>
  <c r="D11"/>
  <c r="D10"/>
  <c r="C10"/>
  <c r="C12"/>
  <c r="C11"/>
  <c r="D9"/>
  <c r="C9"/>
  <c r="H15" i="5" l="1"/>
  <c r="G15"/>
  <c r="F15"/>
  <c r="D15"/>
  <c r="G14"/>
  <c r="I13"/>
  <c r="H13"/>
  <c r="G13"/>
  <c r="F13"/>
  <c r="E13"/>
  <c r="D13"/>
  <c r="A4"/>
  <c r="A2"/>
  <c r="J14" i="4"/>
  <c r="I14"/>
  <c r="H14"/>
  <c r="G14"/>
  <c r="F14"/>
  <c r="E14"/>
  <c r="D14"/>
  <c r="A4"/>
  <c r="A2"/>
  <c r="J18" i="3"/>
  <c r="I18"/>
  <c r="G18"/>
  <c r="F18"/>
  <c r="E18"/>
  <c r="D18"/>
  <c r="C18"/>
  <c r="J17"/>
  <c r="I17"/>
  <c r="H17"/>
  <c r="G17"/>
  <c r="F17"/>
  <c r="E17"/>
  <c r="D17"/>
  <c r="C17"/>
  <c r="D16"/>
  <c r="E16" s="1"/>
  <c r="A2"/>
  <c r="E12" l="1"/>
  <c r="E10"/>
  <c r="E11"/>
  <c r="E9"/>
  <c r="F16"/>
  <c r="F12" l="1"/>
  <c r="F10"/>
  <c r="F11"/>
  <c r="F9"/>
  <c r="G16"/>
  <c r="G12" l="1"/>
  <c r="G10"/>
  <c r="G11"/>
  <c r="G9"/>
  <c r="H16"/>
  <c r="H12" l="1"/>
  <c r="H10"/>
  <c r="H11"/>
  <c r="H9"/>
  <c r="I16"/>
  <c r="I11" l="1"/>
  <c r="I9"/>
  <c r="I12"/>
  <c r="I10"/>
  <c r="J16"/>
  <c r="K16" s="1"/>
  <c r="J11" l="1"/>
  <c r="J9"/>
  <c r="J12"/>
  <c r="J10"/>
  <c r="T21" i="2"/>
  <c r="T20"/>
  <c r="T19"/>
  <c r="X18"/>
  <c r="U18"/>
  <c r="R18"/>
  <c r="O18"/>
  <c r="L18"/>
  <c r="I18"/>
  <c r="F18"/>
  <c r="C18"/>
  <c r="U17"/>
  <c r="X17" s="1"/>
  <c r="AA17" s="1"/>
  <c r="R17"/>
  <c r="O17"/>
  <c r="L17"/>
  <c r="I17"/>
  <c r="F17"/>
  <c r="C17"/>
  <c r="X16"/>
  <c r="U16"/>
  <c r="R16"/>
  <c r="O16"/>
  <c r="L16"/>
  <c r="I16"/>
  <c r="F16"/>
  <c r="C16"/>
  <c r="A5"/>
  <c r="K12" i="3" l="1"/>
  <c r="K10"/>
  <c r="K11"/>
  <c r="K9"/>
</calcChain>
</file>

<file path=xl/sharedStrings.xml><?xml version="1.0" encoding="utf-8"?>
<sst xmlns="http://schemas.openxmlformats.org/spreadsheetml/2006/main" count="464" uniqueCount="168">
  <si>
    <t>CÔNG TY TNHH IN ẤN HÌNH ẢNH TUYỆT VỜI</t>
  </si>
  <si>
    <t>215/11 Huỳnh Văn Bánh, P.12, Q. Phú Nhuận</t>
  </si>
  <si>
    <t>215/11 Huỳnh Văn Bánh, P.12, Q. Phú Nhuận | Điện thoại: 08 399 77 224 - 399 77 225 | www.inantuyetvoi.vn</t>
  </si>
  <si>
    <t>PHOTOBOOK ĐÓNG KEO PUR - IN SIÊU SẮC NÉT GIẤY ẢNH HAI MẶT TRÊN DREAM LABO</t>
  </si>
  <si>
    <t>No</t>
  </si>
  <si>
    <t>SẢN PHẨM | PRODUCT</t>
  </si>
  <si>
    <t>15 x 15 cm</t>
  </si>
  <si>
    <t>15 x 20 cm or 20 x 15 cm</t>
  </si>
  <si>
    <t>20 x 20 cm</t>
  </si>
  <si>
    <t>25 x 25 cm</t>
  </si>
  <si>
    <t>30 x 20 cm or 20 x 30 cm</t>
  </si>
  <si>
    <t>30 x 30 cm</t>
  </si>
  <si>
    <t>25 x 35 cm or 35 x 25 cm
30 x 35 cm or 35 x 30cm</t>
  </si>
  <si>
    <t>40 x 30 cm</t>
  </si>
  <si>
    <r>
      <t xml:space="preserve">SỐ TRANG MẶC ĐỊNH | </t>
    </r>
    <r>
      <rPr>
        <b/>
        <sz val="8"/>
        <rFont val="Times New Roman"/>
        <family val="1"/>
      </rPr>
      <t>DEFAULT PAGES</t>
    </r>
  </si>
  <si>
    <t>I</t>
  </si>
  <si>
    <t>SIÊU SẮC NÉT IN TỪ MÁY DREAM LABO</t>
  </si>
  <si>
    <t>SATIN
165GSM</t>
  </si>
  <si>
    <t>LUSTRE
230GSM</t>
  </si>
  <si>
    <t>GLOSS
250GSM</t>
  </si>
  <si>
    <t>No.</t>
  </si>
  <si>
    <r>
      <rPr>
        <b/>
        <sz val="11"/>
        <rFont val="Times New Roman"/>
        <family val="1"/>
      </rPr>
      <t>Bìa da/họa tiết Châu Âu L</t>
    </r>
    <r>
      <rPr>
        <sz val="11"/>
        <rFont val="Times New Roman"/>
        <family val="1"/>
      </rPr>
      <t>eather/Texture hardcover</t>
    </r>
  </si>
  <si>
    <r>
      <rPr>
        <b/>
        <sz val="10"/>
        <rFont val="Times New Roman"/>
        <family val="1"/>
      </rPr>
      <t>Tăng thêm 2 mặt (1 tờ đôi)</t>
    </r>
    <r>
      <rPr>
        <sz val="11"/>
        <rFont val="Times New Roman"/>
        <family val="1"/>
      </rPr>
      <t xml:space="preserve">
Additional sheet (2 sides)</t>
    </r>
  </si>
  <si>
    <t>III</t>
  </si>
  <si>
    <t xml:space="preserve">LỰA CHỌN THÊM | Optional Extras </t>
  </si>
  <si>
    <r>
      <rPr>
        <b/>
        <sz val="11"/>
        <rFont val="Times New Roman"/>
        <family val="1"/>
      </rPr>
      <t xml:space="preserve">Hộp MDF thiết kế hình </t>
    </r>
    <r>
      <rPr>
        <sz val="11"/>
        <rFont val="Times New Roman"/>
        <family val="1"/>
      </rPr>
      <t>Personalised MDF boxes</t>
    </r>
  </si>
  <si>
    <t>APP có chính sách thưởng doanh số tháng, giảm tới 17% giá sỉ. Hãy liên hệ với chúng tôi ngay để có kế hoạch kinh doanh mới gặt hái thành công mới</t>
  </si>
  <si>
    <t>Đơn vị tính | Unit: VND | Bìa mềm có kích thước nhỏ hơn khoảng 5mm xén từ 3 chiều | softcover books are smaller by a minimum of 5cm trimming margin from 3 sides.</t>
  </si>
  <si>
    <t>TÊN SẢN PHẨM | PRODUCT NAME</t>
  </si>
  <si>
    <t>30 x 30 / 25 x 35 cm</t>
  </si>
  <si>
    <t>II</t>
  </si>
  <si>
    <t>2 TRANG THÊM | Additional sheet (2 pages)</t>
  </si>
  <si>
    <t>Cán màng mờ trên couche thêm</t>
  </si>
  <si>
    <t>BẢNG GIÁ ALBUM MỞ PHẲNG TRUYỀN THỐNG | LAYFLAT PHOTO ALBUMS
IN KỶ THUẬT SỐ | STANDARD DEFINITION PRINTS</t>
  </si>
  <si>
    <r>
      <t xml:space="preserve">ALBUM MỞ PHẲNG
</t>
    </r>
    <r>
      <rPr>
        <sz val="10"/>
        <color indexed="8"/>
        <rFont val="Times New Roman"/>
        <family val="1"/>
      </rPr>
      <t>Album Lay Flat</t>
    </r>
  </si>
  <si>
    <t>Khổ 15 x 15 cm</t>
  </si>
  <si>
    <t>Khổ 25 x 25 cm</t>
  </si>
  <si>
    <t>Khổ 35 x 30 cm (ngang)</t>
  </si>
  <si>
    <t>Khổ 35 x 30 / 
40 x 30 /
 45 x 30 cm</t>
  </si>
  <si>
    <r>
      <rPr>
        <b/>
        <sz val="10"/>
        <color indexed="8"/>
        <rFont val="Times New Roman"/>
        <family val="1"/>
      </rPr>
      <t>Bìa cứng vải</t>
    </r>
    <r>
      <rPr>
        <sz val="10"/>
        <color indexed="8"/>
        <rFont val="Times New Roman"/>
        <family val="1"/>
      </rPr>
      <t xml:space="preserve">
Linen Hard cover</t>
    </r>
  </si>
  <si>
    <t>TRANG ĐÔI THÊM Additional spread</t>
  </si>
  <si>
    <t>Khổ 30 x 30 cm</t>
  </si>
  <si>
    <t>Khổ 30 x 40 cm</t>
  </si>
  <si>
    <t>Khổ 30 x 45 cm</t>
  </si>
  <si>
    <r>
      <rPr>
        <b/>
        <sz val="10"/>
        <color indexed="8"/>
        <rFont val="Times New Roman"/>
        <family val="1"/>
      </rPr>
      <t xml:space="preserve">Bìa cứng in máy 12 màu Canon iPF </t>
    </r>
    <r>
      <rPr>
        <sz val="10"/>
        <color indexed="8"/>
        <rFont val="Times New Roman"/>
        <family val="1"/>
      </rPr>
      <t>Hard cover, printed by Canon iPF 12 colours printer</t>
    </r>
  </si>
  <si>
    <r>
      <rPr>
        <b/>
        <sz val="10"/>
        <color indexed="8"/>
        <rFont val="Times New Roman"/>
        <family val="1"/>
      </rPr>
      <t xml:space="preserve">Bìa cứng giả da/ họa tiết mỹ thuật </t>
    </r>
    <r>
      <rPr>
        <sz val="10"/>
        <color indexed="8"/>
        <rFont val="Times New Roman"/>
        <family val="1"/>
      </rPr>
      <t>Netherland's Faux leather / Texture hardcover</t>
    </r>
  </si>
  <si>
    <t>TRANG ĐÔI THÊM
Additional pages</t>
  </si>
  <si>
    <t>Khổ 25 x 35 / 30 x 35 cm</t>
  </si>
  <si>
    <r>
      <rPr>
        <b/>
        <sz val="11"/>
        <color indexed="8"/>
        <rFont val="Times New Roman"/>
        <family val="1"/>
      </rPr>
      <t xml:space="preserve">Túi áo cao cấp chống thấm, in KTS </t>
    </r>
    <r>
      <rPr>
        <sz val="11"/>
        <color indexed="8"/>
        <rFont val="Times New Roman"/>
        <family val="1"/>
      </rPr>
      <t xml:space="preserve">
Dust cover (full &amp; partial)</t>
    </r>
  </si>
  <si>
    <r>
      <rPr>
        <b/>
        <sz val="11"/>
        <color indexed="8"/>
        <rFont val="Times New Roman"/>
        <family val="1"/>
      </rPr>
      <t>Hộp gỗ MDF thiết kế cá nhân</t>
    </r>
    <r>
      <rPr>
        <sz val="11"/>
        <color indexed="8"/>
        <rFont val="Times New Roman"/>
        <family val="1"/>
      </rPr>
      <t xml:space="preserve">
MDF boxes with personal photos</t>
    </r>
  </si>
  <si>
    <t>Điện thoại: 08 399 77 224 - 399 77 225</t>
  </si>
  <si>
    <t>www.inantuyetvoi.vn</t>
  </si>
  <si>
    <t>GIÁ SỈ IN SIÊU SẮC NÉT DREAM LABO | HIGH DEFINITION PRINTS</t>
  </si>
  <si>
    <t>STT</t>
  </si>
  <si>
    <t>Kích thước | Size</t>
  </si>
  <si>
    <t>Lustre 
(1 mặt | single)</t>
  </si>
  <si>
    <t>Gloss
(1 mặt | single)</t>
  </si>
  <si>
    <t>Satin 
(2 mặt | double)</t>
  </si>
  <si>
    <t>Lustre 
(2 mặt | double)</t>
  </si>
  <si>
    <t>Gloss
(2 mặt | double)</t>
  </si>
  <si>
    <t>Kích thước album mở phẳng hoặc photobook</t>
  </si>
  <si>
    <t>Ghi chú</t>
  </si>
  <si>
    <t>Ngang 
Wide</t>
  </si>
  <si>
    <t>Dọc
High</t>
  </si>
  <si>
    <t>15</t>
  </si>
  <si>
    <t>Hình lẻ</t>
  </si>
  <si>
    <t>Đóng PUR</t>
  </si>
  <si>
    <t>20</t>
  </si>
  <si>
    <t>20 x 20</t>
  </si>
  <si>
    <t>Trang đơn - đóng PUR</t>
  </si>
  <si>
    <t>25</t>
  </si>
  <si>
    <t>20 x 25</t>
  </si>
  <si>
    <t>30</t>
  </si>
  <si>
    <t>20 x 15</t>
  </si>
  <si>
    <t>Trang đôi</t>
  </si>
  <si>
    <t>40</t>
  </si>
  <si>
    <t>50</t>
  </si>
  <si>
    <t>60</t>
  </si>
  <si>
    <t>20 x 30</t>
  </si>
  <si>
    <t>25 x 25</t>
  </si>
  <si>
    <t>25 x 15</t>
  </si>
  <si>
    <t>25 x 20</t>
  </si>
  <si>
    <t>25 x 30</t>
  </si>
  <si>
    <t>30 x 30</t>
  </si>
  <si>
    <t>35</t>
  </si>
  <si>
    <t>30 x 35</t>
  </si>
  <si>
    <t>30 x 20</t>
  </si>
  <si>
    <t>45</t>
  </si>
  <si>
    <t>30 x 45</t>
  </si>
  <si>
    <t>30 x 25</t>
  </si>
  <si>
    <r>
      <t>Theo m</t>
    </r>
    <r>
      <rPr>
        <sz val="8"/>
        <rFont val="Times New Roman"/>
        <family val="1"/>
      </rPr>
      <t>2 | per m2</t>
    </r>
  </si>
  <si>
    <r>
      <t xml:space="preserve">ALBUM MỞ PHẲNG
</t>
    </r>
    <r>
      <rPr>
        <sz val="10"/>
        <rFont val="Times New Roman"/>
        <family val="1"/>
      </rPr>
      <t>Album Lay Flat</t>
    </r>
  </si>
  <si>
    <r>
      <rPr>
        <b/>
        <sz val="10"/>
        <rFont val="Times New Roman"/>
        <family val="1"/>
      </rPr>
      <t xml:space="preserve">Bìa cứng in 12 màu PP 
</t>
    </r>
    <r>
      <rPr>
        <sz val="10"/>
        <rFont val="Times New Roman"/>
        <family val="1"/>
      </rPr>
      <t>Hard cover, cover printed on Inkjet PP materials</t>
    </r>
  </si>
  <si>
    <r>
      <rPr>
        <b/>
        <sz val="10"/>
        <rFont val="Times New Roman"/>
        <family val="1"/>
      </rPr>
      <t>Bìa cứng vải</t>
    </r>
    <r>
      <rPr>
        <sz val="10"/>
        <rFont val="Times New Roman"/>
        <family val="1"/>
      </rPr>
      <t xml:space="preserve">
Linen Hard cover</t>
    </r>
  </si>
  <si>
    <r>
      <rPr>
        <b/>
        <sz val="10"/>
        <rFont val="Times New Roman"/>
        <family val="1"/>
      </rPr>
      <t>Bìa cứng giả da/ họa tiết mỹ thuật</t>
    </r>
    <r>
      <rPr>
        <sz val="10"/>
        <rFont val="Times New Roman"/>
        <family val="1"/>
      </rPr>
      <t xml:space="preserve">
Netherland's Faux leather / Texture hardcover</t>
    </r>
  </si>
  <si>
    <r>
      <rPr>
        <b/>
        <sz val="10"/>
        <rFont val="Times New Roman"/>
        <family val="1"/>
      </rPr>
      <t xml:space="preserve">Túi áo cao cấp chống thấm, in KTS </t>
    </r>
    <r>
      <rPr>
        <sz val="10"/>
        <rFont val="Times New Roman"/>
        <family val="1"/>
      </rPr>
      <t xml:space="preserve">
Dust cover (full &amp; partial)</t>
    </r>
  </si>
  <si>
    <r>
      <rPr>
        <b/>
        <sz val="10"/>
        <rFont val="Times New Roman"/>
        <family val="1"/>
      </rPr>
      <t>Hộp gỗ MDF thiết kế cá nhân</t>
    </r>
    <r>
      <rPr>
        <sz val="10"/>
        <rFont val="Times New Roman"/>
        <family val="1"/>
      </rPr>
      <t xml:space="preserve">
MDF boxes with personal photos</t>
    </r>
  </si>
  <si>
    <t>GIÁ CHUẨN TRÊN GIẤY NEVIA ART TỪ 150 - 180 GSM, số trang =</t>
  </si>
  <si>
    <t>15 x 20 cm</t>
  </si>
  <si>
    <t>30 x 20 cm</t>
  </si>
  <si>
    <t xml:space="preserve">30 x 35 cm </t>
  </si>
  <si>
    <t>30 x 40</t>
  </si>
  <si>
    <t>PHOTOBOOK ĐÓNG KEO PUR - IN KỸ THUẬT SỐ -  MÁY IN 4 MÀU KONICA MONILTA 70HC</t>
  </si>
  <si>
    <r>
      <rPr>
        <b/>
        <sz val="13"/>
        <rFont val="Times New Roman"/>
        <family val="1"/>
      </rPr>
      <t>Bìa mềm</t>
    </r>
    <r>
      <rPr>
        <sz val="13"/>
        <rFont val="Times New Roman"/>
        <family val="1"/>
      </rPr>
      <t xml:space="preserve">
Soft cover Printed</t>
    </r>
  </si>
  <si>
    <r>
      <rPr>
        <b/>
        <sz val="13"/>
        <rFont val="Times New Roman"/>
        <family val="1"/>
      </rPr>
      <t xml:space="preserve">Bìa cứng in Canon IPF 12 màu (PP) 
</t>
    </r>
    <r>
      <rPr>
        <sz val="13"/>
        <rFont val="Times New Roman"/>
        <family val="1"/>
      </rPr>
      <t>Hard cover printed by Canon iPF</t>
    </r>
  </si>
  <si>
    <r>
      <rPr>
        <b/>
        <sz val="13"/>
        <rFont val="Times New Roman"/>
        <family val="1"/>
      </rPr>
      <t>Bìa cứng vải nhập từ Mỹ</t>
    </r>
    <r>
      <rPr>
        <sz val="13"/>
        <rFont val="Times New Roman"/>
        <family val="1"/>
      </rPr>
      <t xml:space="preserve">
Linen Hard cover</t>
    </r>
  </si>
  <si>
    <r>
      <rPr>
        <b/>
        <sz val="13"/>
        <rFont val="Times New Roman"/>
        <family val="1"/>
      </rPr>
      <t xml:space="preserve">Bìa cứng giả da / họa tiết mỹ thuật Châu Âu </t>
    </r>
    <r>
      <rPr>
        <sz val="13"/>
        <rFont val="Times New Roman"/>
        <family val="1"/>
      </rPr>
      <t>Faux leather / Texture hard cover</t>
    </r>
  </si>
  <si>
    <r>
      <rPr>
        <b/>
        <sz val="13"/>
        <rFont val="Times New Roman"/>
        <family val="1"/>
      </rPr>
      <t xml:space="preserve">Túi áo cao cấp chống thấm, in KTS </t>
    </r>
    <r>
      <rPr>
        <sz val="13"/>
        <rFont val="Times New Roman"/>
        <family val="1"/>
      </rPr>
      <t>Dust cover (full &amp; partial)</t>
    </r>
  </si>
  <si>
    <r>
      <rPr>
        <b/>
        <sz val="13"/>
        <rFont val="Times New Roman"/>
        <family val="1"/>
      </rPr>
      <t>Hộp gỗ MDF thiết kế hình cá nhân</t>
    </r>
    <r>
      <rPr>
        <sz val="13"/>
        <rFont val="Times New Roman"/>
        <family val="1"/>
      </rPr>
      <t xml:space="preserve">
Personalised MDF boxes</t>
    </r>
  </si>
  <si>
    <t>45 x 30 cm</t>
  </si>
  <si>
    <r>
      <rPr>
        <b/>
        <sz val="11"/>
        <rFont val="Times New Roman"/>
        <family val="1"/>
      </rPr>
      <t xml:space="preserve">Bìa mềm 
</t>
    </r>
    <r>
      <rPr>
        <sz val="11"/>
        <rFont val="Times New Roman"/>
        <family val="1"/>
      </rPr>
      <t>Soft cover</t>
    </r>
  </si>
  <si>
    <r>
      <rPr>
        <b/>
        <sz val="11"/>
        <rFont val="Times New Roman"/>
        <family val="1"/>
      </rPr>
      <t xml:space="preserve">Bìa cứng in 12 màu
</t>
    </r>
    <r>
      <rPr>
        <sz val="11"/>
        <rFont val="Times New Roman"/>
        <family val="1"/>
      </rPr>
      <t>Hard cover printed by iPF inkjet</t>
    </r>
  </si>
  <si>
    <r>
      <rPr>
        <b/>
        <sz val="11"/>
        <rFont val="Times New Roman"/>
        <family val="1"/>
      </rPr>
      <t xml:space="preserve">Bìa cứng vải 
</t>
    </r>
    <r>
      <rPr>
        <sz val="11"/>
        <rFont val="Times New Roman"/>
        <family val="1"/>
      </rPr>
      <t>Linen Hardcover</t>
    </r>
  </si>
  <si>
    <r>
      <rPr>
        <b/>
        <sz val="11"/>
        <rFont val="Times New Roman"/>
        <family val="1"/>
      </rPr>
      <t xml:space="preserve">Túi áo in KTS 
</t>
    </r>
    <r>
      <rPr>
        <sz val="11"/>
        <rFont val="Times New Roman"/>
        <family val="1"/>
      </rPr>
      <t>Dust cover</t>
    </r>
  </si>
  <si>
    <t xml:space="preserve">Khổ 15 x 20 cm </t>
  </si>
  <si>
    <t>Khổ 20 x 20 cm</t>
  </si>
  <si>
    <t>SỐ TỜ</t>
  </si>
  <si>
    <t>-</t>
  </si>
  <si>
    <t xml:space="preserve">Khổ 20 x 30 cm </t>
  </si>
  <si>
    <t>Khổ 25 x 35 / 
35 x 30 / 
40 x 30 /
 45 x 30 cm</t>
  </si>
  <si>
    <t>Khổ 25x35/ 30x35 cm</t>
  </si>
  <si>
    <t>Khổ 30 x 20 cm</t>
  </si>
  <si>
    <r>
      <t xml:space="preserve">Bìa mềm in pp 12 màu
</t>
    </r>
    <r>
      <rPr>
        <sz val="10"/>
        <rFont val="Times New Roman"/>
        <family val="1"/>
      </rPr>
      <t>Hard cover printed</t>
    </r>
  </si>
  <si>
    <t>BẢNG GIÁ SỈ ALBUM MỞ PHẲNG TRUYỀN THỐNG | LAYFLAT ALBUMS
IN SIÊU SẮC NÉT (LUSTRE 270 GSM) MÁY DREAM LABO | HIGH DEFINITION PRINTS</t>
  </si>
  <si>
    <t xml:space="preserve"> </t>
  </si>
  <si>
    <t>GIẤY LUSTER 250GSM</t>
  </si>
  <si>
    <t>SỐ TRANG MẶC ĐỊNH | DEFAULT PAGES</t>
  </si>
  <si>
    <r>
      <rPr>
        <b/>
        <sz val="12"/>
        <rFont val="Times New Roman"/>
        <family val="1"/>
      </rPr>
      <t xml:space="preserve">Bìa cứng vải Mỹ / </t>
    </r>
    <r>
      <rPr>
        <sz val="12"/>
        <rFont val="Times New Roman"/>
        <family val="1"/>
      </rPr>
      <t>Linen Hardcover</t>
    </r>
  </si>
  <si>
    <r>
      <rPr>
        <b/>
        <sz val="12"/>
        <rFont val="Times New Roman"/>
        <family val="1"/>
      </rPr>
      <t xml:space="preserve">Tăng thêm 2 mặt (1 tờ đôi) / </t>
    </r>
    <r>
      <rPr>
        <sz val="12"/>
        <rFont val="Times New Roman"/>
        <family val="1"/>
      </rPr>
      <t>Additional sheet (2 sides)</t>
    </r>
  </si>
  <si>
    <r>
      <rPr>
        <b/>
        <sz val="12"/>
        <rFont val="Times New Roman"/>
        <family val="1"/>
      </rPr>
      <t xml:space="preserve">Túi áo in KTS / </t>
    </r>
    <r>
      <rPr>
        <sz val="12"/>
        <rFont val="Times New Roman"/>
        <family val="1"/>
      </rPr>
      <t>Dust cover</t>
    </r>
  </si>
  <si>
    <r>
      <rPr>
        <b/>
        <sz val="12"/>
        <rFont val="Times New Roman"/>
        <family val="1"/>
      </rPr>
      <t xml:space="preserve">Hộp MDF thiết kế hình / </t>
    </r>
    <r>
      <rPr>
        <sz val="12"/>
        <rFont val="Times New Roman"/>
        <family val="1"/>
      </rPr>
      <t>Personalised MDF boxes</t>
    </r>
  </si>
  <si>
    <t>BẢNG GIÁ SỈ ALBUM MỞ PHẲNG TRUYỀN THỐNG
IN SIÊU SẮC NÉT (LUSTRE 270 GSM) MÁY DREAM LABO</t>
  </si>
  <si>
    <t>Đơn vị tính: VND</t>
  </si>
  <si>
    <t>ALBUM MỞ PHẲNG</t>
  </si>
  <si>
    <t>Bìa cứng vải Mỹ</t>
  </si>
  <si>
    <t>Tăng trang đôi</t>
  </si>
  <si>
    <r>
      <t xml:space="preserve">BẢNG GIÁ CANVAS TRÊN MÁY CANON 12 MÀU
</t>
    </r>
    <r>
      <rPr>
        <b/>
        <sz val="14"/>
        <color indexed="8"/>
        <rFont val="Times New Roman"/>
        <family val="1"/>
      </rPr>
      <t>CANVAS PRINTS ON CANON IPF PRINTER (12 COLOURS)</t>
    </r>
  </si>
  <si>
    <t xml:space="preserve">STT | No. </t>
  </si>
  <si>
    <t>KÍCH THƯỚC | SIZE (CM )</t>
  </si>
  <si>
    <t>MÔ TẢ | DESCRIPTION</t>
  </si>
  <si>
    <t>PREMIUM QUALITY</t>
  </si>
  <si>
    <t>TRANH CÓ KHUNG | PRINTS WITH FRAMES</t>
  </si>
  <si>
    <t>Khung gỗ thông | Pine frame</t>
  </si>
  <si>
    <t>50 x 50</t>
  </si>
  <si>
    <t>75 x 75</t>
  </si>
  <si>
    <t>60 x 40</t>
  </si>
  <si>
    <t>75 x 50</t>
  </si>
  <si>
    <t>KHÔNG KHUNG| POSTER ONLY</t>
  </si>
  <si>
    <t>Không khung | No frame</t>
  </si>
  <si>
    <t>CÁC DỊCH VỤ KHÁC | OTHER SERVICES</t>
  </si>
  <si>
    <t>In kích thước khác theo m2</t>
  </si>
  <si>
    <t>Khung gỗ thông theo met tới</t>
  </si>
  <si>
    <t>Công đóng tính theo met tới</t>
  </si>
  <si>
    <t>215/11 Huỳnh Văn Bánh, P.12, Q. Phú Nhuận | Điện thoại: 08 399 77215</t>
  </si>
  <si>
    <t>Đơn vị tính : VND | Bìa mềm có kích thước nhỏ hơn khoảng 5mm xén từ 3 chiều</t>
  </si>
  <si>
    <t>SẢN PHẨM</t>
  </si>
  <si>
    <t>20 X 30 cm</t>
  </si>
  <si>
    <t>25 x 35 cm
35 x 25 cm
30 x 35 cm
35 x 30 cm</t>
  </si>
  <si>
    <t>SỐ TRANG MẶC ĐỊNH</t>
  </si>
  <si>
    <t>GIẤY BÓNG  - GLOSS - ĐỊNH LƯỢNG 250 GSM</t>
  </si>
  <si>
    <t>Bìa mềm tạp chí</t>
  </si>
  <si>
    <t>Bìa cứng in pp 12 màu</t>
  </si>
  <si>
    <t>Tăng thêm 2 mặt (1 tờ đôi)</t>
  </si>
  <si>
    <t>GIẤY MỜ DÀY - LUSTER - ĐỊNH LƯỢNG 250 GSM</t>
  </si>
  <si>
    <t>GIẤY MỜ MỎNG - SATIN - ĐỊNH LƯỢNG 170 GSM - PHÙ HỢP HÌNH TIỆC</t>
  </si>
  <si>
    <t>Bảng giá dành riêng cho  Ngọc Huy Studio</t>
  </si>
  <si>
    <t>Hàng mẫu hỗ trợ 30% giá</t>
  </si>
  <si>
    <t>QUỐC THẮNG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</si>
</sst>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_ * #,##0_ ;_ * \-#,##0_ ;_ * &quot;-&quot;??_ ;_ @_ "/>
    <numFmt numFmtId="166" formatCode="#,##0_ ;\-#,##0\ "/>
    <numFmt numFmtId="167" formatCode="_-* #,##0.00_-;\-* #,##0.00_-;_-* &quot;-&quot;??_-;_-@_-"/>
    <numFmt numFmtId="168" formatCode="_(* #,##0.0_);_(* \(#,##0.0\);_(* &quot;-&quot;?_);_(@_)"/>
    <numFmt numFmtId="169" formatCode="_-* #,##0_-;\-* #,##0_-;_-* &quot;-&quot;??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b/>
      <sz val="2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color theme="1" tint="4.9989318521683403E-2"/>
      <name val="Times New Roman"/>
      <family val="1"/>
    </font>
    <font>
      <i/>
      <sz val="10"/>
      <name val="Times New Roman"/>
      <family val="1"/>
    </font>
    <font>
      <b/>
      <i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b/>
      <i/>
      <sz val="12"/>
      <name val="Times New Roman"/>
      <family val="1"/>
    </font>
    <font>
      <b/>
      <sz val="10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sz val="8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7"/>
      <name val="Times New Roman"/>
      <family val="1"/>
    </font>
    <font>
      <b/>
      <sz val="13"/>
      <color rgb="FFFF0000"/>
      <name val="Times New Roman"/>
      <family val="1"/>
    </font>
    <font>
      <b/>
      <sz val="14"/>
      <color theme="1" tint="4.9989318521683403E-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rgb="FFFF0000"/>
      <name val="Times New Roman"/>
      <family val="1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34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8" fillId="0" borderId="0"/>
    <xf numFmtId="43" fontId="2" fillId="0" borderId="0" applyFont="0" applyFill="0" applyBorder="0" applyAlignment="0" applyProtection="0"/>
    <xf numFmtId="0" fontId="8" fillId="0" borderId="0">
      <alignment vertical="center"/>
    </xf>
    <xf numFmtId="43" fontId="46" fillId="0" borderId="0" applyFont="0" applyFill="0" applyBorder="0" applyAlignment="0" applyProtection="0">
      <alignment vertical="center"/>
    </xf>
  </cellStyleXfs>
  <cellXfs count="315">
    <xf numFmtId="0" fontId="0" fillId="0" borderId="0" xfId="0"/>
    <xf numFmtId="0" fontId="3" fillId="0" borderId="0" xfId="3" applyFont="1" applyAlignment="1"/>
    <xf numFmtId="0" fontId="4" fillId="0" borderId="0" xfId="3" applyFont="1" applyAlignment="1">
      <alignment horizontal="left"/>
    </xf>
    <xf numFmtId="0" fontId="5" fillId="0" borderId="0" xfId="3" applyFont="1" applyAlignment="1">
      <alignment horizontal="left" vertical="center"/>
    </xf>
    <xf numFmtId="0" fontId="3" fillId="0" borderId="0" xfId="3" applyFont="1" applyAlignment="1">
      <alignment horizontal="left"/>
    </xf>
    <xf numFmtId="0" fontId="6" fillId="0" borderId="0" xfId="3" applyFont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2" fillId="0" borderId="0" xfId="3" applyFont="1" applyFill="1">
      <alignment vertical="center"/>
    </xf>
    <xf numFmtId="0" fontId="2" fillId="0" borderId="0" xfId="3" applyFont="1">
      <alignment vertical="center"/>
    </xf>
    <xf numFmtId="0" fontId="2" fillId="0" borderId="0" xfId="3" applyFont="1" applyFill="1" applyBorder="1">
      <alignment vertical="center"/>
    </xf>
    <xf numFmtId="0" fontId="2" fillId="0" borderId="0" xfId="3" applyFont="1" applyBorder="1">
      <alignment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4" applyFont="1" applyFill="1" applyBorder="1" applyAlignment="1">
      <alignment vertical="center" wrapText="1"/>
    </xf>
    <xf numFmtId="0" fontId="11" fillId="3" borderId="1" xfId="4" applyFont="1" applyFill="1" applyBorder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3" fillId="4" borderId="1" xfId="4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vertical="center" wrapText="1"/>
    </xf>
    <xf numFmtId="165" fontId="3" fillId="5" borderId="1" xfId="1" applyNumberFormat="1" applyFont="1" applyFill="1" applyBorder="1" applyAlignment="1">
      <alignment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3" fillId="0" borderId="0" xfId="3" applyFont="1">
      <alignment vertical="center"/>
    </xf>
    <xf numFmtId="0" fontId="3" fillId="0" borderId="1" xfId="4" applyFont="1" applyBorder="1" applyAlignment="1">
      <alignment horizontal="center" vertical="center"/>
    </xf>
    <xf numFmtId="0" fontId="3" fillId="4" borderId="1" xfId="4" applyFont="1" applyFill="1" applyBorder="1" applyAlignment="1">
      <alignment horizontal="left" vertical="center" wrapText="1"/>
    </xf>
    <xf numFmtId="165" fontId="3" fillId="4" borderId="1" xfId="1" applyNumberFormat="1" applyFont="1" applyFill="1" applyBorder="1" applyAlignment="1">
      <alignment horizontal="right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0" fontId="3" fillId="0" borderId="0" xfId="4" applyFont="1" applyBorder="1" applyAlignment="1">
      <alignment vertical="center"/>
    </xf>
    <xf numFmtId="0" fontId="4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>
      <alignment vertical="center"/>
    </xf>
    <xf numFmtId="0" fontId="7" fillId="4" borderId="1" xfId="4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12" fillId="4" borderId="0" xfId="4" applyFont="1" applyFill="1" applyBorder="1" applyAlignment="1">
      <alignment vertical="center" wrapText="1"/>
    </xf>
    <xf numFmtId="0" fontId="3" fillId="0" borderId="0" xfId="3" applyFont="1" applyFill="1" applyAlignment="1">
      <alignment horizontal="right" vertical="center"/>
    </xf>
    <xf numFmtId="0" fontId="14" fillId="0" borderId="0" xfId="3" applyFont="1" applyFill="1" applyAlignment="1">
      <alignment horizontal="left" vertical="center"/>
    </xf>
    <xf numFmtId="0" fontId="12" fillId="4" borderId="0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3" fillId="2" borderId="0" xfId="4" applyFont="1" applyFill="1" applyAlignment="1">
      <alignment vertical="center"/>
    </xf>
    <xf numFmtId="0" fontId="15" fillId="4" borderId="0" xfId="4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4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left" vertical="center"/>
    </xf>
    <xf numFmtId="0" fontId="9" fillId="3" borderId="1" xfId="4" applyFont="1" applyFill="1" applyBorder="1" applyAlignment="1">
      <alignment horizontal="center" vertical="center"/>
    </xf>
    <xf numFmtId="1" fontId="9" fillId="3" borderId="1" xfId="5" applyNumberFormat="1" applyFont="1" applyFill="1" applyBorder="1" applyAlignment="1">
      <alignment horizontal="center" vertical="center" wrapText="1"/>
    </xf>
    <xf numFmtId="0" fontId="3" fillId="0" borderId="0" xfId="3" applyFont="1" applyBorder="1">
      <alignment vertical="center"/>
    </xf>
    <xf numFmtId="0" fontId="3" fillId="0" borderId="0" xfId="4" applyFont="1" applyFill="1" applyAlignment="1">
      <alignment vertical="center"/>
    </xf>
    <xf numFmtId="0" fontId="18" fillId="0" borderId="0" xfId="3" applyFont="1">
      <alignment vertical="center"/>
    </xf>
    <xf numFmtId="0" fontId="19" fillId="0" borderId="0" xfId="3" applyFont="1" applyAlignment="1">
      <alignment vertical="center"/>
    </xf>
    <xf numFmtId="0" fontId="16" fillId="0" borderId="0" xfId="3" applyFont="1" applyAlignment="1">
      <alignment horizontal="left"/>
    </xf>
    <xf numFmtId="164" fontId="17" fillId="0" borderId="0" xfId="1" applyNumberFormat="1" applyFont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17" fillId="0" borderId="0" xfId="3" applyFont="1" applyAlignment="1"/>
    <xf numFmtId="0" fontId="17" fillId="0" borderId="0" xfId="3" applyFont="1" applyAlignment="1">
      <alignment horizontal="left" vertical="center"/>
    </xf>
    <xf numFmtId="0" fontId="17" fillId="0" borderId="0" xfId="3" applyFont="1" applyAlignment="1">
      <alignment horizontal="left"/>
    </xf>
    <xf numFmtId="0" fontId="19" fillId="0" borderId="0" xfId="3" applyFont="1" applyFill="1" applyAlignment="1">
      <alignment horizontal="center" vertical="center"/>
    </xf>
    <xf numFmtId="0" fontId="18" fillId="0" borderId="0" xfId="3" applyFont="1" applyFill="1">
      <alignment vertical="center"/>
    </xf>
    <xf numFmtId="0" fontId="13" fillId="2" borderId="1" xfId="4" applyFont="1" applyFill="1" applyBorder="1" applyAlignment="1">
      <alignment horizontal="center" vertical="center" wrapText="1"/>
    </xf>
    <xf numFmtId="0" fontId="13" fillId="2" borderId="1" xfId="4" applyFont="1" applyFill="1" applyBorder="1" applyAlignment="1">
      <alignment horizontal="left" vertical="center" wrapText="1"/>
    </xf>
    <xf numFmtId="164" fontId="9" fillId="2" borderId="1" xfId="5" applyNumberFormat="1" applyFont="1" applyFill="1" applyBorder="1" applyAlignment="1">
      <alignment horizontal="center" vertical="center" wrapText="1"/>
    </xf>
    <xf numFmtId="0" fontId="22" fillId="2" borderId="0" xfId="4" applyFont="1" applyFill="1" applyAlignment="1">
      <alignment vertical="center"/>
    </xf>
    <xf numFmtId="164" fontId="13" fillId="2" borderId="1" xfId="5" applyNumberFormat="1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center" vertical="center" wrapText="1"/>
    </xf>
    <xf numFmtId="165" fontId="18" fillId="4" borderId="1" xfId="1" applyNumberFormat="1" applyFont="1" applyFill="1" applyBorder="1" applyAlignment="1">
      <alignment vertical="center" wrapText="1"/>
    </xf>
    <xf numFmtId="165" fontId="18" fillId="4" borderId="1" xfId="1" applyNumberFormat="1" applyFont="1" applyFill="1" applyBorder="1" applyAlignment="1">
      <alignment horizontal="center" vertical="center" wrapText="1"/>
    </xf>
    <xf numFmtId="0" fontId="23" fillId="0" borderId="0" xfId="4" applyFont="1" applyAlignment="1">
      <alignment vertical="center"/>
    </xf>
    <xf numFmtId="0" fontId="24" fillId="3" borderId="1" xfId="4" applyFont="1" applyFill="1" applyBorder="1" applyAlignment="1">
      <alignment horizontal="center" vertical="center"/>
    </xf>
    <xf numFmtId="0" fontId="24" fillId="3" borderId="1" xfId="4" applyFont="1" applyFill="1" applyBorder="1" applyAlignment="1">
      <alignment horizontal="center" vertical="center" wrapText="1"/>
    </xf>
    <xf numFmtId="0" fontId="23" fillId="0" borderId="0" xfId="3" applyFont="1">
      <alignment vertical="center"/>
    </xf>
    <xf numFmtId="3" fontId="18" fillId="0" borderId="1" xfId="1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 vertical="center"/>
    </xf>
    <xf numFmtId="0" fontId="23" fillId="4" borderId="0" xfId="4" applyFont="1" applyFill="1" applyBorder="1" applyAlignment="1">
      <alignment horizontal="left" vertical="center" wrapText="1"/>
    </xf>
    <xf numFmtId="0" fontId="23" fillId="4" borderId="0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center" vertical="center" wrapText="1"/>
    </xf>
    <xf numFmtId="0" fontId="23" fillId="4" borderId="0" xfId="4" applyFont="1" applyFill="1" applyBorder="1" applyAlignment="1">
      <alignment horizontal="center" vertical="center" wrapText="1"/>
    </xf>
    <xf numFmtId="0" fontId="23" fillId="4" borderId="1" xfId="4" applyFont="1" applyFill="1" applyBorder="1" applyAlignment="1">
      <alignment horizontal="left" vertical="center" wrapText="1"/>
    </xf>
    <xf numFmtId="0" fontId="18" fillId="0" borderId="3" xfId="3" applyFont="1" applyBorder="1">
      <alignment vertical="center"/>
    </xf>
    <xf numFmtId="0" fontId="24" fillId="0" borderId="5" xfId="4" applyFont="1" applyFill="1" applyBorder="1" applyAlignment="1">
      <alignment horizontal="center" vertical="center" wrapText="1"/>
    </xf>
    <xf numFmtId="3" fontId="25" fillId="4" borderId="1" xfId="1" applyNumberFormat="1" applyFont="1" applyFill="1" applyBorder="1" applyAlignment="1">
      <alignment horizontal="center" vertical="center" wrapText="1"/>
    </xf>
    <xf numFmtId="0" fontId="24" fillId="0" borderId="0" xfId="3" applyFont="1">
      <alignment vertical="center"/>
    </xf>
    <xf numFmtId="0" fontId="24" fillId="0" borderId="6" xfId="4" applyFont="1" applyFill="1" applyBorder="1" applyAlignment="1">
      <alignment horizontal="center" vertical="center" wrapText="1"/>
    </xf>
    <xf numFmtId="0" fontId="24" fillId="0" borderId="6" xfId="6" applyFont="1" applyFill="1" applyBorder="1" applyAlignment="1">
      <alignment horizontal="left" vertical="center" wrapText="1"/>
    </xf>
    <xf numFmtId="3" fontId="25" fillId="4" borderId="6" xfId="1" applyNumberFormat="1" applyFont="1" applyFill="1" applyBorder="1" applyAlignment="1">
      <alignment horizontal="center" vertical="center" wrapText="1"/>
    </xf>
    <xf numFmtId="3" fontId="25" fillId="4" borderId="0" xfId="1" applyNumberFormat="1" applyFont="1" applyFill="1" applyBorder="1" applyAlignment="1">
      <alignment horizontal="center" vertical="center" wrapText="1"/>
    </xf>
    <xf numFmtId="0" fontId="24" fillId="0" borderId="0" xfId="3" applyFont="1" applyBorder="1">
      <alignment vertical="center"/>
    </xf>
    <xf numFmtId="0" fontId="23" fillId="0" borderId="1" xfId="4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right"/>
    </xf>
    <xf numFmtId="3" fontId="3" fillId="0" borderId="0" xfId="3" applyNumberFormat="1" applyFont="1" applyAlignment="1"/>
    <xf numFmtId="0" fontId="3" fillId="0" borderId="0" xfId="3" applyFont="1" applyAlignment="1">
      <alignment wrapText="1"/>
    </xf>
    <xf numFmtId="3" fontId="2" fillId="0" borderId="0" xfId="3" applyNumberFormat="1" applyFont="1" applyFill="1">
      <alignment vertical="center"/>
    </xf>
    <xf numFmtId="0" fontId="6" fillId="0" borderId="0" xfId="3" applyFont="1" applyFill="1" applyAlignment="1">
      <alignment vertical="center"/>
    </xf>
    <xf numFmtId="0" fontId="30" fillId="0" borderId="0" xfId="3" applyFont="1" applyFill="1" applyAlignment="1">
      <alignment horizontal="left" vertical="center"/>
    </xf>
    <xf numFmtId="0" fontId="31" fillId="6" borderId="1" xfId="3" applyFont="1" applyFill="1" applyBorder="1" applyAlignment="1">
      <alignment horizontal="center" vertical="center" wrapText="1"/>
    </xf>
    <xf numFmtId="49" fontId="34" fillId="0" borderId="1" xfId="1" applyNumberFormat="1" applyFont="1" applyFill="1" applyBorder="1" applyAlignment="1">
      <alignment horizontal="center" vertical="center"/>
    </xf>
    <xf numFmtId="49" fontId="34" fillId="4" borderId="1" xfId="1" applyNumberFormat="1" applyFont="1" applyFill="1" applyBorder="1" applyAlignment="1">
      <alignment horizontal="center" vertical="center" wrapText="1"/>
    </xf>
    <xf numFmtId="49" fontId="34" fillId="4" borderId="1" xfId="3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/>
    </xf>
    <xf numFmtId="49" fontId="3" fillId="4" borderId="15" xfId="3" applyNumberFormat="1" applyFont="1" applyFill="1" applyBorder="1" applyAlignment="1">
      <alignment horizontal="center" vertical="center" wrapText="1"/>
    </xf>
    <xf numFmtId="49" fontId="3" fillId="0" borderId="9" xfId="1" applyNumberFormat="1" applyFont="1" applyFill="1" applyBorder="1" applyAlignment="1">
      <alignment horizontal="center" vertical="center"/>
    </xf>
    <xf numFmtId="0" fontId="3" fillId="0" borderId="0" xfId="3" applyFont="1" applyFill="1">
      <alignment vertical="center"/>
    </xf>
    <xf numFmtId="165" fontId="4" fillId="0" borderId="1" xfId="1" applyNumberFormat="1" applyFont="1" applyBorder="1" applyAlignment="1">
      <alignment horizontal="center" vertical="center"/>
    </xf>
    <xf numFmtId="49" fontId="3" fillId="4" borderId="4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7" fontId="3" fillId="0" borderId="1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vertical="center"/>
    </xf>
    <xf numFmtId="167" fontId="3" fillId="0" borderId="4" xfId="1" applyNumberFormat="1" applyFont="1" applyFill="1" applyBorder="1" applyAlignment="1">
      <alignment vertical="center"/>
    </xf>
    <xf numFmtId="164" fontId="4" fillId="2" borderId="1" xfId="5" applyNumberFormat="1" applyFont="1" applyFill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9" fillId="2" borderId="1" xfId="4" applyFont="1" applyFill="1" applyBorder="1" applyAlignment="1">
      <alignment horizontal="center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vertical="center" wrapText="1"/>
    </xf>
    <xf numFmtId="0" fontId="12" fillId="4" borderId="8" xfId="4" applyFont="1" applyFill="1" applyBorder="1" applyAlignment="1">
      <alignment horizontal="center" vertical="center" wrapText="1"/>
    </xf>
    <xf numFmtId="0" fontId="12" fillId="4" borderId="8" xfId="4" applyFont="1" applyFill="1" applyBorder="1" applyAlignment="1">
      <alignment vertical="center" wrapText="1"/>
    </xf>
    <xf numFmtId="165" fontId="12" fillId="4" borderId="8" xfId="1" applyNumberFormat="1" applyFont="1" applyFill="1" applyBorder="1" applyAlignment="1">
      <alignment horizontal="center" vertical="center" wrapText="1"/>
    </xf>
    <xf numFmtId="165" fontId="12" fillId="4" borderId="8" xfId="1" applyNumberFormat="1" applyFont="1" applyFill="1" applyBorder="1" applyAlignment="1">
      <alignment vertical="center" wrapText="1"/>
    </xf>
    <xf numFmtId="165" fontId="12" fillId="4" borderId="0" xfId="1" applyNumberFormat="1" applyFont="1" applyFill="1" applyBorder="1" applyAlignment="1">
      <alignment vertical="center" wrapText="1"/>
    </xf>
    <xf numFmtId="0" fontId="9" fillId="0" borderId="9" xfId="4" applyFont="1" applyFill="1" applyBorder="1" applyAlignment="1">
      <alignment horizontal="center" vertical="center" wrapText="1"/>
    </xf>
    <xf numFmtId="0" fontId="12" fillId="0" borderId="10" xfId="4" applyFont="1" applyBorder="1" applyAlignment="1">
      <alignment horizontal="center" vertical="center"/>
    </xf>
    <xf numFmtId="0" fontId="12" fillId="4" borderId="10" xfId="4" applyFont="1" applyFill="1" applyBorder="1" applyAlignment="1">
      <alignment horizontal="left" vertical="center" wrapText="1"/>
    </xf>
    <xf numFmtId="165" fontId="12" fillId="4" borderId="10" xfId="1" applyNumberFormat="1" applyFont="1" applyFill="1" applyBorder="1" applyAlignment="1">
      <alignment horizontal="center" vertical="center"/>
    </xf>
    <xf numFmtId="165" fontId="12" fillId="4" borderId="0" xfId="1" applyNumberFormat="1" applyFont="1" applyFill="1" applyBorder="1" applyAlignment="1">
      <alignment horizontal="center" vertical="center"/>
    </xf>
    <xf numFmtId="0" fontId="12" fillId="0" borderId="0" xfId="3" applyFont="1">
      <alignment vertical="center"/>
    </xf>
    <xf numFmtId="0" fontId="12" fillId="0" borderId="1" xfId="4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3" fontId="2" fillId="4" borderId="1" xfId="1" applyNumberFormat="1" applyFont="1" applyFill="1" applyBorder="1" applyAlignment="1">
      <alignment horizontal="center" vertical="center" wrapText="1"/>
    </xf>
    <xf numFmtId="0" fontId="12" fillId="4" borderId="0" xfId="4" applyFont="1" applyFill="1" applyBorder="1" applyAlignment="1">
      <alignment vertical="center"/>
    </xf>
    <xf numFmtId="0" fontId="4" fillId="3" borderId="1" xfId="4" applyFont="1" applyFill="1" applyBorder="1" applyAlignment="1">
      <alignment horizontal="center" vertical="center" wrapText="1"/>
    </xf>
    <xf numFmtId="0" fontId="37" fillId="2" borderId="1" xfId="4" applyFont="1" applyFill="1" applyBorder="1" applyAlignment="1">
      <alignment horizontal="center" vertical="center" wrapText="1"/>
    </xf>
    <xf numFmtId="164" fontId="37" fillId="2" borderId="1" xfId="5" applyNumberFormat="1" applyFont="1" applyFill="1" applyBorder="1" applyAlignment="1">
      <alignment horizontal="center" vertical="center" wrapText="1"/>
    </xf>
    <xf numFmtId="0" fontId="37" fillId="3" borderId="1" xfId="4" applyFont="1" applyFill="1" applyBorder="1" applyAlignment="1">
      <alignment horizontal="center" vertical="center"/>
    </xf>
    <xf numFmtId="1" fontId="37" fillId="3" borderId="1" xfId="5" applyNumberFormat="1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 wrapText="1"/>
    </xf>
    <xf numFmtId="0" fontId="5" fillId="5" borderId="1" xfId="4" applyFont="1" applyFill="1" applyBorder="1" applyAlignment="1">
      <alignment vertical="center" wrapText="1"/>
    </xf>
    <xf numFmtId="3" fontId="5" fillId="5" borderId="1" xfId="4" applyNumberFormat="1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vertical="center" wrapText="1"/>
    </xf>
    <xf numFmtId="0" fontId="37" fillId="0" borderId="1" xfId="4" applyFont="1" applyFill="1" applyBorder="1" applyAlignment="1">
      <alignment horizontal="center" vertical="center" wrapText="1"/>
    </xf>
    <xf numFmtId="0" fontId="37" fillId="0" borderId="1" xfId="6" applyFont="1" applyFill="1" applyBorder="1" applyAlignment="1">
      <alignment vertical="center"/>
    </xf>
    <xf numFmtId="0" fontId="37" fillId="3" borderId="1" xfId="4" applyFont="1" applyFill="1" applyBorder="1" applyAlignment="1">
      <alignment vertical="center"/>
    </xf>
    <xf numFmtId="0" fontId="37" fillId="0" borderId="1" xfId="4" applyFont="1" applyFill="1" applyBorder="1" applyAlignment="1">
      <alignment horizontal="center" vertical="center"/>
    </xf>
    <xf numFmtId="0" fontId="37" fillId="0" borderId="1" xfId="4" applyFont="1" applyFill="1" applyBorder="1" applyAlignment="1">
      <alignment vertical="center" wrapText="1"/>
    </xf>
    <xf numFmtId="3" fontId="38" fillId="5" borderId="1" xfId="4" applyNumberFormat="1" applyFont="1" applyFill="1" applyBorder="1" applyAlignment="1">
      <alignment horizontal="center" vertical="center" wrapText="1"/>
    </xf>
    <xf numFmtId="3" fontId="38" fillId="4" borderId="1" xfId="4" applyNumberFormat="1" applyFont="1" applyFill="1" applyBorder="1" applyAlignment="1">
      <alignment vertical="center" wrapText="1"/>
    </xf>
    <xf numFmtId="3" fontId="38" fillId="4" borderId="1" xfId="1" applyNumberFormat="1" applyFont="1" applyFill="1" applyBorder="1" applyAlignment="1">
      <alignment horizontal="center" vertical="center" wrapText="1"/>
    </xf>
    <xf numFmtId="3" fontId="38" fillId="4" borderId="1" xfId="1" applyNumberFormat="1" applyFont="1" applyFill="1" applyBorder="1" applyAlignment="1">
      <alignment vertical="center" wrapText="1"/>
    </xf>
    <xf numFmtId="0" fontId="38" fillId="0" borderId="1" xfId="3" applyFont="1" applyBorder="1">
      <alignment vertical="center"/>
    </xf>
    <xf numFmtId="3" fontId="38" fillId="0" borderId="1" xfId="6" applyNumberFormat="1" applyFont="1" applyFill="1" applyBorder="1" applyAlignment="1">
      <alignment horizontal="center" vertical="center"/>
    </xf>
    <xf numFmtId="3" fontId="38" fillId="0" borderId="1" xfId="1" applyNumberFormat="1" applyFont="1" applyFill="1" applyBorder="1" applyAlignment="1">
      <alignment horizontal="center" vertical="center" wrapText="1"/>
    </xf>
    <xf numFmtId="0" fontId="39" fillId="3" borderId="1" xfId="4" applyFont="1" applyFill="1" applyBorder="1" applyAlignment="1">
      <alignment vertical="center"/>
    </xf>
    <xf numFmtId="0" fontId="39" fillId="3" borderId="1" xfId="4" applyFont="1" applyFill="1" applyBorder="1" applyAlignment="1">
      <alignment horizontal="center" vertical="center" wrapText="1"/>
    </xf>
    <xf numFmtId="164" fontId="39" fillId="3" borderId="1" xfId="5" applyNumberFormat="1" applyFont="1" applyFill="1" applyBorder="1" applyAlignment="1">
      <alignment horizontal="center" vertical="center" wrapText="1"/>
    </xf>
    <xf numFmtId="164" fontId="39" fillId="3" borderId="1" xfId="5" applyNumberFormat="1" applyFont="1" applyFill="1" applyBorder="1" applyAlignment="1">
      <alignment vertical="center" wrapText="1"/>
    </xf>
    <xf numFmtId="164" fontId="39" fillId="3" borderId="7" xfId="5" applyNumberFormat="1" applyFont="1" applyFill="1" applyBorder="1" applyAlignment="1">
      <alignment vertical="center" wrapText="1"/>
    </xf>
    <xf numFmtId="9" fontId="38" fillId="0" borderId="1" xfId="2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left" vertical="center" wrapText="1"/>
    </xf>
    <xf numFmtId="165" fontId="5" fillId="4" borderId="1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vertical="center" wrapText="1"/>
    </xf>
    <xf numFmtId="165" fontId="5" fillId="4" borderId="1" xfId="1" applyNumberFormat="1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vertical="center" wrapText="1"/>
    </xf>
    <xf numFmtId="0" fontId="12" fillId="4" borderId="1" xfId="4" applyFont="1" applyFill="1" applyBorder="1" applyAlignment="1">
      <alignment horizontal="center" vertical="center" wrapText="1"/>
    </xf>
    <xf numFmtId="0" fontId="12" fillId="4" borderId="1" xfId="4" applyFont="1" applyFill="1" applyBorder="1" applyAlignment="1">
      <alignment horizontal="left" vertical="center" wrapText="1"/>
    </xf>
    <xf numFmtId="0" fontId="12" fillId="4" borderId="11" xfId="4" applyFont="1" applyFill="1" applyBorder="1" applyAlignment="1">
      <alignment horizontal="center" vertical="center" wrapText="1"/>
    </xf>
    <xf numFmtId="0" fontId="9" fillId="0" borderId="11" xfId="4" applyFont="1" applyFill="1" applyBorder="1" applyAlignment="1">
      <alignment horizontal="left" vertical="center" wrapText="1"/>
    </xf>
    <xf numFmtId="165" fontId="2" fillId="4" borderId="1" xfId="1" applyNumberFormat="1" applyFont="1" applyFill="1" applyBorder="1" applyAlignment="1">
      <alignment horizontal="right" vertical="center" wrapText="1"/>
    </xf>
    <xf numFmtId="0" fontId="23" fillId="4" borderId="5" xfId="4" applyFont="1" applyFill="1" applyBorder="1" applyAlignment="1">
      <alignment horizontal="center" vertical="center" wrapText="1"/>
    </xf>
    <xf numFmtId="0" fontId="21" fillId="4" borderId="1" xfId="4" applyFont="1" applyFill="1" applyBorder="1" applyAlignment="1">
      <alignment horizontal="left" vertical="center" wrapText="1"/>
    </xf>
    <xf numFmtId="165" fontId="33" fillId="4" borderId="2" xfId="1" applyNumberFormat="1" applyFont="1" applyFill="1" applyBorder="1" applyAlignment="1">
      <alignment horizontal="center" vertical="center" wrapText="1"/>
    </xf>
    <xf numFmtId="165" fontId="33" fillId="4" borderId="2" xfId="1" applyNumberFormat="1" applyFont="1" applyFill="1" applyBorder="1" applyAlignment="1">
      <alignment horizontal="center" vertical="center"/>
    </xf>
    <xf numFmtId="165" fontId="2" fillId="4" borderId="2" xfId="1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 wrapText="1"/>
    </xf>
    <xf numFmtId="1" fontId="4" fillId="3" borderId="1" xfId="5" applyNumberFormat="1" applyFont="1" applyFill="1" applyBorder="1" applyAlignment="1">
      <alignment horizontal="center" vertical="center" wrapText="1"/>
    </xf>
    <xf numFmtId="3" fontId="5" fillId="5" borderId="5" xfId="4" applyNumberFormat="1" applyFont="1" applyFill="1" applyBorder="1" applyAlignment="1">
      <alignment horizontal="center" vertical="center" wrapText="1"/>
    </xf>
    <xf numFmtId="166" fontId="5" fillId="0" borderId="5" xfId="1" applyNumberFormat="1" applyFont="1" applyFill="1" applyBorder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 wrapText="1"/>
    </xf>
    <xf numFmtId="164" fontId="4" fillId="2" borderId="5" xfId="5" applyNumberFormat="1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1" fontId="9" fillId="3" borderId="5" xfId="5" applyNumberFormat="1" applyFont="1" applyFill="1" applyBorder="1" applyAlignment="1">
      <alignment horizontal="center" vertical="center" wrapText="1"/>
    </xf>
    <xf numFmtId="0" fontId="4" fillId="3" borderId="5" xfId="4" applyFont="1" applyFill="1" applyBorder="1" applyAlignment="1">
      <alignment horizontal="center" vertical="center"/>
    </xf>
    <xf numFmtId="0" fontId="4" fillId="3" borderId="5" xfId="4" applyFont="1" applyFill="1" applyBorder="1" applyAlignment="1">
      <alignment horizontal="center" vertical="center" wrapText="1"/>
    </xf>
    <xf numFmtId="165" fontId="41" fillId="5" borderId="1" xfId="1" applyNumberFormat="1" applyFont="1" applyFill="1" applyBorder="1" applyAlignment="1">
      <alignment horizontal="center" vertical="center" wrapText="1"/>
    </xf>
    <xf numFmtId="168" fontId="3" fillId="0" borderId="0" xfId="3" applyNumberFormat="1" applyFont="1">
      <alignment vertical="center"/>
    </xf>
    <xf numFmtId="165" fontId="3" fillId="0" borderId="0" xfId="3" applyNumberFormat="1" applyFont="1">
      <alignment vertical="center"/>
    </xf>
    <xf numFmtId="165" fontId="23" fillId="0" borderId="0" xfId="4" applyNumberFormat="1" applyFont="1" applyAlignment="1">
      <alignment vertical="center"/>
    </xf>
    <xf numFmtId="0" fontId="33" fillId="0" borderId="0" xfId="3" applyFont="1" applyAlignment="1">
      <alignment horizontal="left" vertical="center"/>
    </xf>
    <xf numFmtId="0" fontId="33" fillId="0" borderId="0" xfId="3" applyFont="1" applyAlignment="1">
      <alignment horizontal="left"/>
    </xf>
    <xf numFmtId="164" fontId="2" fillId="0" borderId="0" xfId="1" applyNumberFormat="1" applyFont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2" fillId="0" borderId="0" xfId="3" applyFont="1" applyAlignment="1"/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horizontal="left"/>
    </xf>
    <xf numFmtId="0" fontId="33" fillId="0" borderId="0" xfId="3" applyFont="1" applyFill="1" applyBorder="1" applyAlignment="1">
      <alignment horizontal="center" vertical="center"/>
    </xf>
    <xf numFmtId="0" fontId="33" fillId="0" borderId="0" xfId="3" applyFont="1" applyAlignment="1">
      <alignment horizontal="right" vertical="center"/>
    </xf>
    <xf numFmtId="0" fontId="33" fillId="7" borderId="1" xfId="4" applyFont="1" applyFill="1" applyBorder="1" applyAlignment="1">
      <alignment horizontal="center" vertical="center" wrapText="1"/>
    </xf>
    <xf numFmtId="164" fontId="33" fillId="7" borderId="1" xfId="5" applyNumberFormat="1" applyFont="1" applyFill="1" applyBorder="1" applyAlignment="1">
      <alignment horizontal="center" vertical="center" wrapText="1"/>
    </xf>
    <xf numFmtId="0" fontId="2" fillId="0" borderId="0" xfId="4" applyFont="1" applyFill="1" applyAlignment="1">
      <alignment vertical="center"/>
    </xf>
    <xf numFmtId="1" fontId="2" fillId="7" borderId="1" xfId="5" applyNumberFormat="1" applyFont="1" applyFill="1" applyBorder="1" applyAlignment="1">
      <alignment horizontal="center" vertical="center" wrapText="1"/>
    </xf>
    <xf numFmtId="0" fontId="2" fillId="0" borderId="0" xfId="4" applyFont="1" applyAlignment="1">
      <alignment vertical="center"/>
    </xf>
    <xf numFmtId="0" fontId="2" fillId="5" borderId="1" xfId="4" applyFont="1" applyFill="1" applyBorder="1" applyAlignment="1">
      <alignment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2" fillId="4" borderId="1" xfId="4" applyFont="1" applyFill="1" applyBorder="1" applyAlignment="1">
      <alignment horizontal="left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17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164" fontId="42" fillId="7" borderId="1" xfId="1" applyNumberFormat="1" applyFont="1" applyFill="1" applyBorder="1" applyAlignment="1">
      <alignment horizontal="center" vertical="center" wrapText="1"/>
    </xf>
    <xf numFmtId="164" fontId="42" fillId="7" borderId="1" xfId="1" applyNumberFormat="1" applyFont="1" applyFill="1" applyBorder="1" applyAlignment="1">
      <alignment horizontal="left" vertical="center" wrapText="1"/>
    </xf>
    <xf numFmtId="0" fontId="22" fillId="0" borderId="0" xfId="4" applyFont="1" applyFill="1" applyAlignment="1">
      <alignment vertical="center"/>
    </xf>
    <xf numFmtId="164" fontId="43" fillId="4" borderId="11" xfId="1" applyNumberFormat="1" applyFont="1" applyFill="1" applyBorder="1" applyAlignment="1">
      <alignment horizontal="center" vertical="center" wrapText="1"/>
    </xf>
    <xf numFmtId="164" fontId="44" fillId="5" borderId="1" xfId="1" applyNumberFormat="1" applyFont="1" applyFill="1" applyBorder="1" applyAlignment="1">
      <alignment vertical="center" wrapText="1"/>
    </xf>
    <xf numFmtId="164" fontId="43" fillId="5" borderId="1" xfId="1" applyNumberFormat="1" applyFont="1" applyFill="1" applyBorder="1" applyAlignment="1">
      <alignment vertical="center" wrapText="1"/>
    </xf>
    <xf numFmtId="164" fontId="43" fillId="5" borderId="1" xfId="1" applyNumberFormat="1" applyFont="1" applyFill="1" applyBorder="1" applyAlignment="1">
      <alignment horizontal="center" vertical="center" wrapText="1"/>
    </xf>
    <xf numFmtId="164" fontId="43" fillId="4" borderId="1" xfId="1" applyNumberFormat="1" applyFont="1" applyFill="1" applyBorder="1" applyAlignment="1">
      <alignment horizontal="center" vertical="center" wrapText="1"/>
    </xf>
    <xf numFmtId="164" fontId="45" fillId="5" borderId="1" xfId="1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vertical="center"/>
    </xf>
    <xf numFmtId="164" fontId="18" fillId="0" borderId="0" xfId="3" applyNumberFormat="1" applyFont="1">
      <alignment vertical="center"/>
    </xf>
    <xf numFmtId="0" fontId="16" fillId="0" borderId="0" xfId="0" applyFont="1" applyAlignment="1">
      <alignment horizontal="left" vertical="center"/>
    </xf>
    <xf numFmtId="164" fontId="47" fillId="0" borderId="0" xfId="7" applyNumberFormat="1" applyFont="1" applyAlignme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/>
    </xf>
    <xf numFmtId="169" fontId="17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169" fontId="16" fillId="0" borderId="1" xfId="7" applyNumberFormat="1" applyFont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164" fontId="33" fillId="0" borderId="0" xfId="1" applyNumberFormat="1" applyFont="1" applyAlignment="1">
      <alignment horizontal="left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164" fontId="33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center" vertical="center" wrapText="1"/>
    </xf>
    <xf numFmtId="164" fontId="33" fillId="0" borderId="1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64" fontId="44" fillId="0" borderId="1" xfId="1" applyNumberFormat="1" applyFont="1" applyFill="1" applyBorder="1" applyAlignment="1">
      <alignment vertical="center"/>
    </xf>
    <xf numFmtId="0" fontId="44" fillId="0" borderId="1" xfId="4" applyFont="1" applyFill="1" applyBorder="1" applyAlignment="1">
      <alignment horizontal="center" vertical="center" wrapText="1"/>
    </xf>
    <xf numFmtId="0" fontId="43" fillId="4" borderId="1" xfId="4" applyFont="1" applyFill="1" applyBorder="1" applyAlignment="1">
      <alignment horizontal="center" vertical="center" wrapText="1"/>
    </xf>
    <xf numFmtId="0" fontId="44" fillId="5" borderId="1" xfId="4" applyFont="1" applyFill="1" applyBorder="1" applyAlignment="1">
      <alignment vertical="center" wrapText="1"/>
    </xf>
    <xf numFmtId="0" fontId="43" fillId="0" borderId="1" xfId="4" applyFont="1" applyBorder="1" applyAlignment="1">
      <alignment horizontal="center" vertical="center"/>
    </xf>
    <xf numFmtId="0" fontId="44" fillId="4" borderId="1" xfId="4" applyFont="1" applyFill="1" applyBorder="1" applyAlignment="1">
      <alignment horizontal="left" vertical="center" wrapText="1"/>
    </xf>
    <xf numFmtId="0" fontId="44" fillId="0" borderId="0" xfId="3" applyFont="1">
      <alignment vertical="center"/>
    </xf>
    <xf numFmtId="164" fontId="2" fillId="0" borderId="0" xfId="1" applyNumberFormat="1" applyFont="1" applyAlignment="1">
      <alignment vertical="center"/>
    </xf>
    <xf numFmtId="0" fontId="50" fillId="0" borderId="0" xfId="3" applyFont="1" applyFill="1">
      <alignment vertical="center"/>
    </xf>
    <xf numFmtId="0" fontId="4" fillId="2" borderId="1" xfId="4" applyFont="1" applyFill="1" applyBorder="1" applyAlignment="1">
      <alignment horizontal="center" vertical="center" wrapText="1"/>
    </xf>
    <xf numFmtId="0" fontId="3" fillId="4" borderId="1" xfId="4" applyFont="1" applyFill="1" applyBorder="1" applyAlignment="1">
      <alignment horizontal="center" vertical="center" wrapText="1"/>
    </xf>
    <xf numFmtId="43" fontId="3" fillId="0" borderId="0" xfId="3" applyNumberFormat="1" applyFont="1">
      <alignment vertical="center"/>
    </xf>
    <xf numFmtId="0" fontId="6" fillId="0" borderId="0" xfId="3" applyFont="1" applyFill="1" applyAlignment="1">
      <alignment horizontal="center" vertical="center" wrapText="1"/>
    </xf>
    <xf numFmtId="0" fontId="37" fillId="3" borderId="1" xfId="4" applyFont="1" applyFill="1" applyBorder="1" applyAlignment="1">
      <alignment horizontal="left" vertical="center"/>
    </xf>
    <xf numFmtId="164" fontId="4" fillId="2" borderId="1" xfId="5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1" fontId="9" fillId="3" borderId="1" xfId="5" applyNumberFormat="1" applyFont="1" applyFill="1" applyBorder="1" applyAlignment="1">
      <alignment horizontal="center" vertical="center" wrapText="1"/>
    </xf>
    <xf numFmtId="0" fontId="9" fillId="3" borderId="1" xfId="4" applyFont="1" applyFill="1" applyBorder="1" applyAlignment="1">
      <alignment horizontal="left" vertical="center"/>
    </xf>
    <xf numFmtId="0" fontId="9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3" fontId="3" fillId="5" borderId="1" xfId="4" applyNumberFormat="1" applyFont="1" applyFill="1" applyBorder="1" applyAlignment="1">
      <alignment horizontal="center" vertical="center" wrapText="1"/>
    </xf>
    <xf numFmtId="0" fontId="3" fillId="4" borderId="1" xfId="4" applyFont="1" applyFill="1" applyBorder="1" applyAlignment="1">
      <alignment horizontal="center" vertical="center" wrapText="1"/>
    </xf>
    <xf numFmtId="0" fontId="6" fillId="0" borderId="0" xfId="3" applyFont="1" applyFill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5" fillId="4" borderId="0" xfId="4" applyFont="1" applyFill="1" applyBorder="1" applyAlignment="1">
      <alignment horizontal="center" vertical="center"/>
    </xf>
    <xf numFmtId="0" fontId="12" fillId="4" borderId="1" xfId="4" applyFont="1" applyFill="1" applyBorder="1" applyAlignment="1">
      <alignment horizontal="left" vertical="center" wrapText="1"/>
    </xf>
    <xf numFmtId="0" fontId="12" fillId="4" borderId="1" xfId="4" applyFont="1" applyFill="1" applyBorder="1" applyAlignment="1">
      <alignment horizontal="left" vertical="center"/>
    </xf>
    <xf numFmtId="0" fontId="9" fillId="0" borderId="9" xfId="6" applyFont="1" applyFill="1" applyBorder="1" applyAlignment="1">
      <alignment horizontal="left" vertical="center" wrapText="1"/>
    </xf>
    <xf numFmtId="0" fontId="36" fillId="0" borderId="0" xfId="3" applyFont="1" applyFill="1" applyAlignment="1">
      <alignment horizontal="center" vertical="center" wrapText="1"/>
    </xf>
    <xf numFmtId="0" fontId="36" fillId="0" borderId="0" xfId="3" applyFont="1" applyFill="1" applyAlignment="1">
      <alignment horizontal="center" vertical="center"/>
    </xf>
    <xf numFmtId="0" fontId="9" fillId="6" borderId="13" xfId="1" applyNumberFormat="1" applyFont="1" applyFill="1" applyBorder="1" applyAlignment="1">
      <alignment horizontal="center" vertical="center" wrapText="1"/>
    </xf>
    <xf numFmtId="0" fontId="9" fillId="6" borderId="14" xfId="1" applyNumberFormat="1" applyFont="1" applyFill="1" applyBorder="1" applyAlignment="1">
      <alignment horizontal="center" vertical="center" wrapText="1"/>
    </xf>
    <xf numFmtId="0" fontId="29" fillId="0" borderId="0" xfId="3" applyFont="1" applyFill="1" applyAlignment="1">
      <alignment horizontal="center" vertical="center"/>
    </xf>
    <xf numFmtId="0" fontId="31" fillId="6" borderId="1" xfId="1" applyNumberFormat="1" applyFont="1" applyFill="1" applyBorder="1" applyAlignment="1">
      <alignment horizontal="center" vertical="center" wrapText="1"/>
    </xf>
    <xf numFmtId="0" fontId="31" fillId="6" borderId="1" xfId="3" applyFont="1" applyFill="1" applyBorder="1" applyAlignment="1">
      <alignment horizontal="center" vertical="top"/>
    </xf>
    <xf numFmtId="0" fontId="31" fillId="6" borderId="1" xfId="3" applyFont="1" applyFill="1" applyBorder="1" applyAlignment="1">
      <alignment horizontal="center" vertical="center" wrapText="1"/>
    </xf>
    <xf numFmtId="0" fontId="32" fillId="6" borderId="1" xfId="3" applyFont="1" applyFill="1" applyBorder="1" applyAlignment="1">
      <alignment horizontal="center" vertical="center" wrapText="1"/>
    </xf>
    <xf numFmtId="0" fontId="9" fillId="6" borderId="12" xfId="3" applyFont="1" applyFill="1" applyBorder="1" applyAlignment="1">
      <alignment horizontal="center" vertical="center" wrapText="1"/>
    </xf>
    <xf numFmtId="0" fontId="9" fillId="6" borderId="12" xfId="1" applyNumberFormat="1" applyFont="1" applyFill="1" applyBorder="1" applyAlignment="1">
      <alignment horizontal="center" vertical="center" wrapText="1"/>
    </xf>
    <xf numFmtId="0" fontId="23" fillId="4" borderId="0" xfId="4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 vertical="center" wrapText="1"/>
    </xf>
    <xf numFmtId="0" fontId="27" fillId="4" borderId="1" xfId="4" applyFont="1" applyFill="1" applyBorder="1" applyAlignment="1">
      <alignment horizontal="left" vertical="center" wrapText="1"/>
    </xf>
    <xf numFmtId="0" fontId="7" fillId="4" borderId="1" xfId="4" applyFont="1" applyFill="1" applyBorder="1" applyAlignment="1">
      <alignment horizontal="left" vertical="center" wrapText="1"/>
    </xf>
    <xf numFmtId="0" fontId="24" fillId="3" borderId="1" xfId="4" applyFont="1" applyFill="1" applyBorder="1" applyAlignment="1">
      <alignment horizontal="left" vertical="center"/>
    </xf>
    <xf numFmtId="0" fontId="17" fillId="4" borderId="1" xfId="4" applyFont="1" applyFill="1" applyBorder="1" applyAlignment="1">
      <alignment horizontal="left" vertical="center" wrapText="1"/>
    </xf>
    <xf numFmtId="0" fontId="17" fillId="4" borderId="1" xfId="4" applyFont="1" applyFill="1" applyBorder="1" applyAlignment="1">
      <alignment horizontal="left" vertical="center"/>
    </xf>
    <xf numFmtId="0" fontId="24" fillId="0" borderId="1" xfId="6" applyFont="1" applyFill="1" applyBorder="1" applyAlignment="1">
      <alignment horizontal="left" vertical="center" wrapText="1"/>
    </xf>
    <xf numFmtId="0" fontId="39" fillId="0" borderId="0" xfId="3" applyFont="1" applyFill="1" applyAlignment="1">
      <alignment horizontal="center" vertical="center"/>
    </xf>
    <xf numFmtId="0" fontId="40" fillId="0" borderId="0" xfId="3" applyFont="1" applyFill="1" applyBorder="1" applyAlignment="1">
      <alignment horizontal="center" vertical="center"/>
    </xf>
    <xf numFmtId="0" fontId="44" fillId="0" borderId="1" xfId="4" applyFont="1" applyFill="1" applyBorder="1" applyAlignment="1">
      <alignment horizontal="right" vertical="center"/>
    </xf>
    <xf numFmtId="0" fontId="44" fillId="9" borderId="1" xfId="4" applyFont="1" applyFill="1" applyBorder="1" applyAlignment="1">
      <alignment horizontal="center" vertical="center" wrapText="1"/>
    </xf>
    <xf numFmtId="0" fontId="29" fillId="0" borderId="0" xfId="3" applyFont="1" applyFill="1" applyAlignment="1">
      <alignment horizontal="center" vertical="center" wrapText="1"/>
    </xf>
    <xf numFmtId="0" fontId="33" fillId="0" borderId="0" xfId="3" applyFont="1" applyFill="1" applyBorder="1" applyAlignment="1">
      <alignment horizontal="left" vertical="center"/>
    </xf>
    <xf numFmtId="0" fontId="33" fillId="0" borderId="0" xfId="3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left" vertical="center"/>
    </xf>
    <xf numFmtId="0" fontId="48" fillId="0" borderId="0" xfId="0" applyFont="1" applyAlignment="1">
      <alignment horizontal="center" wrapText="1"/>
    </xf>
    <xf numFmtId="0" fontId="4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8">
    <cellStyle name="Comma" xfId="1" builtinId="3"/>
    <cellStyle name="Comma 2" xfId="5"/>
    <cellStyle name="Comma 2 3" xfId="7"/>
    <cellStyle name="Normal" xfId="0" builtinId="0"/>
    <cellStyle name="Normal 2" xfId="4"/>
    <cellStyle name="Normal 4 3" xfId="6"/>
    <cellStyle name="Normal 6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511629</xdr:colOff>
      <xdr:row>0</xdr:row>
      <xdr:rowOff>142875</xdr:rowOff>
    </xdr:from>
    <xdr:to>
      <xdr:col>10</xdr:col>
      <xdr:colOff>785774</xdr:colOff>
      <xdr:row>1</xdr:row>
      <xdr:rowOff>152400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70129" y="142875"/>
          <a:ext cx="1240252" cy="5402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384810</xdr:colOff>
      <xdr:row>0</xdr:row>
      <xdr:rowOff>1</xdr:rowOff>
    </xdr:from>
    <xdr:to>
      <xdr:col>4</xdr:col>
      <xdr:colOff>606892</xdr:colOff>
      <xdr:row>2</xdr:row>
      <xdr:rowOff>99061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57135" y="1"/>
          <a:ext cx="955507" cy="499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240030</xdr:colOff>
      <xdr:row>0</xdr:row>
      <xdr:rowOff>38743</xdr:rowOff>
    </xdr:from>
    <xdr:to>
      <xdr:col>4</xdr:col>
      <xdr:colOff>605700</xdr:colOff>
      <xdr:row>2</xdr:row>
      <xdr:rowOff>80010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40855" y="38743"/>
          <a:ext cx="1060995" cy="555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0</xdr:row>
      <xdr:rowOff>41910</xdr:rowOff>
    </xdr:from>
    <xdr:to>
      <xdr:col>3</xdr:col>
      <xdr:colOff>1066800</xdr:colOff>
      <xdr:row>3</xdr:row>
      <xdr:rowOff>37457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6350" y="41910"/>
          <a:ext cx="533400" cy="567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534266</xdr:colOff>
      <xdr:row>0</xdr:row>
      <xdr:rowOff>0</xdr:rowOff>
    </xdr:from>
    <xdr:to>
      <xdr:col>28</xdr:col>
      <xdr:colOff>416043</xdr:colOff>
      <xdr:row>2</xdr:row>
      <xdr:rowOff>57150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133993" y="0"/>
          <a:ext cx="2011914" cy="732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85725</xdr:rowOff>
    </xdr:from>
    <xdr:to>
      <xdr:col>11</xdr:col>
      <xdr:colOff>299466</xdr:colOff>
      <xdr:row>0</xdr:row>
      <xdr:rowOff>88773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86575" y="85725"/>
          <a:ext cx="3219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</xdr:colOff>
      <xdr:row>0</xdr:row>
      <xdr:rowOff>85725</xdr:rowOff>
    </xdr:from>
    <xdr:to>
      <xdr:col>11</xdr:col>
      <xdr:colOff>299466</xdr:colOff>
      <xdr:row>0</xdr:row>
      <xdr:rowOff>88773</xdr:rowOff>
    </xdr:to>
    <xdr:pic>
      <xdr:nvPicPr>
        <xdr:cNvPr id="3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86575" y="85725"/>
          <a:ext cx="3219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</xdr:colOff>
      <xdr:row>0</xdr:row>
      <xdr:rowOff>85725</xdr:rowOff>
    </xdr:from>
    <xdr:to>
      <xdr:col>11</xdr:col>
      <xdr:colOff>299466</xdr:colOff>
      <xdr:row>0</xdr:row>
      <xdr:rowOff>88773</xdr:rowOff>
    </xdr:to>
    <xdr:pic>
      <xdr:nvPicPr>
        <xdr:cNvPr id="4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86575" y="85725"/>
          <a:ext cx="3219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</xdr:colOff>
      <xdr:row>0</xdr:row>
      <xdr:rowOff>85725</xdr:rowOff>
    </xdr:from>
    <xdr:to>
      <xdr:col>11</xdr:col>
      <xdr:colOff>299466</xdr:colOff>
      <xdr:row>0</xdr:row>
      <xdr:rowOff>88773</xdr:rowOff>
    </xdr:to>
    <xdr:pic>
      <xdr:nvPicPr>
        <xdr:cNvPr id="5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86575" y="85725"/>
          <a:ext cx="3219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885825</xdr:colOff>
      <xdr:row>0</xdr:row>
      <xdr:rowOff>390525</xdr:rowOff>
    </xdr:to>
    <xdr:pic>
      <xdr:nvPicPr>
        <xdr:cNvPr id="6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53425" y="0"/>
          <a:ext cx="8858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28575</xdr:rowOff>
    </xdr:from>
    <xdr:to>
      <xdr:col>7</xdr:col>
      <xdr:colOff>752475</xdr:colOff>
      <xdr:row>2</xdr:row>
      <xdr:rowOff>219075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43550" y="28575"/>
          <a:ext cx="10382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85725</xdr:rowOff>
    </xdr:from>
    <xdr:to>
      <xdr:col>8</xdr:col>
      <xdr:colOff>342900</xdr:colOff>
      <xdr:row>0</xdr:row>
      <xdr:rowOff>85725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86625" y="85725"/>
          <a:ext cx="2581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0</xdr:row>
      <xdr:rowOff>85725</xdr:rowOff>
    </xdr:from>
    <xdr:to>
      <xdr:col>8</xdr:col>
      <xdr:colOff>342900</xdr:colOff>
      <xdr:row>0</xdr:row>
      <xdr:rowOff>85725</xdr:rowOff>
    </xdr:to>
    <xdr:pic>
      <xdr:nvPicPr>
        <xdr:cNvPr id="3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86625" y="85725"/>
          <a:ext cx="2581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0</xdr:row>
      <xdr:rowOff>85725</xdr:rowOff>
    </xdr:from>
    <xdr:to>
      <xdr:col>8</xdr:col>
      <xdr:colOff>342900</xdr:colOff>
      <xdr:row>0</xdr:row>
      <xdr:rowOff>85725</xdr:rowOff>
    </xdr:to>
    <xdr:pic>
      <xdr:nvPicPr>
        <xdr:cNvPr id="4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86625" y="85725"/>
          <a:ext cx="2581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0</xdr:row>
      <xdr:rowOff>85725</xdr:rowOff>
    </xdr:from>
    <xdr:to>
      <xdr:col>8</xdr:col>
      <xdr:colOff>342900</xdr:colOff>
      <xdr:row>0</xdr:row>
      <xdr:rowOff>85725</xdr:rowOff>
    </xdr:to>
    <xdr:pic>
      <xdr:nvPicPr>
        <xdr:cNvPr id="5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86625" y="85725"/>
          <a:ext cx="2581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620031</xdr:colOff>
      <xdr:row>0</xdr:row>
      <xdr:rowOff>1</xdr:rowOff>
    </xdr:from>
    <xdr:to>
      <xdr:col>11</xdr:col>
      <xdr:colOff>85725</xdr:colOff>
      <xdr:row>2</xdr:row>
      <xdr:rowOff>95251</xdr:rowOff>
    </xdr:to>
    <xdr:pic>
      <xdr:nvPicPr>
        <xdr:cNvPr id="6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73531" y="1"/>
          <a:ext cx="1180194" cy="7892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616323</xdr:colOff>
      <xdr:row>0</xdr:row>
      <xdr:rowOff>1</xdr:rowOff>
    </xdr:from>
    <xdr:to>
      <xdr:col>10</xdr:col>
      <xdr:colOff>556930</xdr:colOff>
      <xdr:row>1</xdr:row>
      <xdr:rowOff>18865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15735" y="1"/>
          <a:ext cx="1453401" cy="3438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261999</xdr:colOff>
      <xdr:row>0</xdr:row>
      <xdr:rowOff>0</xdr:rowOff>
    </xdr:from>
    <xdr:to>
      <xdr:col>10</xdr:col>
      <xdr:colOff>857622</xdr:colOff>
      <xdr:row>1</xdr:row>
      <xdr:rowOff>142875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99624" y="0"/>
          <a:ext cx="1548123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337855</xdr:colOff>
      <xdr:row>0</xdr:row>
      <xdr:rowOff>0</xdr:rowOff>
    </xdr:from>
    <xdr:to>
      <xdr:col>10</xdr:col>
      <xdr:colOff>867347</xdr:colOff>
      <xdr:row>1</xdr:row>
      <xdr:rowOff>111125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64355" y="0"/>
          <a:ext cx="1466117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1223949</xdr:colOff>
      <xdr:row>0</xdr:row>
      <xdr:rowOff>4605</xdr:rowOff>
    </xdr:from>
    <xdr:to>
      <xdr:col>7</xdr:col>
      <xdr:colOff>255393</xdr:colOff>
      <xdr:row>2</xdr:row>
      <xdr:rowOff>88246</xdr:rowOff>
    </xdr:to>
    <xdr:pic>
      <xdr:nvPicPr>
        <xdr:cNvPr id="2" name="Picture 3" descr="logo APP-0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91249" y="4605"/>
          <a:ext cx="1479369" cy="5408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u_Supervisor\Desktop\APP%20PRICES%20%2012-10-2015\T&#7893;ng%20h&#7907;p%20FINAL%2020151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b solution"/>
      <sheetName val="Mobile App"/>
      <sheetName val="Thuong DS"/>
      <sheetName val="APP In Nhanh KTS"/>
      <sheetName val="Mounted"/>
      <sheetName val="Small products"/>
      <sheetName val="Photobook KM"/>
      <sheetName val="Photobook Indigo (APP)"/>
      <sheetName val="SD printing"/>
      <sheetName val="Photobook SSN"/>
      <sheetName val="Album KTS OLD"/>
      <sheetName val="Mophang KM"/>
      <sheetName val="Album SSN"/>
      <sheetName val="PUR HD"/>
      <sheetName val="Album KTS"/>
      <sheetName val="Mophang KM NỐI BẢN IN"/>
      <sheetName val="Cover"/>
      <sheetName val="Album Indigo (APP)"/>
      <sheetName val="Album SSN OLD"/>
      <sheetName val="HD Printing"/>
      <sheetName val="Mophang DreamLabo"/>
      <sheetName val="Prints SSN"/>
      <sheetName val="Mophang DreamLabo old"/>
      <sheetName val="CANVAS NEW"/>
      <sheetName val="Canvas"/>
      <sheetName val="PS Mophang HD"/>
      <sheetName val="PhotoMounts"/>
      <sheetName val="AC-APP"/>
      <sheetName val="PS Mounted"/>
      <sheetName val="PS Prints"/>
      <sheetName val="PS Photobook KTS"/>
      <sheetName val="PS Photobook SSN"/>
      <sheetName val="PS Album SSN"/>
      <sheetName val="PS PUR KM"/>
      <sheetName val="OLD PS Giá mở phẳng"/>
      <sheetName val="PS Canvas"/>
      <sheetName val="PUR Indigo"/>
      <sheetName val="PUR KM"/>
      <sheetName val="PS PUR HD"/>
      <sheetName val="Mophang Indigo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Đơn vị tính | Unit: VND | Bìa mềm có kích thước nhỏ hơn khoảng 5mm xén từ 3 chiều | softcover books are smaller by a minimum of 5cm trimming margin from 3 sides.</v>
          </cell>
        </row>
        <row r="24">
          <cell r="C24">
            <v>150000</v>
          </cell>
          <cell r="D24">
            <v>180000</v>
          </cell>
          <cell r="E24">
            <v>220000</v>
          </cell>
          <cell r="F24">
            <v>270000</v>
          </cell>
          <cell r="G24">
            <v>270000</v>
          </cell>
          <cell r="H24">
            <v>270000</v>
          </cell>
          <cell r="I24">
            <v>320000</v>
          </cell>
          <cell r="J24">
            <v>350000</v>
          </cell>
        </row>
        <row r="25">
          <cell r="J25" t="str">
            <v>Thêm 30% &amp; 10% cho Khách hàng lẻ và doanh nghiệp| Additional charge of 30% &amp; 10% for indivual and business clients.</v>
          </cell>
        </row>
      </sheetData>
      <sheetData sheetId="7"/>
      <sheetData sheetId="8"/>
      <sheetData sheetId="9">
        <row r="2">
          <cell r="A2" t="str">
            <v>215/11 Huỳnh Văn Bánh, P.12, Q. Phú Nhuận | Điện thoại: 08 399 77 224 - 399 77 225 | www.inantuyetvoi.vn</v>
          </cell>
        </row>
      </sheetData>
      <sheetData sheetId="10">
        <row r="23">
          <cell r="D23">
            <v>30000</v>
          </cell>
          <cell r="E23">
            <v>30000</v>
          </cell>
          <cell r="F23">
            <v>35000</v>
          </cell>
          <cell r="G23">
            <v>40000</v>
          </cell>
          <cell r="H23">
            <v>45000</v>
          </cell>
          <cell r="J23">
            <v>50000</v>
          </cell>
          <cell r="K23">
            <v>60000</v>
          </cell>
        </row>
        <row r="26">
          <cell r="D26">
            <v>150000</v>
          </cell>
          <cell r="F26">
            <v>220000</v>
          </cell>
          <cell r="H26">
            <v>270000</v>
          </cell>
          <cell r="I26">
            <v>270000</v>
          </cell>
        </row>
      </sheetData>
      <sheetData sheetId="11"/>
      <sheetData sheetId="12"/>
      <sheetData sheetId="13"/>
      <sheetData sheetId="14">
        <row r="23">
          <cell r="D23">
            <v>30000</v>
          </cell>
          <cell r="E23">
            <v>30000</v>
          </cell>
          <cell r="F23">
            <v>35000</v>
          </cell>
          <cell r="G23">
            <v>40000</v>
          </cell>
          <cell r="H23">
            <v>45000</v>
          </cell>
          <cell r="J23">
            <v>50000</v>
          </cell>
          <cell r="K23">
            <v>60000</v>
          </cell>
          <cell r="L23">
            <v>60000</v>
          </cell>
        </row>
        <row r="26">
          <cell r="D26">
            <v>150000</v>
          </cell>
          <cell r="E26">
            <v>180000</v>
          </cell>
          <cell r="F26">
            <v>220000</v>
          </cell>
          <cell r="G26">
            <v>270000</v>
          </cell>
          <cell r="H26">
            <v>270000</v>
          </cell>
          <cell r="J26">
            <v>320000</v>
          </cell>
          <cell r="K26">
            <v>350000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inantuyetvoi.v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antuyetvoi.v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view="pageBreakPreview" zoomScale="70" zoomScaleNormal="85" zoomScaleSheetLayoutView="70" workbookViewId="0">
      <selection activeCell="G10" sqref="G10"/>
    </sheetView>
  </sheetViews>
  <sheetFormatPr defaultColWidth="9.85546875" defaultRowHeight="15.75"/>
  <cols>
    <col min="1" max="1" width="6.42578125" style="33" customWidth="1"/>
    <col min="2" max="2" width="54.85546875" style="11" customWidth="1"/>
    <col min="3" max="11" width="14.42578125" style="11" customWidth="1"/>
    <col min="12" max="16384" width="9.85546875" style="11"/>
  </cols>
  <sheetData>
    <row r="1" spans="1:11" s="1" customFormat="1" ht="41.85" customHeight="1">
      <c r="A1" s="5" t="s">
        <v>0</v>
      </c>
      <c r="B1" s="2"/>
      <c r="C1" s="2"/>
      <c r="D1" s="2"/>
      <c r="E1" s="6"/>
      <c r="F1" s="6"/>
      <c r="G1" s="7"/>
      <c r="H1" s="7"/>
      <c r="I1" s="7"/>
      <c r="J1" s="7"/>
    </row>
    <row r="2" spans="1:11" s="1" customFormat="1" ht="15">
      <c r="A2" s="9" t="str">
        <f>'[1]Photobook SSN'!A2</f>
        <v>215/11 Huỳnh Văn Bánh, P.12, Q. Phú Nhuận | Điện thoại: 08 399 77 224 - 399 77 225 | www.inantuyetvoi.vn</v>
      </c>
      <c r="B2" s="4"/>
      <c r="C2" s="4"/>
      <c r="D2" s="4"/>
      <c r="E2" s="6"/>
      <c r="F2" s="6"/>
      <c r="G2" s="7"/>
      <c r="H2" s="7"/>
      <c r="I2" s="7"/>
      <c r="J2" s="7"/>
    </row>
    <row r="3" spans="1:11" s="1" customFormat="1" ht="15">
      <c r="A3" s="9"/>
      <c r="B3" s="4"/>
      <c r="C3" s="4"/>
      <c r="D3" s="4"/>
      <c r="E3" s="6"/>
      <c r="F3" s="6"/>
      <c r="G3" s="7"/>
      <c r="H3" s="7"/>
      <c r="I3" s="7"/>
      <c r="J3" s="7"/>
    </row>
    <row r="4" spans="1:11" ht="33.75" customHeight="1">
      <c r="A4" s="267" t="s">
        <v>102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</row>
    <row r="5" spans="1:11" ht="17.850000000000001" customHeight="1">
      <c r="A5" s="42" t="s">
        <v>27</v>
      </c>
      <c r="B5" s="41"/>
      <c r="C5" s="42"/>
      <c r="D5" s="41"/>
      <c r="F5" s="41"/>
      <c r="G5" s="41"/>
      <c r="H5" s="41"/>
      <c r="I5" s="41"/>
      <c r="J5" s="41"/>
      <c r="K5" s="10"/>
    </row>
    <row r="6" spans="1:11" ht="17.850000000000001" customHeight="1">
      <c r="A6" s="42"/>
      <c r="B6" s="41"/>
      <c r="C6" s="42"/>
      <c r="D6" s="41"/>
      <c r="F6" s="41"/>
      <c r="G6" s="41"/>
      <c r="H6" s="41"/>
      <c r="I6" s="41"/>
      <c r="J6" s="41"/>
      <c r="K6" s="10"/>
    </row>
    <row r="7" spans="1:11" s="39" customFormat="1" ht="45" customHeight="1">
      <c r="A7" s="136" t="s">
        <v>20</v>
      </c>
      <c r="B7" s="136" t="s">
        <v>28</v>
      </c>
      <c r="C7" s="136" t="s">
        <v>6</v>
      </c>
      <c r="D7" s="136" t="s">
        <v>98</v>
      </c>
      <c r="E7" s="136" t="s">
        <v>8</v>
      </c>
      <c r="F7" s="137" t="s">
        <v>9</v>
      </c>
      <c r="G7" s="137" t="s">
        <v>99</v>
      </c>
      <c r="H7" s="137" t="s">
        <v>29</v>
      </c>
      <c r="I7" s="137" t="s">
        <v>100</v>
      </c>
      <c r="J7" s="137" t="s">
        <v>101</v>
      </c>
      <c r="K7" s="137" t="s">
        <v>88</v>
      </c>
    </row>
    <row r="8" spans="1:11" s="17" customFormat="1" ht="38.25" customHeight="1">
      <c r="A8" s="268" t="s">
        <v>97</v>
      </c>
      <c r="B8" s="268"/>
      <c r="C8" s="138">
        <v>30</v>
      </c>
      <c r="D8" s="138">
        <v>200</v>
      </c>
      <c r="E8" s="139">
        <v>30</v>
      </c>
      <c r="F8" s="139">
        <v>30</v>
      </c>
      <c r="G8" s="139">
        <v>200</v>
      </c>
      <c r="H8" s="139">
        <v>30</v>
      </c>
      <c r="I8" s="139">
        <v>140</v>
      </c>
      <c r="J8" s="139">
        <v>30</v>
      </c>
      <c r="K8" s="139">
        <v>30</v>
      </c>
    </row>
    <row r="9" spans="1:11" s="22" customFormat="1" ht="42" customHeight="1">
      <c r="A9" s="140">
        <v>1</v>
      </c>
      <c r="B9" s="141" t="s">
        <v>103</v>
      </c>
      <c r="C9" s="149">
        <f>124000+($C$8-30)*$C$14/2</f>
        <v>124000</v>
      </c>
      <c r="D9" s="149">
        <f>124000+($D$8-30)*$D$14/2</f>
        <v>464000</v>
      </c>
      <c r="E9" s="149">
        <f>161000+($E$8-30)*$E$14/2</f>
        <v>161000</v>
      </c>
      <c r="F9" s="149">
        <f>246000+($F$8-30)*$F$14/2</f>
        <v>246000</v>
      </c>
      <c r="G9" s="149">
        <f>199000+($G$8-30)*$G$14/2</f>
        <v>964000</v>
      </c>
      <c r="H9" s="149">
        <f>282000+($H$8-30)*$H$14/2</f>
        <v>282000</v>
      </c>
      <c r="I9" s="149">
        <f>370000+($I$8-30)*$I$14/2</f>
        <v>1305000</v>
      </c>
      <c r="J9" s="149">
        <f>408000+($J$8-30)*$J$14/2</f>
        <v>408000</v>
      </c>
      <c r="K9" s="149">
        <f>450000+($K$8-30)*$K$14/2</f>
        <v>450000</v>
      </c>
    </row>
    <row r="10" spans="1:11" s="23" customFormat="1" ht="42" customHeight="1">
      <c r="A10" s="140">
        <v>2</v>
      </c>
      <c r="B10" s="141" t="s">
        <v>104</v>
      </c>
      <c r="C10" s="149">
        <f>178000+($C$8-30)*$C$14/2</f>
        <v>178000</v>
      </c>
      <c r="D10" s="149">
        <f>187000+($D$8-30)*$D$14/2</f>
        <v>527000</v>
      </c>
      <c r="E10" s="149">
        <f>230000+($E$8-30)*$E$14/2</f>
        <v>230000</v>
      </c>
      <c r="F10" s="149">
        <f>354000+($F$8-30)*$F$14/2</f>
        <v>354000</v>
      </c>
      <c r="G10" s="149">
        <f>299000+($G$8-30)*$G$14/2</f>
        <v>1064000</v>
      </c>
      <c r="H10" s="149">
        <f>444000+($H$8-30)*$H$14/2</f>
        <v>444000</v>
      </c>
      <c r="I10" s="149">
        <f>510000+($I$8-30)*$I$14/2</f>
        <v>1445000</v>
      </c>
      <c r="J10" s="149">
        <f>559000+($J$8-30)*$J$14/2</f>
        <v>559000</v>
      </c>
      <c r="K10" s="149">
        <f>616000+($K$8-30)*$K$14/2</f>
        <v>616000</v>
      </c>
    </row>
    <row r="11" spans="1:11" s="23" customFormat="1" ht="42" customHeight="1">
      <c r="A11" s="140">
        <v>3</v>
      </c>
      <c r="B11" s="141" t="s">
        <v>105</v>
      </c>
      <c r="C11" s="149">
        <f>259000+($C$8-30)*$C$14/2</f>
        <v>259000</v>
      </c>
      <c r="D11" s="149">
        <f>275000+($D$8-30)*$D$14/2</f>
        <v>615000</v>
      </c>
      <c r="E11" s="149">
        <f>339000+($E$8-30)*$E$14/2</f>
        <v>339000</v>
      </c>
      <c r="F11" s="149">
        <f>494000+($F$8-30)*$F$14/2</f>
        <v>494000</v>
      </c>
      <c r="G11" s="149">
        <f>447000+($G$8-30)*$G$14/2</f>
        <v>1212000</v>
      </c>
      <c r="H11" s="149">
        <f>563000+($H$8-30)*$H$14/2</f>
        <v>563000</v>
      </c>
      <c r="I11" s="149">
        <f>683000+($I$8-30)*$I$14/2</f>
        <v>1618000</v>
      </c>
      <c r="J11" s="149">
        <f>732000+($J$8-30)*$J$14/2</f>
        <v>732000</v>
      </c>
      <c r="K11" s="149">
        <f>806000+($K$8-30)*$K$14/2</f>
        <v>806000</v>
      </c>
    </row>
    <row r="12" spans="1:11" s="23" customFormat="1" ht="42" customHeight="1">
      <c r="A12" s="140">
        <v>4</v>
      </c>
      <c r="B12" s="141" t="s">
        <v>106</v>
      </c>
      <c r="C12" s="149">
        <f>288000+($C$8-30)*$C$14/2</f>
        <v>288000</v>
      </c>
      <c r="D12" s="149">
        <f>307000+($D$8-30)*$D$14/2</f>
        <v>647000</v>
      </c>
      <c r="E12" s="149">
        <f>377000+($E$8-30)*$E$14/2</f>
        <v>377000</v>
      </c>
      <c r="F12" s="149">
        <f>548000+($F$8-30)*$F$14/2</f>
        <v>548000</v>
      </c>
      <c r="G12" s="149">
        <f>499000+($G$8-30)*$G$14/2</f>
        <v>1264000</v>
      </c>
      <c r="H12" s="149">
        <f>625000+($H$8-30)*$H$14/2</f>
        <v>625000</v>
      </c>
      <c r="I12" s="149">
        <f>754000+($I$8-30)*$I$14/2</f>
        <v>1689000</v>
      </c>
      <c r="J12" s="149">
        <f>807000+($J$8-30)*$J$14/2</f>
        <v>807000</v>
      </c>
      <c r="K12" s="149">
        <f>889000+($K$8-30)*$K$14/2</f>
        <v>889000</v>
      </c>
    </row>
    <row r="13" spans="1:11" s="46" customFormat="1" ht="20.25" customHeight="1">
      <c r="A13" s="140"/>
      <c r="B13" s="143"/>
      <c r="C13" s="150"/>
      <c r="D13" s="150"/>
      <c r="E13" s="151"/>
      <c r="F13" s="152"/>
      <c r="G13" s="151"/>
      <c r="H13" s="151"/>
      <c r="I13" s="151"/>
      <c r="J13" s="151"/>
      <c r="K13" s="153"/>
    </row>
    <row r="14" spans="1:11" s="47" customFormat="1" ht="42" customHeight="1">
      <c r="A14" s="144" t="s">
        <v>30</v>
      </c>
      <c r="B14" s="145" t="s">
        <v>31</v>
      </c>
      <c r="C14" s="154">
        <v>4000</v>
      </c>
      <c r="D14" s="154">
        <v>4000</v>
      </c>
      <c r="E14" s="155">
        <v>7000</v>
      </c>
      <c r="F14" s="155">
        <v>11000</v>
      </c>
      <c r="G14" s="155">
        <v>9000</v>
      </c>
      <c r="H14" s="155">
        <v>12000</v>
      </c>
      <c r="I14" s="155">
        <v>17000</v>
      </c>
      <c r="J14" s="155">
        <v>19000</v>
      </c>
      <c r="K14" s="155">
        <v>21000</v>
      </c>
    </row>
    <row r="15" spans="1:11" s="29" customFormat="1" ht="42" customHeight="1">
      <c r="A15" s="138" t="s">
        <v>23</v>
      </c>
      <c r="B15" s="146" t="s">
        <v>24</v>
      </c>
      <c r="C15" s="156"/>
      <c r="D15" s="156"/>
      <c r="E15" s="157"/>
      <c r="F15" s="158"/>
      <c r="G15" s="158"/>
      <c r="H15" s="159"/>
      <c r="I15" s="160"/>
      <c r="J15" s="158"/>
      <c r="K15" s="158"/>
    </row>
    <row r="16" spans="1:11" s="47" customFormat="1" ht="42" customHeight="1">
      <c r="A16" s="147">
        <v>1</v>
      </c>
      <c r="B16" s="148" t="s">
        <v>32</v>
      </c>
      <c r="C16" s="161">
        <v>0.15</v>
      </c>
      <c r="D16" s="161">
        <f>C16</f>
        <v>0.15</v>
      </c>
      <c r="E16" s="161">
        <f t="shared" ref="E16:K16" si="0">D16</f>
        <v>0.15</v>
      </c>
      <c r="F16" s="161">
        <f t="shared" si="0"/>
        <v>0.15</v>
      </c>
      <c r="G16" s="161">
        <f t="shared" si="0"/>
        <v>0.15</v>
      </c>
      <c r="H16" s="161">
        <f t="shared" si="0"/>
        <v>0.15</v>
      </c>
      <c r="I16" s="161">
        <f t="shared" si="0"/>
        <v>0.15</v>
      </c>
      <c r="J16" s="161">
        <f t="shared" si="0"/>
        <v>0.15</v>
      </c>
      <c r="K16" s="161">
        <f t="shared" si="0"/>
        <v>0.15</v>
      </c>
    </row>
    <row r="17" spans="1:11" s="23" customFormat="1" ht="42" customHeight="1">
      <c r="A17" s="147">
        <v>2</v>
      </c>
      <c r="B17" s="141" t="s">
        <v>107</v>
      </c>
      <c r="C17" s="149">
        <f>'[1]Album KTS'!D23</f>
        <v>30000</v>
      </c>
      <c r="D17" s="149">
        <f>'[1]Album KTS'!E23</f>
        <v>30000</v>
      </c>
      <c r="E17" s="149">
        <f>'[1]Album KTS'!F23</f>
        <v>35000</v>
      </c>
      <c r="F17" s="149">
        <f>'[1]Album KTS'!H23</f>
        <v>45000</v>
      </c>
      <c r="G17" s="149">
        <f>'[1]Album KTS'!G23</f>
        <v>40000</v>
      </c>
      <c r="H17" s="149">
        <f>'[1]Album KTS'!J23</f>
        <v>50000</v>
      </c>
      <c r="I17" s="149">
        <f>'[1]Album KTS'!K23</f>
        <v>60000</v>
      </c>
      <c r="J17" s="149">
        <f>'[1]Album KTS'!L23</f>
        <v>60000</v>
      </c>
      <c r="K17" s="149">
        <v>60000</v>
      </c>
    </row>
    <row r="18" spans="1:11" ht="42" customHeight="1">
      <c r="A18" s="147">
        <v>3</v>
      </c>
      <c r="B18" s="141" t="s">
        <v>108</v>
      </c>
      <c r="C18" s="149">
        <f>'[1]Album KTS'!D26</f>
        <v>150000</v>
      </c>
      <c r="D18" s="149">
        <f>'[1]Album KTS'!E26</f>
        <v>180000</v>
      </c>
      <c r="E18" s="149">
        <f>'[1]Album KTS'!F26</f>
        <v>220000</v>
      </c>
      <c r="F18" s="149">
        <f>'[1]Album KTS'!G26</f>
        <v>270000</v>
      </c>
      <c r="G18" s="149">
        <f>'[1]Album KTS'!H26</f>
        <v>270000</v>
      </c>
      <c r="H18" s="149">
        <v>320000</v>
      </c>
      <c r="I18" s="149">
        <f>'[1]Album KTS'!J26</f>
        <v>320000</v>
      </c>
      <c r="J18" s="149">
        <f>'[1]Album KTS'!K26</f>
        <v>350000</v>
      </c>
      <c r="K18" s="149">
        <v>350000</v>
      </c>
    </row>
  </sheetData>
  <mergeCells count="2">
    <mergeCell ref="A4:K4"/>
    <mergeCell ref="A8:B8"/>
  </mergeCells>
  <pageMargins left="0.28000000000000003" right="0.28000000000000003" top="0.3" bottom="0.28999999999999998" header="0.3" footer="0.3"/>
  <pageSetup paperSize="9" scale="74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Q12"/>
  <sheetViews>
    <sheetView zoomScale="85" zoomScaleNormal="85" workbookViewId="0">
      <selection activeCell="D9" sqref="D9"/>
    </sheetView>
  </sheetViews>
  <sheetFormatPr defaultColWidth="9.85546875" defaultRowHeight="15.75"/>
  <cols>
    <col min="1" max="1" width="5.140625" style="33" customWidth="1"/>
    <col min="2" max="2" width="56.140625" style="11" customWidth="1"/>
    <col min="3" max="5" width="23.140625" style="11" customWidth="1"/>
    <col min="6" max="16384" width="9.85546875" style="11"/>
  </cols>
  <sheetData>
    <row r="1" spans="1:199" s="201" customFormat="1">
      <c r="A1" s="197" t="s">
        <v>0</v>
      </c>
      <c r="B1" s="198"/>
      <c r="C1" s="199"/>
      <c r="D1" s="199"/>
      <c r="E1" s="200"/>
    </row>
    <row r="2" spans="1:199" s="201" customFormat="1">
      <c r="A2" s="202" t="s">
        <v>2</v>
      </c>
      <c r="B2" s="203"/>
      <c r="C2" s="199"/>
      <c r="D2" s="199"/>
      <c r="E2" s="200"/>
    </row>
    <row r="3" spans="1:199" s="201" customFormat="1">
      <c r="A3" s="202"/>
      <c r="B3" s="203"/>
      <c r="C3" s="199"/>
      <c r="D3" s="199"/>
      <c r="E3" s="200"/>
    </row>
    <row r="4" spans="1:199" ht="62.65" customHeight="1">
      <c r="A4" s="289" t="s">
        <v>3</v>
      </c>
      <c r="B4" s="289"/>
      <c r="C4" s="289"/>
      <c r="D4" s="289"/>
      <c r="E4" s="28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</row>
    <row r="5" spans="1:199">
      <c r="A5" s="310"/>
      <c r="B5" s="310"/>
      <c r="C5" s="310"/>
      <c r="D5" s="310"/>
      <c r="E5" s="3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</row>
    <row r="6" spans="1:199" ht="22.5" customHeight="1">
      <c r="A6" s="204"/>
      <c r="B6" s="204"/>
      <c r="C6" s="204"/>
      <c r="D6" s="204"/>
      <c r="E6" s="205" t="s">
        <v>125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</row>
    <row r="7" spans="1:199" s="208" customFormat="1" ht="52.9" customHeight="1">
      <c r="A7" s="206" t="s">
        <v>4</v>
      </c>
      <c r="B7" s="206" t="s">
        <v>5</v>
      </c>
      <c r="C7" s="206" t="s">
        <v>8</v>
      </c>
      <c r="D7" s="207" t="s">
        <v>9</v>
      </c>
      <c r="E7" s="207" t="s">
        <v>11</v>
      </c>
    </row>
    <row r="8" spans="1:199" s="210" customFormat="1" ht="34.5" customHeight="1">
      <c r="A8" s="311" t="s">
        <v>126</v>
      </c>
      <c r="B8" s="311"/>
      <c r="C8" s="209">
        <v>30</v>
      </c>
      <c r="D8" s="209">
        <v>30</v>
      </c>
      <c r="E8" s="209">
        <v>30</v>
      </c>
    </row>
    <row r="9" spans="1:199" ht="34.5" customHeight="1">
      <c r="A9" s="117">
        <v>1</v>
      </c>
      <c r="B9" s="211" t="s">
        <v>127</v>
      </c>
      <c r="C9" s="212">
        <v>451000</v>
      </c>
      <c r="D9" s="212">
        <v>740000</v>
      </c>
      <c r="E9" s="212">
        <v>827000</v>
      </c>
    </row>
    <row r="10" spans="1:199" s="210" customFormat="1" ht="34.5" customHeight="1">
      <c r="A10" s="213">
        <v>2</v>
      </c>
      <c r="B10" s="214" t="s">
        <v>128</v>
      </c>
      <c r="C10" s="215">
        <v>18000</v>
      </c>
      <c r="D10" s="212">
        <v>33000</v>
      </c>
      <c r="E10" s="215">
        <v>37000</v>
      </c>
    </row>
    <row r="11" spans="1:199" ht="34.5" customHeight="1">
      <c r="A11" s="117">
        <v>3</v>
      </c>
      <c r="B11" s="211" t="s">
        <v>129</v>
      </c>
      <c r="C11" s="216">
        <v>35000</v>
      </c>
      <c r="D11" s="216">
        <v>45000</v>
      </c>
      <c r="E11" s="216">
        <v>50000</v>
      </c>
    </row>
    <row r="12" spans="1:199" ht="34.5" customHeight="1">
      <c r="A12" s="117">
        <v>4</v>
      </c>
      <c r="B12" s="211" t="s">
        <v>130</v>
      </c>
      <c r="C12" s="216">
        <v>220000</v>
      </c>
      <c r="D12" s="216">
        <v>270000</v>
      </c>
      <c r="E12" s="216">
        <v>270000</v>
      </c>
    </row>
  </sheetData>
  <mergeCells count="3">
    <mergeCell ref="A4:E4"/>
    <mergeCell ref="A5:E5"/>
    <mergeCell ref="A8:B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I12"/>
  <sheetViews>
    <sheetView topLeftCell="A4" workbookViewId="0">
      <selection activeCell="E5" sqref="E5"/>
    </sheetView>
  </sheetViews>
  <sheetFormatPr defaultColWidth="9.85546875" defaultRowHeight="15.75"/>
  <cols>
    <col min="1" max="1" width="11.28515625" style="228" customWidth="1"/>
    <col min="2" max="2" width="50.42578125" style="48" customWidth="1"/>
    <col min="3" max="3" width="14.140625" style="48" customWidth="1"/>
    <col min="4" max="5" width="23.140625" style="48" customWidth="1"/>
    <col min="6" max="16384" width="9.85546875" style="48"/>
  </cols>
  <sheetData>
    <row r="1" spans="1:217" s="53" customFormat="1" ht="25.5">
      <c r="A1" s="49" t="s">
        <v>0</v>
      </c>
      <c r="B1" s="50"/>
      <c r="C1" s="50"/>
      <c r="D1" s="51"/>
      <c r="E1" s="52"/>
    </row>
    <row r="2" spans="1:217" s="53" customFormat="1" ht="15">
      <c r="A2" s="217" t="s">
        <v>2</v>
      </c>
      <c r="B2" s="55"/>
      <c r="C2" s="55"/>
      <c r="D2" s="51"/>
      <c r="E2" s="52"/>
    </row>
    <row r="3" spans="1:217" s="53" customFormat="1" ht="15">
      <c r="A3" s="217"/>
      <c r="B3" s="55"/>
      <c r="C3" s="55"/>
      <c r="D3" s="51"/>
      <c r="E3" s="52"/>
    </row>
    <row r="4" spans="1:217" ht="75.599999999999994" customHeight="1">
      <c r="A4" s="297" t="s">
        <v>131</v>
      </c>
      <c r="B4" s="297"/>
      <c r="C4" s="297"/>
      <c r="D4" s="297"/>
      <c r="E4" s="29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</row>
    <row r="5" spans="1:217" ht="30.95" customHeight="1">
      <c r="A5" s="218" t="s">
        <v>132</v>
      </c>
      <c r="B5" s="56"/>
      <c r="C5" s="56"/>
      <c r="D5" s="56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</row>
    <row r="6" spans="1:217" ht="20.100000000000001" customHeight="1">
      <c r="A6" s="218"/>
      <c r="B6" s="56"/>
      <c r="C6" s="56"/>
      <c r="D6" s="56"/>
      <c r="E6" s="56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</row>
    <row r="7" spans="1:217" s="221" customFormat="1" ht="59.1" customHeight="1">
      <c r="A7" s="219" t="s">
        <v>53</v>
      </c>
      <c r="B7" s="220" t="s">
        <v>133</v>
      </c>
      <c r="C7" s="219" t="s">
        <v>116</v>
      </c>
      <c r="D7" s="219" t="s">
        <v>9</v>
      </c>
      <c r="E7" s="219" t="s">
        <v>11</v>
      </c>
    </row>
    <row r="8" spans="1:217" s="210" customFormat="1" ht="59.1" customHeight="1">
      <c r="A8" s="222">
        <v>1</v>
      </c>
      <c r="B8" s="223" t="s">
        <v>134</v>
      </c>
      <c r="C8" s="224">
        <v>15</v>
      </c>
      <c r="D8" s="225">
        <v>840000</v>
      </c>
      <c r="E8" s="225">
        <v>990000</v>
      </c>
    </row>
    <row r="9" spans="1:217" s="210" customFormat="1" ht="59.1" customHeight="1">
      <c r="A9" s="226">
        <v>2</v>
      </c>
      <c r="B9" s="223" t="s">
        <v>135</v>
      </c>
      <c r="C9" s="225">
        <v>1</v>
      </c>
      <c r="D9" s="227">
        <v>30000</v>
      </c>
      <c r="E9" s="227">
        <v>44000</v>
      </c>
    </row>
    <row r="10" spans="1:217">
      <c r="D10" s="229"/>
    </row>
    <row r="12" spans="1:217">
      <c r="D12" s="229"/>
      <c r="E12" s="229"/>
    </row>
  </sheetData>
  <mergeCells count="1">
    <mergeCell ref="A4:E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C17" sqref="C17"/>
    </sheetView>
  </sheetViews>
  <sheetFormatPr defaultColWidth="9.85546875" defaultRowHeight="15"/>
  <cols>
    <col min="1" max="1" width="8.140625" style="232" customWidth="1"/>
    <col min="2" max="2" width="26.5703125" style="232" customWidth="1"/>
    <col min="3" max="3" width="33.5703125" style="232" customWidth="1"/>
    <col min="4" max="4" width="25" style="232" customWidth="1"/>
    <col min="5" max="6" width="9.85546875" style="232"/>
    <col min="7" max="7" width="10.28515625" style="232" bestFit="1" customWidth="1"/>
    <col min="8" max="8" width="9.85546875" style="232"/>
    <col min="9" max="9" width="12.85546875" style="232" bestFit="1" customWidth="1"/>
    <col min="10" max="16384" width="9.85546875" style="232"/>
  </cols>
  <sheetData>
    <row r="1" spans="1:7">
      <c r="A1" s="230" t="s">
        <v>0</v>
      </c>
      <c r="B1" s="231"/>
      <c r="C1" s="231"/>
      <c r="D1" s="231"/>
    </row>
    <row r="2" spans="1:7">
      <c r="A2" s="233" t="s">
        <v>1</v>
      </c>
      <c r="B2" s="231"/>
      <c r="C2" s="231"/>
      <c r="D2" s="231"/>
    </row>
    <row r="3" spans="1:7">
      <c r="A3" s="233" t="s">
        <v>50</v>
      </c>
      <c r="B3" s="231"/>
      <c r="C3" s="231"/>
      <c r="D3" s="231"/>
    </row>
    <row r="4" spans="1:7">
      <c r="A4" s="233" t="s">
        <v>51</v>
      </c>
      <c r="B4" s="231"/>
      <c r="C4" s="231"/>
      <c r="D4" s="231"/>
    </row>
    <row r="5" spans="1:7" ht="18.75">
      <c r="A5" s="312" t="s">
        <v>136</v>
      </c>
      <c r="B5" s="313"/>
      <c r="C5" s="313"/>
      <c r="D5" s="313"/>
    </row>
    <row r="6" spans="1:7">
      <c r="A6" s="234"/>
      <c r="B6" s="234"/>
      <c r="C6" s="235"/>
      <c r="D6" s="235"/>
    </row>
    <row r="7" spans="1:7" ht="24" customHeight="1">
      <c r="A7" s="236" t="s">
        <v>137</v>
      </c>
      <c r="B7" s="236" t="s">
        <v>138</v>
      </c>
      <c r="C7" s="236" t="s">
        <v>139</v>
      </c>
      <c r="D7" s="236" t="s">
        <v>140</v>
      </c>
    </row>
    <row r="8" spans="1:7" ht="24" customHeight="1">
      <c r="A8" s="237" t="s">
        <v>15</v>
      </c>
      <c r="B8" s="238" t="s">
        <v>141</v>
      </c>
      <c r="C8" s="237"/>
      <c r="D8" s="237"/>
      <c r="G8" s="239"/>
    </row>
    <row r="9" spans="1:7" ht="24" customHeight="1">
      <c r="A9" s="240">
        <v>1</v>
      </c>
      <c r="B9" s="240" t="s">
        <v>83</v>
      </c>
      <c r="C9" s="240" t="s">
        <v>142</v>
      </c>
      <c r="D9" s="241">
        <v>145000</v>
      </c>
      <c r="G9" s="239"/>
    </row>
    <row r="10" spans="1:7" ht="24" customHeight="1">
      <c r="A10" s="240">
        <v>2</v>
      </c>
      <c r="B10" s="240" t="s">
        <v>143</v>
      </c>
      <c r="C10" s="240" t="s">
        <v>142</v>
      </c>
      <c r="D10" s="241">
        <v>284000</v>
      </c>
      <c r="G10" s="239"/>
    </row>
    <row r="11" spans="1:7" ht="24" customHeight="1">
      <c r="A11" s="240">
        <v>3</v>
      </c>
      <c r="B11" s="240" t="s">
        <v>144</v>
      </c>
      <c r="C11" s="240" t="s">
        <v>142</v>
      </c>
      <c r="D11" s="241">
        <v>613000</v>
      </c>
      <c r="G11" s="239"/>
    </row>
    <row r="12" spans="1:7" ht="24" customHeight="1">
      <c r="A12" s="240">
        <v>4</v>
      </c>
      <c r="B12" s="240" t="s">
        <v>145</v>
      </c>
      <c r="C12" s="240" t="s">
        <v>142</v>
      </c>
      <c r="D12" s="241">
        <v>268000</v>
      </c>
      <c r="G12" s="239"/>
    </row>
    <row r="13" spans="1:7" ht="24" customHeight="1">
      <c r="A13" s="240">
        <v>5</v>
      </c>
      <c r="B13" s="240" t="s">
        <v>146</v>
      </c>
      <c r="C13" s="240" t="s">
        <v>142</v>
      </c>
      <c r="D13" s="241">
        <v>415000</v>
      </c>
      <c r="G13" s="239"/>
    </row>
    <row r="14" spans="1:7" ht="24" customHeight="1">
      <c r="A14" s="237" t="s">
        <v>30</v>
      </c>
      <c r="B14" s="242" t="s">
        <v>147</v>
      </c>
      <c r="C14" s="243"/>
      <c r="D14" s="243"/>
    </row>
    <row r="15" spans="1:7" ht="24" customHeight="1">
      <c r="A15" s="240">
        <v>1</v>
      </c>
      <c r="B15" s="240" t="s">
        <v>83</v>
      </c>
      <c r="C15" s="240" t="s">
        <v>148</v>
      </c>
      <c r="D15" s="241">
        <v>111000</v>
      </c>
      <c r="G15" s="239"/>
    </row>
    <row r="16" spans="1:7" ht="24" customHeight="1">
      <c r="A16" s="240">
        <v>2</v>
      </c>
      <c r="B16" s="240" t="s">
        <v>143</v>
      </c>
      <c r="C16" s="240" t="s">
        <v>148</v>
      </c>
      <c r="D16" s="241">
        <v>237000</v>
      </c>
      <c r="G16" s="239"/>
    </row>
    <row r="17" spans="1:8" ht="24" customHeight="1">
      <c r="A17" s="240">
        <v>3</v>
      </c>
      <c r="B17" s="240" t="s">
        <v>144</v>
      </c>
      <c r="C17" s="240" t="s">
        <v>148</v>
      </c>
      <c r="D17" s="241">
        <v>531000</v>
      </c>
      <c r="G17" s="239"/>
    </row>
    <row r="18" spans="1:8" ht="24" customHeight="1">
      <c r="A18" s="240">
        <v>4</v>
      </c>
      <c r="B18" s="240" t="s">
        <v>145</v>
      </c>
      <c r="C18" s="240" t="s">
        <v>148</v>
      </c>
      <c r="D18" s="241">
        <v>215000</v>
      </c>
      <c r="G18" s="239"/>
    </row>
    <row r="19" spans="1:8" ht="24" customHeight="1">
      <c r="A19" s="240">
        <v>5</v>
      </c>
      <c r="B19" s="240" t="s">
        <v>146</v>
      </c>
      <c r="C19" s="240" t="s">
        <v>148</v>
      </c>
      <c r="D19" s="241">
        <v>342000</v>
      </c>
      <c r="F19" s="239"/>
      <c r="G19" s="239"/>
    </row>
    <row r="20" spans="1:8" ht="24" customHeight="1">
      <c r="A20" s="237" t="s">
        <v>23</v>
      </c>
      <c r="B20" s="238" t="s">
        <v>149</v>
      </c>
      <c r="C20" s="237"/>
      <c r="D20" s="237"/>
      <c r="G20" s="239"/>
    </row>
    <row r="21" spans="1:8" ht="24" customHeight="1">
      <c r="A21" s="240">
        <v>1</v>
      </c>
      <c r="B21" s="244" t="s">
        <v>150</v>
      </c>
      <c r="C21" s="240" t="s">
        <v>148</v>
      </c>
      <c r="D21" s="241">
        <v>879000</v>
      </c>
      <c r="G21" s="239"/>
    </row>
    <row r="22" spans="1:8" ht="24" customHeight="1">
      <c r="A22" s="240">
        <v>2</v>
      </c>
      <c r="B22" s="244" t="s">
        <v>151</v>
      </c>
      <c r="C22" s="240" t="s">
        <v>142</v>
      </c>
      <c r="D22" s="241">
        <v>45000</v>
      </c>
      <c r="F22" s="239"/>
      <c r="G22" s="239"/>
      <c r="H22" s="239"/>
    </row>
    <row r="23" spans="1:8" ht="24" customHeight="1">
      <c r="A23" s="240">
        <v>3</v>
      </c>
      <c r="B23" s="244" t="s">
        <v>152</v>
      </c>
      <c r="C23" s="240"/>
      <c r="D23" s="241">
        <v>45000</v>
      </c>
      <c r="F23" s="239"/>
      <c r="G23" s="239"/>
      <c r="H23" s="239"/>
    </row>
    <row r="26" spans="1:8">
      <c r="A26" s="314"/>
      <c r="B26" s="314"/>
      <c r="C26" s="314"/>
      <c r="D26" s="314"/>
    </row>
  </sheetData>
  <mergeCells count="2">
    <mergeCell ref="A5:D5"/>
    <mergeCell ref="A26:D26"/>
  </mergeCells>
  <hyperlinks>
    <hyperlink ref="A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O24"/>
  <sheetViews>
    <sheetView topLeftCell="B1" zoomScale="55" zoomScaleNormal="55" zoomScaleSheetLayoutView="85" workbookViewId="0">
      <selection activeCell="H10" sqref="A1:XFD1048576"/>
    </sheetView>
  </sheetViews>
  <sheetFormatPr defaultColWidth="9.85546875" defaultRowHeight="15.75"/>
  <cols>
    <col min="1" max="1" width="5.140625" style="33" customWidth="1"/>
    <col min="2" max="2" width="28.7109375" style="11" customWidth="1"/>
    <col min="3" max="29" width="10.5703125" style="11" customWidth="1"/>
    <col min="30" max="16384" width="9.85546875" style="11"/>
  </cols>
  <sheetData>
    <row r="1" spans="1:223" s="1" customFormat="1" ht="37.35" customHeight="1">
      <c r="A1" s="5" t="s">
        <v>0</v>
      </c>
      <c r="B1" s="2"/>
      <c r="C1" s="2"/>
      <c r="D1" s="2"/>
      <c r="E1" s="2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8"/>
      <c r="U1" s="7"/>
      <c r="V1" s="7"/>
      <c r="W1" s="8"/>
      <c r="X1" s="7"/>
      <c r="Y1" s="7"/>
      <c r="Z1" s="8"/>
    </row>
    <row r="2" spans="1:223" s="1" customFormat="1" ht="16.5">
      <c r="A2" s="3" t="s">
        <v>2</v>
      </c>
      <c r="B2" s="4"/>
      <c r="C2" s="4"/>
      <c r="D2" s="4"/>
      <c r="E2" s="4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8"/>
      <c r="U2" s="7"/>
      <c r="V2" s="7"/>
      <c r="W2" s="8"/>
      <c r="X2" s="7"/>
      <c r="Y2" s="7"/>
      <c r="Z2" s="8"/>
    </row>
    <row r="3" spans="1:223" s="1" customFormat="1" ht="6.75" customHeight="1">
      <c r="A3" s="9"/>
      <c r="B3" s="4"/>
      <c r="C3" s="4"/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8"/>
      <c r="U3" s="7"/>
      <c r="V3" s="7"/>
      <c r="W3" s="8"/>
      <c r="X3" s="7"/>
      <c r="Y3" s="7"/>
      <c r="Z3" s="8"/>
    </row>
    <row r="4" spans="1:223" ht="38.25" customHeight="1">
      <c r="A4" s="279" t="s">
        <v>3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</row>
    <row r="5" spans="1:223" ht="20.25" customHeight="1">
      <c r="A5" s="280" t="str">
        <f>'[1]Photobook KM'!A5</f>
        <v>Đơn vị tính | Unit: VND | Bìa mềm có kích thước nhỏ hơn khoảng 5mm xén từ 3 chiều | softcover books are smaller by a minimum of 5cm trimming margin from 3 sides.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</row>
    <row r="6" spans="1:223" ht="20.25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2"/>
      <c r="AB6" s="12"/>
      <c r="AC6" s="12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</row>
    <row r="7" spans="1:223" s="39" customFormat="1" ht="36" customHeight="1">
      <c r="A7" s="38" t="s">
        <v>4</v>
      </c>
      <c r="B7" s="38" t="s">
        <v>5</v>
      </c>
      <c r="C7" s="270" t="s">
        <v>6</v>
      </c>
      <c r="D7" s="270"/>
      <c r="E7" s="270"/>
      <c r="F7" s="270" t="s">
        <v>7</v>
      </c>
      <c r="G7" s="270"/>
      <c r="H7" s="270"/>
      <c r="I7" s="270" t="s">
        <v>8</v>
      </c>
      <c r="J7" s="270"/>
      <c r="K7" s="270"/>
      <c r="L7" s="269" t="s">
        <v>9</v>
      </c>
      <c r="M7" s="269"/>
      <c r="N7" s="269"/>
      <c r="O7" s="269" t="s">
        <v>10</v>
      </c>
      <c r="P7" s="269"/>
      <c r="Q7" s="269"/>
      <c r="R7" s="269" t="s">
        <v>11</v>
      </c>
      <c r="S7" s="269"/>
      <c r="T7" s="269"/>
      <c r="U7" s="269" t="s">
        <v>12</v>
      </c>
      <c r="V7" s="269"/>
      <c r="W7" s="269"/>
      <c r="X7" s="269" t="s">
        <v>13</v>
      </c>
      <c r="Y7" s="269"/>
      <c r="Z7" s="269"/>
      <c r="AA7" s="269" t="s">
        <v>109</v>
      </c>
      <c r="AB7" s="269"/>
      <c r="AC7" s="269"/>
    </row>
    <row r="8" spans="1:223" s="17" customFormat="1" ht="23.1" customHeight="1">
      <c r="A8" s="272" t="s">
        <v>14</v>
      </c>
      <c r="B8" s="272"/>
      <c r="C8" s="273">
        <v>30</v>
      </c>
      <c r="D8" s="273"/>
      <c r="E8" s="273"/>
      <c r="F8" s="271">
        <v>30</v>
      </c>
      <c r="G8" s="271"/>
      <c r="H8" s="271"/>
      <c r="I8" s="271">
        <v>30</v>
      </c>
      <c r="J8" s="271"/>
      <c r="K8" s="271"/>
      <c r="L8" s="271">
        <v>30</v>
      </c>
      <c r="M8" s="271"/>
      <c r="N8" s="271"/>
      <c r="O8" s="271">
        <v>30</v>
      </c>
      <c r="P8" s="271"/>
      <c r="Q8" s="271"/>
      <c r="R8" s="271">
        <v>30</v>
      </c>
      <c r="S8" s="271"/>
      <c r="T8" s="271"/>
      <c r="U8" s="271">
        <v>30</v>
      </c>
      <c r="V8" s="271"/>
      <c r="W8" s="271"/>
      <c r="X8" s="271">
        <v>30</v>
      </c>
      <c r="Y8" s="271"/>
      <c r="Z8" s="271"/>
      <c r="AA8" s="271">
        <v>30</v>
      </c>
      <c r="AB8" s="271"/>
      <c r="AC8" s="271"/>
    </row>
    <row r="9" spans="1:223" s="17" customFormat="1" ht="42.75" customHeight="1">
      <c r="A9" s="14" t="s">
        <v>15</v>
      </c>
      <c r="B9" s="15" t="s">
        <v>16</v>
      </c>
      <c r="C9" s="16" t="s">
        <v>17</v>
      </c>
      <c r="D9" s="16" t="s">
        <v>18</v>
      </c>
      <c r="E9" s="16" t="s">
        <v>19</v>
      </c>
      <c r="F9" s="16" t="s">
        <v>17</v>
      </c>
      <c r="G9" s="16" t="s">
        <v>18</v>
      </c>
      <c r="H9" s="16" t="s">
        <v>19</v>
      </c>
      <c r="I9" s="16" t="s">
        <v>17</v>
      </c>
      <c r="J9" s="16" t="s">
        <v>18</v>
      </c>
      <c r="K9" s="16" t="s">
        <v>19</v>
      </c>
      <c r="L9" s="16" t="s">
        <v>17</v>
      </c>
      <c r="M9" s="16" t="s">
        <v>18</v>
      </c>
      <c r="N9" s="16" t="s">
        <v>19</v>
      </c>
      <c r="O9" s="16" t="s">
        <v>17</v>
      </c>
      <c r="P9" s="16" t="s">
        <v>18</v>
      </c>
      <c r="Q9" s="16" t="s">
        <v>19</v>
      </c>
      <c r="R9" s="16" t="s">
        <v>17</v>
      </c>
      <c r="S9" s="16" t="s">
        <v>18</v>
      </c>
      <c r="T9" s="16" t="s">
        <v>19</v>
      </c>
      <c r="U9" s="16" t="s">
        <v>17</v>
      </c>
      <c r="V9" s="16" t="s">
        <v>18</v>
      </c>
      <c r="W9" s="16" t="s">
        <v>19</v>
      </c>
      <c r="X9" s="16" t="s">
        <v>17</v>
      </c>
      <c r="Y9" s="16" t="s">
        <v>18</v>
      </c>
      <c r="Z9" s="16" t="s">
        <v>19</v>
      </c>
      <c r="AA9" s="16" t="s">
        <v>17</v>
      </c>
      <c r="AB9" s="16" t="s">
        <v>18</v>
      </c>
      <c r="AC9" s="16" t="s">
        <v>19</v>
      </c>
    </row>
    <row r="10" spans="1:223" s="22" customFormat="1" ht="34.5" customHeight="1">
      <c r="A10" s="18">
        <v>1</v>
      </c>
      <c r="B10" s="19" t="s">
        <v>110</v>
      </c>
      <c r="C10" s="20">
        <f>161000+($C$8-30)*$C$14/2</f>
        <v>161000</v>
      </c>
      <c r="D10" s="20">
        <f>181000+($C$8-30)*$D$14/2</f>
        <v>181000</v>
      </c>
      <c r="E10" s="20">
        <f>193000+($C$8-30)*$E$14/2</f>
        <v>193000</v>
      </c>
      <c r="F10" s="20">
        <f>205000+($F$8-30)*$F$14/2</f>
        <v>205000</v>
      </c>
      <c r="G10" s="20">
        <f>230000+($F$8-30)*$G$14/2</f>
        <v>230000</v>
      </c>
      <c r="H10" s="20">
        <f>254000+($F$8-30)*$H$14/2</f>
        <v>254000</v>
      </c>
      <c r="I10" s="20">
        <f>274000+($I$8-30)*$I$14/2</f>
        <v>274000</v>
      </c>
      <c r="J10" s="20">
        <f>307000+($I$8-30)*$J$14/2</f>
        <v>307000</v>
      </c>
      <c r="K10" s="20">
        <f>331000+($I$8-30)*$K$14/2</f>
        <v>331000</v>
      </c>
      <c r="L10" s="20">
        <f>487000+($L$8-30)*$L$14/2</f>
        <v>487000</v>
      </c>
      <c r="M10" s="20">
        <f>539000+($L$8-30)*$M$14/2</f>
        <v>539000</v>
      </c>
      <c r="N10" s="20">
        <f>576000+($L$8-30)*$N$14/2</f>
        <v>576000</v>
      </c>
      <c r="O10" s="20">
        <f>400000+($O$8-30)*$O$14/2</f>
        <v>400000</v>
      </c>
      <c r="P10" s="20">
        <f>445000+($O$8-30)*$P$14/2</f>
        <v>445000</v>
      </c>
      <c r="Q10" s="20">
        <f>482000+($O$8-30)*$Q$14/2</f>
        <v>482000</v>
      </c>
      <c r="R10" s="20">
        <f>548000+($R$8-30)*$R$14/2</f>
        <v>548000</v>
      </c>
      <c r="S10" s="20">
        <f>601000+($R$8-30)*$S$14/2</f>
        <v>601000</v>
      </c>
      <c r="T10" s="20">
        <f>650000+($R$8-30)*$T$14/2</f>
        <v>650000</v>
      </c>
      <c r="U10" s="20">
        <f>635000+($U$8-30)*$U$14/2</f>
        <v>635000</v>
      </c>
      <c r="V10" s="20">
        <f>691000+($U$8-30)*$V$14/2</f>
        <v>691000</v>
      </c>
      <c r="W10" s="20">
        <f>752000+($U$8-30)*$W$14/2</f>
        <v>752000</v>
      </c>
      <c r="X10" s="20">
        <f>761000+($X$8-30)*$X$14/2</f>
        <v>761000</v>
      </c>
      <c r="Y10" s="20">
        <f>840000+($X$8-30)*$Y$14/2</f>
        <v>840000</v>
      </c>
      <c r="Z10" s="20">
        <f>906000+($X$8-30)*$Z$14/2</f>
        <v>906000</v>
      </c>
      <c r="AA10" s="20">
        <f>822000+($AA$8-30)*$AA$14/2</f>
        <v>822000</v>
      </c>
      <c r="AB10" s="20">
        <f>865000+($AA$8-30)*$AB$14/2</f>
        <v>865000</v>
      </c>
      <c r="AC10" s="20">
        <f>938000+($AA$8-30)*$AC$14/2</f>
        <v>938000</v>
      </c>
    </row>
    <row r="11" spans="1:223" s="23" customFormat="1" ht="36" customHeight="1">
      <c r="A11" s="18">
        <v>2</v>
      </c>
      <c r="B11" s="19" t="s">
        <v>111</v>
      </c>
      <c r="C11" s="20">
        <f>204000+($C$8-30)*$C$14/2</f>
        <v>204000</v>
      </c>
      <c r="D11" s="20">
        <f>224000+($C$8-30)*$D$14/2</f>
        <v>224000</v>
      </c>
      <c r="E11" s="20">
        <f>237000+($C$8-30)*$E$14/2</f>
        <v>237000</v>
      </c>
      <c r="F11" s="20">
        <f>257000+($F$8-30)*$F$14/2</f>
        <v>257000</v>
      </c>
      <c r="G11" s="20">
        <f>281000+($F$8-30)*$G$14/2</f>
        <v>281000</v>
      </c>
      <c r="H11" s="20">
        <f>305000+($F$8-30)*$H$14/2</f>
        <v>305000</v>
      </c>
      <c r="I11" s="20">
        <f>330000+($I$8-30)*$I$14/2</f>
        <v>330000</v>
      </c>
      <c r="J11" s="20">
        <f>363000+($I$8-30)*$J$14/2</f>
        <v>363000</v>
      </c>
      <c r="K11" s="20">
        <f>387000+($I$8-30)*$K$14/2</f>
        <v>387000</v>
      </c>
      <c r="L11" s="20">
        <f>574000+($L$8-30)*$L$14/2</f>
        <v>574000</v>
      </c>
      <c r="M11" s="20">
        <f>626000+($L$8-30)*$M$14/2</f>
        <v>626000</v>
      </c>
      <c r="N11" s="20">
        <f>663000+($L$8-30)*$N$14/2</f>
        <v>663000</v>
      </c>
      <c r="O11" s="20">
        <f>481000+($O$8-30)*$O$14/2</f>
        <v>481000</v>
      </c>
      <c r="P11" s="20">
        <f>526000+($O$8-30)*$P$14/2</f>
        <v>526000</v>
      </c>
      <c r="Q11" s="20">
        <f>563000+($O$8-30)*$Q$14/2</f>
        <v>563000</v>
      </c>
      <c r="R11" s="20">
        <f>679000+($R$8-30)*$R$14/2</f>
        <v>679000</v>
      </c>
      <c r="S11" s="20">
        <f>732000+($R$8-30)*$S$14/2</f>
        <v>732000</v>
      </c>
      <c r="T11" s="20">
        <f>780000+($R$8-30)*$T$14/2</f>
        <v>780000</v>
      </c>
      <c r="U11" s="20">
        <f>748000+($U$8-30)*$U$14/2</f>
        <v>748000</v>
      </c>
      <c r="V11" s="20">
        <f>804000+($U$8-30)*$V$14/2</f>
        <v>804000</v>
      </c>
      <c r="W11" s="20">
        <f>865000+($U$8-30)*$W$14/2</f>
        <v>865000</v>
      </c>
      <c r="X11" s="20">
        <f>883000+($X$8-30)*$X$14/2</f>
        <v>883000</v>
      </c>
      <c r="Y11" s="20">
        <f>962000+($X$8-30)*$Y$14/2</f>
        <v>962000</v>
      </c>
      <c r="Z11" s="20">
        <f>1027000+($X$8-30)*$Z$14/2</f>
        <v>1027000</v>
      </c>
      <c r="AA11" s="20">
        <f>987000+($AA$8-30)*$AA$14/2</f>
        <v>987000</v>
      </c>
      <c r="AB11" s="20">
        <f>1030000+($AA$8-30)*$AB$14/2</f>
        <v>1030000</v>
      </c>
      <c r="AC11" s="20">
        <f>1103000+($AA$8-30)*$AC$14/2</f>
        <v>1103000</v>
      </c>
    </row>
    <row r="12" spans="1:223" s="23" customFormat="1" ht="31.5" customHeight="1">
      <c r="A12" s="18">
        <v>3</v>
      </c>
      <c r="B12" s="19" t="s">
        <v>112</v>
      </c>
      <c r="C12" s="20">
        <f>270000+($C$8-30)*$C$14/2</f>
        <v>270000</v>
      </c>
      <c r="D12" s="20">
        <f>290000+($C$8-30)*$D$14/2</f>
        <v>290000</v>
      </c>
      <c r="E12" s="20">
        <f>302000+($C$8-30)*$E$14/2</f>
        <v>302000</v>
      </c>
      <c r="F12" s="20">
        <f>327000+($F$8-30)*$F$14/2</f>
        <v>327000</v>
      </c>
      <c r="G12" s="20">
        <f>351000+($F$8-30)*$G$14/2</f>
        <v>351000</v>
      </c>
      <c r="H12" s="20">
        <f>376000+($F$8-30)*$H$14/2</f>
        <v>376000</v>
      </c>
      <c r="I12" s="20">
        <f>418000+($I$8-30)*$I$14/2</f>
        <v>418000</v>
      </c>
      <c r="J12" s="20">
        <f>451000+($I$8-30)*$J$14/2</f>
        <v>451000</v>
      </c>
      <c r="K12" s="20">
        <f>475000+($I$8-30)*$K$14/2</f>
        <v>475000</v>
      </c>
      <c r="L12" s="20">
        <f>687000+($L$8-30)*$L$14/2</f>
        <v>687000</v>
      </c>
      <c r="M12" s="20">
        <f>740000+($L$8-30)*$M$14/2</f>
        <v>740000</v>
      </c>
      <c r="N12" s="20">
        <f>776000+($L$8-30)*$N$14/2</f>
        <v>776000</v>
      </c>
      <c r="O12" s="20">
        <f>600000+($O$8-30)*$O$14/2</f>
        <v>600000</v>
      </c>
      <c r="P12" s="20">
        <f>646000+($O$8-30)*$P$14/2</f>
        <v>646000</v>
      </c>
      <c r="Q12" s="20">
        <f>682000+($O$8-30)*$Q$14/2</f>
        <v>682000</v>
      </c>
      <c r="R12" s="20">
        <f>774000+($R$8-30)*$R$14/2</f>
        <v>774000</v>
      </c>
      <c r="S12" s="20">
        <f>827000+($R$8-30)*$S$14/2</f>
        <v>827000</v>
      </c>
      <c r="T12" s="20">
        <f>876000+($R$8-30)*$T$14/2</f>
        <v>876000</v>
      </c>
      <c r="U12" s="20">
        <f>887000+($U$8-30)*$U$14/2</f>
        <v>887000</v>
      </c>
      <c r="V12" s="20">
        <f>943000+($U$8-30)*$V$14/2</f>
        <v>943000</v>
      </c>
      <c r="W12" s="20">
        <f>1004000+($U$8-30)*$W$14/2</f>
        <v>1004000</v>
      </c>
      <c r="X12" s="20">
        <f>1022000+($X$8-30)*$X$14/2</f>
        <v>1022000</v>
      </c>
      <c r="Y12" s="20">
        <f>1101000+($X$8-30)*$Y$14/2</f>
        <v>1101000</v>
      </c>
      <c r="Z12" s="20">
        <f>1167000+($X$8-30)*$Z$14/2</f>
        <v>1167000</v>
      </c>
      <c r="AA12" s="20">
        <f>1101000+($AA$8-30)*$AA$14/2</f>
        <v>1101000</v>
      </c>
      <c r="AB12" s="20">
        <f>1143000+($AA$8-30)*$AB$14/2</f>
        <v>1143000</v>
      </c>
      <c r="AC12" s="20">
        <f>1216000+($AA$8-30)*$AC$14/2</f>
        <v>1216000</v>
      </c>
    </row>
    <row r="13" spans="1:223" s="23" customFormat="1" ht="40.5" customHeight="1">
      <c r="A13" s="18">
        <v>4</v>
      </c>
      <c r="B13" s="19" t="s">
        <v>21</v>
      </c>
      <c r="C13" s="20">
        <f>293000+($C$8-30)*$C$14/2</f>
        <v>293000</v>
      </c>
      <c r="D13" s="20">
        <f>313000+($C$8-30)*$D$14/2</f>
        <v>313000</v>
      </c>
      <c r="E13" s="20">
        <f>325000+($C$8-30)*$E$14/2</f>
        <v>325000</v>
      </c>
      <c r="F13" s="20">
        <f>353000+($F$8-30)*$F$14/2</f>
        <v>353000</v>
      </c>
      <c r="G13" s="20">
        <f>378000+($F$8-30)*$G$14/2</f>
        <v>378000</v>
      </c>
      <c r="H13" s="20">
        <f>402000+($F$8-30)*$H$14/2</f>
        <v>402000</v>
      </c>
      <c r="I13" s="20">
        <f>402000+($I$8-30)*$I$14/2</f>
        <v>402000</v>
      </c>
      <c r="J13" s="20">
        <f>481000+($I$8-30)*$J$14/2</f>
        <v>481000</v>
      </c>
      <c r="K13" s="20">
        <f>505000+($I$8-30)*$K$14/2</f>
        <v>505000</v>
      </c>
      <c r="L13" s="20">
        <f>731000+($L$8-30)*$L$14/2</f>
        <v>731000</v>
      </c>
      <c r="M13" s="20">
        <f>783000+($L$8-30)*$M$14/2</f>
        <v>783000</v>
      </c>
      <c r="N13" s="20">
        <f>820000+($L$8-30)*$N$14/2</f>
        <v>820000</v>
      </c>
      <c r="O13" s="20">
        <f>642000+($O$8-30)*$O$14/2</f>
        <v>642000</v>
      </c>
      <c r="P13" s="20">
        <f>687000+($O$8-30)*$P$14/2</f>
        <v>687000</v>
      </c>
      <c r="Q13" s="20">
        <f>724000+($O$8-30)*$Q$14/2</f>
        <v>724000</v>
      </c>
      <c r="R13" s="20">
        <f>825000+($R$8-30)*$R$14/2</f>
        <v>825000</v>
      </c>
      <c r="S13" s="20">
        <f>878000+($R$8-30)*$S$14/2</f>
        <v>878000</v>
      </c>
      <c r="T13" s="20">
        <f>927000+($R$8-30)*$T$14/2</f>
        <v>927000</v>
      </c>
      <c r="U13" s="20">
        <f>945000+($U$8-30)*$U$14/2</f>
        <v>945000</v>
      </c>
      <c r="V13" s="20">
        <f>1001000+($U$8-30)*$V$14/2</f>
        <v>1001000</v>
      </c>
      <c r="W13" s="20">
        <f>1061000+($U$8-30)*$W$14/2</f>
        <v>1061000</v>
      </c>
      <c r="X13" s="20">
        <f>1083000+($X$8-30)*$X$14/2</f>
        <v>1083000</v>
      </c>
      <c r="Y13" s="20">
        <f>1162000+($X$8-30)*$Y$14/2</f>
        <v>1162000</v>
      </c>
      <c r="Z13" s="20">
        <f>1228000+($X$8-30)*$Z$14/2</f>
        <v>1228000</v>
      </c>
      <c r="AA13" s="20">
        <f>1165000+($AA$8-30)*$AA$14/2</f>
        <v>1165000</v>
      </c>
      <c r="AB13" s="20">
        <f>1208000+($AA$8-30)*$AB$14/2</f>
        <v>1208000</v>
      </c>
      <c r="AC13" s="20">
        <f>1281000+($AA$8-30)*$AC$14/2</f>
        <v>1281000</v>
      </c>
    </row>
    <row r="14" spans="1:223" s="22" customFormat="1" ht="35.25" customHeight="1">
      <c r="A14" s="24">
        <v>5</v>
      </c>
      <c r="B14" s="25" t="s">
        <v>22</v>
      </c>
      <c r="C14" s="26">
        <v>9000</v>
      </c>
      <c r="D14" s="26">
        <v>10000</v>
      </c>
      <c r="E14" s="26">
        <v>10000</v>
      </c>
      <c r="F14" s="27">
        <v>11000</v>
      </c>
      <c r="G14" s="27">
        <v>13000</v>
      </c>
      <c r="H14" s="27">
        <v>15000</v>
      </c>
      <c r="I14" s="27">
        <v>15000</v>
      </c>
      <c r="J14" s="28">
        <v>18000</v>
      </c>
      <c r="K14" s="28">
        <v>20000</v>
      </c>
      <c r="L14" s="172">
        <v>28000</v>
      </c>
      <c r="M14" s="20">
        <v>33000</v>
      </c>
      <c r="N14" s="20">
        <v>36000</v>
      </c>
      <c r="O14" s="28">
        <v>23000</v>
      </c>
      <c r="P14" s="28">
        <v>27000</v>
      </c>
      <c r="Q14" s="28">
        <v>30000</v>
      </c>
      <c r="R14" s="21">
        <v>30000</v>
      </c>
      <c r="S14" s="28">
        <v>37000</v>
      </c>
      <c r="T14" s="20">
        <v>40000</v>
      </c>
      <c r="U14" s="21">
        <v>36000</v>
      </c>
      <c r="V14" s="21">
        <v>42000</v>
      </c>
      <c r="W14" s="21">
        <v>46000</v>
      </c>
      <c r="X14" s="21">
        <v>49000</v>
      </c>
      <c r="Y14" s="21">
        <v>57000</v>
      </c>
      <c r="Z14" s="21">
        <v>63000</v>
      </c>
      <c r="AA14" s="21">
        <v>56000</v>
      </c>
      <c r="AB14" s="21">
        <v>66000</v>
      </c>
      <c r="AC14" s="21">
        <v>72000</v>
      </c>
    </row>
    <row r="15" spans="1:223" s="29" customFormat="1" ht="7.5" customHeight="1">
      <c r="A15" s="24"/>
      <c r="B15" s="25"/>
      <c r="C15" s="25"/>
      <c r="D15" s="25"/>
      <c r="E15" s="25"/>
      <c r="F15" s="28"/>
      <c r="G15" s="28"/>
      <c r="H15" s="28"/>
      <c r="I15" s="28"/>
      <c r="J15" s="28"/>
      <c r="K15" s="28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</row>
    <row r="16" spans="1:223" s="22" customFormat="1" ht="27.75" customHeight="1">
      <c r="A16" s="30" t="s">
        <v>23</v>
      </c>
      <c r="B16" s="31" t="s">
        <v>24</v>
      </c>
      <c r="C16" s="274" t="str">
        <f>C7</f>
        <v>15 x 15 cm</v>
      </c>
      <c r="D16" s="274"/>
      <c r="E16" s="274"/>
      <c r="F16" s="275" t="str">
        <f>F7</f>
        <v>15 x 20 cm or 20 x 15 cm</v>
      </c>
      <c r="G16" s="275"/>
      <c r="H16" s="275"/>
      <c r="I16" s="275" t="str">
        <f>I7</f>
        <v>20 x 20 cm</v>
      </c>
      <c r="J16" s="275"/>
      <c r="K16" s="275"/>
      <c r="L16" s="275" t="str">
        <f>L7</f>
        <v>25 x 25 cm</v>
      </c>
      <c r="M16" s="275"/>
      <c r="N16" s="275"/>
      <c r="O16" s="275" t="str">
        <f>O7</f>
        <v>30 x 20 cm or 20 x 30 cm</v>
      </c>
      <c r="P16" s="275"/>
      <c r="Q16" s="275"/>
      <c r="R16" s="275" t="str">
        <f>R7</f>
        <v>30 x 30 cm</v>
      </c>
      <c r="S16" s="275"/>
      <c r="T16" s="275"/>
      <c r="U16" s="275" t="str">
        <f>U7</f>
        <v>25 x 35 cm or 35 x 25 cm
30 x 35 cm or 35 x 30cm</v>
      </c>
      <c r="V16" s="275"/>
      <c r="W16" s="275"/>
      <c r="X16" s="275" t="str">
        <f>X7</f>
        <v>40 x 30 cm</v>
      </c>
      <c r="Y16" s="275"/>
      <c r="Z16" s="275"/>
      <c r="AA16" s="275" t="str">
        <f>AA7</f>
        <v>45 x 30 cm</v>
      </c>
      <c r="AB16" s="275"/>
      <c r="AC16" s="275"/>
    </row>
    <row r="17" spans="1:29" s="23" customFormat="1" ht="30" customHeight="1">
      <c r="A17" s="18">
        <v>1</v>
      </c>
      <c r="B17" s="19" t="s">
        <v>113</v>
      </c>
      <c r="C17" s="277">
        <f>'[1]Album KTS OLD'!D23</f>
        <v>30000</v>
      </c>
      <c r="D17" s="278"/>
      <c r="E17" s="278"/>
      <c r="F17" s="277">
        <f>'[1]Album KTS OLD'!E23</f>
        <v>30000</v>
      </c>
      <c r="G17" s="278"/>
      <c r="H17" s="278"/>
      <c r="I17" s="276">
        <f>'[1]Album KTS OLD'!F23</f>
        <v>35000</v>
      </c>
      <c r="J17" s="276"/>
      <c r="K17" s="276"/>
      <c r="L17" s="276">
        <f>'[1]Album KTS OLD'!H23</f>
        <v>45000</v>
      </c>
      <c r="M17" s="276"/>
      <c r="N17" s="276"/>
      <c r="O17" s="276">
        <f>'[1]Album KTS OLD'!G23</f>
        <v>40000</v>
      </c>
      <c r="P17" s="276"/>
      <c r="Q17" s="276"/>
      <c r="R17" s="276">
        <f>'[1]Album KTS OLD'!J23</f>
        <v>50000</v>
      </c>
      <c r="S17" s="276"/>
      <c r="T17" s="276"/>
      <c r="U17" s="276">
        <f>'[1]Album KTS OLD'!K23</f>
        <v>60000</v>
      </c>
      <c r="V17" s="276"/>
      <c r="W17" s="276"/>
      <c r="X17" s="276">
        <f>U17</f>
        <v>60000</v>
      </c>
      <c r="Y17" s="276"/>
      <c r="Z17" s="276"/>
      <c r="AA17" s="276">
        <f>X17</f>
        <v>60000</v>
      </c>
      <c r="AB17" s="276"/>
      <c r="AC17" s="276"/>
    </row>
    <row r="18" spans="1:29" ht="30" customHeight="1">
      <c r="A18" s="18">
        <v>2</v>
      </c>
      <c r="B18" s="19" t="s">
        <v>25</v>
      </c>
      <c r="C18" s="277">
        <f>'[1]Photobook KM'!C24</f>
        <v>150000</v>
      </c>
      <c r="D18" s="278"/>
      <c r="E18" s="278"/>
      <c r="F18" s="276">
        <f>'[1]Photobook KM'!D24</f>
        <v>180000</v>
      </c>
      <c r="G18" s="276"/>
      <c r="H18" s="276"/>
      <c r="I18" s="276">
        <f>'[1]Photobook KM'!E24</f>
        <v>220000</v>
      </c>
      <c r="J18" s="276"/>
      <c r="K18" s="276"/>
      <c r="L18" s="276">
        <f>'[1]Photobook KM'!F24</f>
        <v>270000</v>
      </c>
      <c r="M18" s="276"/>
      <c r="N18" s="276"/>
      <c r="O18" s="276">
        <f>'[1]Photobook KM'!G24</f>
        <v>270000</v>
      </c>
      <c r="P18" s="276"/>
      <c r="Q18" s="276"/>
      <c r="R18" s="276">
        <f>'[1]Photobook KM'!H24</f>
        <v>270000</v>
      </c>
      <c r="S18" s="276"/>
      <c r="T18" s="276"/>
      <c r="U18" s="276">
        <f>'[1]Photobook KM'!I24</f>
        <v>320000</v>
      </c>
      <c r="V18" s="276"/>
      <c r="W18" s="276"/>
      <c r="X18" s="276">
        <f>'[1]Photobook KM'!J24</f>
        <v>350000</v>
      </c>
      <c r="Y18" s="276"/>
      <c r="Z18" s="276"/>
      <c r="AA18" s="276">
        <v>350000</v>
      </c>
      <c r="AB18" s="276"/>
      <c r="AC18" s="276"/>
    </row>
    <row r="19" spans="1:29" hidden="1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 t="str">
        <f>'[1]Photobook KM'!J25</f>
        <v>Thêm 30% &amp; 10% cho Khách hàng lẻ và doanh nghiệp| Additional charge of 30% &amp; 10% for indivual and business clients.</v>
      </c>
      <c r="U19" s="34"/>
      <c r="V19" s="34"/>
      <c r="W19" s="35"/>
      <c r="X19" s="34"/>
      <c r="Y19" s="34"/>
      <c r="Z19" s="35"/>
    </row>
    <row r="20" spans="1:29" hidden="1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5" t="e">
        <f>'[1]Prints SSN'!#REF!</f>
        <v>#REF!</v>
      </c>
      <c r="U20" s="34"/>
      <c r="V20" s="34"/>
      <c r="W20" s="35"/>
      <c r="X20" s="34"/>
      <c r="Y20" s="34"/>
      <c r="Z20" s="35"/>
    </row>
    <row r="21" spans="1:29" ht="15.6" hidden="1" customHeight="1">
      <c r="A21" s="36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5" t="e">
        <f>'[1]Prints SSN'!#REF!</f>
        <v>#REF!</v>
      </c>
      <c r="U21" s="34"/>
      <c r="V21" s="34"/>
      <c r="W21" s="35"/>
      <c r="X21" s="34"/>
      <c r="Y21" s="34"/>
      <c r="Z21" s="35"/>
    </row>
    <row r="22" spans="1:29" ht="23.25" hidden="1" customHeight="1">
      <c r="A22" s="281" t="s">
        <v>26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40"/>
      <c r="V22" s="40"/>
      <c r="W22" s="40"/>
      <c r="X22" s="40"/>
      <c r="Y22" s="40"/>
      <c r="Z22" s="40"/>
    </row>
    <row r="23" spans="1:29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9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</sheetData>
  <mergeCells count="49">
    <mergeCell ref="A4:AC4"/>
    <mergeCell ref="A5:AC5"/>
    <mergeCell ref="A22:T22"/>
    <mergeCell ref="AA7:AC7"/>
    <mergeCell ref="AA8:AC8"/>
    <mergeCell ref="AA16:AC16"/>
    <mergeCell ref="AA17:AC17"/>
    <mergeCell ref="AA18:AC18"/>
    <mergeCell ref="U18:W18"/>
    <mergeCell ref="X18:Z18"/>
    <mergeCell ref="C18:E18"/>
    <mergeCell ref="F18:H18"/>
    <mergeCell ref="I18:K18"/>
    <mergeCell ref="L18:N18"/>
    <mergeCell ref="O18:Q18"/>
    <mergeCell ref="R18:T18"/>
    <mergeCell ref="C17:E17"/>
    <mergeCell ref="F17:H17"/>
    <mergeCell ref="I17:K17"/>
    <mergeCell ref="L17:N17"/>
    <mergeCell ref="O17:Q17"/>
    <mergeCell ref="R17:T17"/>
    <mergeCell ref="U17:W17"/>
    <mergeCell ref="X17:Z17"/>
    <mergeCell ref="U16:W16"/>
    <mergeCell ref="X16:Z16"/>
    <mergeCell ref="R16:T16"/>
    <mergeCell ref="C16:E16"/>
    <mergeCell ref="F16:H16"/>
    <mergeCell ref="I16:K16"/>
    <mergeCell ref="L16:N16"/>
    <mergeCell ref="O16:Q16"/>
    <mergeCell ref="R8:T8"/>
    <mergeCell ref="U8:W8"/>
    <mergeCell ref="X8:Z8"/>
    <mergeCell ref="A8:B8"/>
    <mergeCell ref="C8:E8"/>
    <mergeCell ref="F8:H8"/>
    <mergeCell ref="I8:K8"/>
    <mergeCell ref="L8:N8"/>
    <mergeCell ref="O8:Q8"/>
    <mergeCell ref="X7:Z7"/>
    <mergeCell ref="C7:E7"/>
    <mergeCell ref="F7:H7"/>
    <mergeCell ref="I7:K7"/>
    <mergeCell ref="L7:N7"/>
    <mergeCell ref="O7:Q7"/>
    <mergeCell ref="R7:T7"/>
    <mergeCell ref="U7:W7"/>
  </mergeCells>
  <pageMargins left="0.23" right="0.31" top="0.33" bottom="0.34" header="0.3" footer="0.3"/>
  <pageSetup paperSize="9" scale="44" orientation="landscape" verticalDpi="1200" r:id="rId1"/>
  <colBreaks count="1" manualBreakCount="1">
    <brk id="2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S17"/>
  <sheetViews>
    <sheetView view="pageBreakPreview" zoomScale="85" zoomScaleNormal="70" zoomScaleSheetLayoutView="85" workbookViewId="0">
      <selection activeCell="K6" sqref="K6"/>
    </sheetView>
  </sheetViews>
  <sheetFormatPr defaultColWidth="9.85546875" defaultRowHeight="15.75"/>
  <cols>
    <col min="1" max="1" width="7.28515625" style="33" customWidth="1"/>
    <col min="2" max="2" width="36.85546875" style="11" customWidth="1"/>
    <col min="3" max="3" width="9.5703125" style="11" customWidth="1"/>
    <col min="4" max="4" width="13.85546875" style="11" customWidth="1"/>
    <col min="5" max="5" width="16.140625" style="11" customWidth="1"/>
    <col min="6" max="9" width="13.85546875" style="11" customWidth="1"/>
    <col min="10" max="10" width="8" style="11" hidden="1" customWidth="1"/>
    <col min="11" max="11" width="15.140625" style="11" customWidth="1"/>
    <col min="12" max="16384" width="9.85546875" style="11"/>
  </cols>
  <sheetData>
    <row r="1" spans="1:227" s="1" customFormat="1" ht="36" customHeight="1">
      <c r="A1" s="113" t="s">
        <v>0</v>
      </c>
      <c r="B1" s="2"/>
      <c r="C1" s="2"/>
      <c r="D1" s="2"/>
      <c r="E1" s="2"/>
      <c r="F1" s="2"/>
      <c r="G1" s="2"/>
      <c r="H1" s="6"/>
      <c r="I1" s="7"/>
      <c r="J1" s="7"/>
      <c r="K1" s="7"/>
    </row>
    <row r="2" spans="1:227" s="1" customFormat="1" ht="18.600000000000001" customHeight="1">
      <c r="A2" s="9" t="str">
        <f>'[1]Photobook SSN'!A2</f>
        <v>215/11 Huỳnh Văn Bánh, P.12, Q. Phú Nhuận | Điện thoại: 08 399 77 224 - 399 77 225 | www.inantuyetvoi.vn</v>
      </c>
      <c r="B2" s="4"/>
      <c r="C2" s="4"/>
      <c r="D2" s="4"/>
      <c r="E2" s="4"/>
      <c r="F2" s="4"/>
      <c r="G2" s="4"/>
      <c r="H2" s="6"/>
      <c r="I2" s="7"/>
      <c r="J2" s="7"/>
      <c r="K2" s="7"/>
    </row>
    <row r="3" spans="1:227" ht="57" customHeight="1">
      <c r="A3" s="285" t="s">
        <v>33</v>
      </c>
      <c r="B3" s="286"/>
      <c r="C3" s="286"/>
      <c r="D3" s="286"/>
      <c r="E3" s="286"/>
      <c r="F3" s="286"/>
      <c r="G3" s="286"/>
      <c r="H3" s="286"/>
      <c r="I3" s="286"/>
      <c r="J3" s="41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</row>
    <row r="4" spans="1:227" ht="19.5" customHeight="1">
      <c r="A4" s="42" t="str">
        <f>'[1]Photobook KM'!A5</f>
        <v>Đơn vị tính | Unit: VND | Bìa mềm có kích thước nhỏ hơn khoảng 5mm xén từ 3 chiều | softcover books are smaller by a minimum of 5cm trimming margin from 3 sides.</v>
      </c>
      <c r="B4" s="41"/>
      <c r="C4" s="41"/>
      <c r="D4" s="42"/>
      <c r="E4" s="41"/>
      <c r="F4" s="41"/>
      <c r="G4" s="41"/>
      <c r="H4" s="41"/>
      <c r="I4" s="41"/>
      <c r="J4" s="41"/>
      <c r="K4" s="41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</row>
    <row r="5" spans="1:227" ht="19.5" customHeight="1">
      <c r="A5" s="42"/>
      <c r="B5" s="41"/>
      <c r="C5" s="41"/>
      <c r="D5" s="42"/>
      <c r="E5" s="41"/>
      <c r="F5" s="41"/>
      <c r="G5" s="41"/>
      <c r="H5" s="41"/>
      <c r="I5" s="41"/>
      <c r="J5" s="41"/>
      <c r="K5" s="41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</row>
    <row r="6" spans="1:227" s="116" customFormat="1" ht="51">
      <c r="A6" s="114" t="s">
        <v>15</v>
      </c>
      <c r="B6" s="115" t="s">
        <v>91</v>
      </c>
      <c r="C6" s="114" t="s">
        <v>116</v>
      </c>
      <c r="D6" s="114" t="s">
        <v>35</v>
      </c>
      <c r="E6" s="114" t="s">
        <v>114</v>
      </c>
      <c r="F6" s="114" t="s">
        <v>115</v>
      </c>
      <c r="G6" s="114" t="s">
        <v>118</v>
      </c>
      <c r="H6" s="60" t="s">
        <v>36</v>
      </c>
      <c r="I6" s="60" t="s">
        <v>41</v>
      </c>
      <c r="J6" s="60" t="s">
        <v>37</v>
      </c>
      <c r="K6" s="60" t="s">
        <v>119</v>
      </c>
    </row>
    <row r="7" spans="1:227" ht="39.75" customHeight="1">
      <c r="A7" s="175">
        <v>1</v>
      </c>
      <c r="B7" s="176" t="s">
        <v>122</v>
      </c>
      <c r="C7" s="117">
        <v>10</v>
      </c>
      <c r="D7" s="118">
        <f>259000+($C$7-10)*$D$12</f>
        <v>259000</v>
      </c>
      <c r="E7" s="118">
        <f>292000+($C$7-10)*$E$12</f>
        <v>292000</v>
      </c>
      <c r="F7" s="118">
        <f>328000+($C$7-10)*$F$12</f>
        <v>328000</v>
      </c>
      <c r="G7" s="118">
        <f>435000+($C$7-10)*$G$12</f>
        <v>435000</v>
      </c>
      <c r="H7" s="118">
        <f>553000+($C$7-10)*$H$12</f>
        <v>553000</v>
      </c>
      <c r="I7" s="177" t="s">
        <v>117</v>
      </c>
      <c r="J7" s="177">
        <f>553000+($C$7-10)*$H$12</f>
        <v>553000</v>
      </c>
      <c r="K7" s="177" t="s">
        <v>117</v>
      </c>
    </row>
    <row r="8" spans="1:227" s="17" customFormat="1" ht="39.75" customHeight="1">
      <c r="A8" s="173">
        <v>2</v>
      </c>
      <c r="B8" s="174" t="s">
        <v>92</v>
      </c>
      <c r="C8" s="117">
        <v>10</v>
      </c>
      <c r="D8" s="118">
        <f>331000+($C$8-10)*$D$12</f>
        <v>331000</v>
      </c>
      <c r="E8" s="118">
        <f>374000+($C$8-10)*$E$12</f>
        <v>374000</v>
      </c>
      <c r="F8" s="118">
        <f>410000+($C$8-10)*$F$12</f>
        <v>410000</v>
      </c>
      <c r="G8" s="118">
        <f>547000+($C$8-10)*$G$12</f>
        <v>547000</v>
      </c>
      <c r="H8" s="118">
        <f>619000+($C$8-10)*$H$12</f>
        <v>619000</v>
      </c>
      <c r="I8" s="118">
        <f>696000+($C$8-10)*$I$12</f>
        <v>696000</v>
      </c>
      <c r="J8" s="118">
        <f>553000+($C$7-10)*$H$12</f>
        <v>553000</v>
      </c>
      <c r="K8" s="118">
        <f>838000+($C$8-10)*$K$12</f>
        <v>838000</v>
      </c>
    </row>
    <row r="9" spans="1:227" s="17" customFormat="1" ht="39.75" customHeight="1">
      <c r="A9" s="173">
        <v>3</v>
      </c>
      <c r="B9" s="174" t="s">
        <v>93</v>
      </c>
      <c r="C9" s="117">
        <v>10</v>
      </c>
      <c r="D9" s="118">
        <f>412000+($C$9-10)*$D$12</f>
        <v>412000</v>
      </c>
      <c r="E9" s="118">
        <f>466000+($C$9-10)*$E$12</f>
        <v>466000</v>
      </c>
      <c r="F9" s="118">
        <f>519000+($C$9-10)*$F$12</f>
        <v>519000</v>
      </c>
      <c r="G9" s="118">
        <f>702000+($C$9-10)*$G$12</f>
        <v>702000</v>
      </c>
      <c r="H9" s="118">
        <f>760000+($C$9-10)*$H$12</f>
        <v>760000</v>
      </c>
      <c r="I9" s="118">
        <f>815000+($C$9-10)*$I$12</f>
        <v>815000</v>
      </c>
      <c r="J9" s="118">
        <f>553000+($C$7-10)*$H$12</f>
        <v>553000</v>
      </c>
      <c r="K9" s="118">
        <f>990000+($C$9-10)*$K$12</f>
        <v>990000</v>
      </c>
    </row>
    <row r="10" spans="1:227" s="17" customFormat="1" ht="39.75" customHeight="1">
      <c r="A10" s="173">
        <v>4</v>
      </c>
      <c r="B10" s="174" t="s">
        <v>94</v>
      </c>
      <c r="C10" s="117">
        <v>10</v>
      </c>
      <c r="D10" s="118">
        <f>442000+($C$10-10)*$D$12</f>
        <v>442000</v>
      </c>
      <c r="E10" s="118">
        <f>499000+($C$10-10)*$E$12</f>
        <v>499000</v>
      </c>
      <c r="F10" s="118">
        <f>557000+($C$10-10)*$F$12</f>
        <v>557000</v>
      </c>
      <c r="G10" s="118">
        <f>753000+($C$10-10)*$G$12</f>
        <v>753000</v>
      </c>
      <c r="H10" s="118">
        <f>814000+($C$10-10)*$H$12</f>
        <v>814000</v>
      </c>
      <c r="I10" s="118">
        <f>877000+($C$10-10)*$I$12</f>
        <v>877000</v>
      </c>
      <c r="J10" s="118">
        <f>553000+($C$7-10)*$H$12</f>
        <v>553000</v>
      </c>
      <c r="K10" s="118">
        <f>1061000+($C$10-10)*$K$12</f>
        <v>1061000</v>
      </c>
    </row>
    <row r="11" spans="1:227" s="13" customFormat="1" ht="12" customHeight="1">
      <c r="A11" s="119"/>
      <c r="B11" s="120"/>
      <c r="C11" s="120"/>
      <c r="D11" s="120"/>
      <c r="E11" s="121"/>
      <c r="F11" s="121"/>
      <c r="G11" s="122"/>
      <c r="H11" s="122"/>
      <c r="I11" s="122"/>
      <c r="J11" s="122"/>
      <c r="K11" s="123"/>
    </row>
    <row r="12" spans="1:227" ht="25.5" customHeight="1">
      <c r="A12" s="124" t="s">
        <v>30</v>
      </c>
      <c r="B12" s="284" t="s">
        <v>40</v>
      </c>
      <c r="C12" s="284"/>
      <c r="D12" s="180">
        <v>24000</v>
      </c>
      <c r="E12" s="180">
        <v>25000</v>
      </c>
      <c r="F12" s="180">
        <v>29000</v>
      </c>
      <c r="G12" s="180">
        <v>42000</v>
      </c>
      <c r="H12" s="180">
        <v>35000</v>
      </c>
      <c r="I12" s="181">
        <v>45000</v>
      </c>
      <c r="J12" s="182"/>
      <c r="K12" s="181">
        <v>53000</v>
      </c>
    </row>
    <row r="13" spans="1:227" s="13" customFormat="1">
      <c r="A13" s="125"/>
      <c r="B13" s="126"/>
      <c r="C13" s="126"/>
      <c r="D13" s="126"/>
      <c r="E13" s="126"/>
      <c r="F13" s="126"/>
      <c r="G13" s="126"/>
      <c r="H13" s="127"/>
      <c r="I13" s="127"/>
      <c r="J13" s="127"/>
      <c r="K13" s="128"/>
    </row>
    <row r="14" spans="1:227" s="129" customFormat="1" ht="38.25">
      <c r="A14" s="44" t="s">
        <v>23</v>
      </c>
      <c r="B14" s="272" t="s">
        <v>24</v>
      </c>
      <c r="C14" s="272"/>
      <c r="D14" s="14" t="str">
        <f t="shared" ref="D14:J14" si="0">D6</f>
        <v>Khổ 15 x 15 cm</v>
      </c>
      <c r="E14" s="14" t="str">
        <f t="shared" si="0"/>
        <v xml:space="preserve">Khổ 15 x 20 cm </v>
      </c>
      <c r="F14" s="14" t="str">
        <f t="shared" si="0"/>
        <v>Khổ 20 x 20 cm</v>
      </c>
      <c r="G14" s="14" t="str">
        <f t="shared" si="0"/>
        <v xml:space="preserve">Khổ 20 x 30 cm </v>
      </c>
      <c r="H14" s="14" t="str">
        <f t="shared" si="0"/>
        <v>Khổ 25 x 25 cm</v>
      </c>
      <c r="I14" s="14" t="str">
        <f t="shared" si="0"/>
        <v>Khổ 30 x 30 cm</v>
      </c>
      <c r="J14" s="14" t="str">
        <f t="shared" si="0"/>
        <v>Khổ 35 x 30 cm (ngang)</v>
      </c>
      <c r="K14" s="14" t="s">
        <v>38</v>
      </c>
    </row>
    <row r="15" spans="1:227" s="10" customFormat="1" ht="33.75" customHeight="1">
      <c r="A15" s="130">
        <v>1</v>
      </c>
      <c r="B15" s="282" t="s">
        <v>95</v>
      </c>
      <c r="C15" s="283"/>
      <c r="D15" s="131">
        <v>30000</v>
      </c>
      <c r="E15" s="131">
        <v>30000</v>
      </c>
      <c r="F15" s="131">
        <v>35000</v>
      </c>
      <c r="G15" s="131">
        <v>40000</v>
      </c>
      <c r="H15" s="131">
        <v>45000</v>
      </c>
      <c r="I15" s="131">
        <v>50000</v>
      </c>
      <c r="J15" s="131">
        <v>60000</v>
      </c>
      <c r="K15" s="132">
        <v>60000</v>
      </c>
    </row>
    <row r="16" spans="1:227" ht="33.75" customHeight="1">
      <c r="A16" s="130">
        <v>2</v>
      </c>
      <c r="B16" s="282" t="s">
        <v>96</v>
      </c>
      <c r="C16" s="282"/>
      <c r="D16" s="133">
        <v>150000</v>
      </c>
      <c r="E16" s="133">
        <v>180000</v>
      </c>
      <c r="F16" s="133">
        <v>220000</v>
      </c>
      <c r="G16" s="133">
        <v>270000</v>
      </c>
      <c r="H16" s="133">
        <v>270000</v>
      </c>
      <c r="I16" s="133">
        <v>270000</v>
      </c>
      <c r="J16" s="131">
        <v>350000</v>
      </c>
      <c r="K16" s="132">
        <v>350000</v>
      </c>
    </row>
    <row r="17" spans="1:11">
      <c r="A17" s="134"/>
      <c r="B17" s="37"/>
      <c r="C17" s="37"/>
      <c r="D17" s="37"/>
      <c r="E17" s="37"/>
      <c r="F17" s="37"/>
      <c r="G17" s="37"/>
      <c r="H17" s="37"/>
      <c r="I17" s="37"/>
      <c r="J17" s="37"/>
      <c r="K17" s="37"/>
    </row>
  </sheetData>
  <mergeCells count="5">
    <mergeCell ref="B16:C16"/>
    <mergeCell ref="B15:C15"/>
    <mergeCell ref="B14:C14"/>
    <mergeCell ref="B12:C12"/>
    <mergeCell ref="A3:I3"/>
  </mergeCells>
  <pageMargins left="0.3" right="0.31" top="0.3" bottom="0.34" header="0.3" footer="0.3"/>
  <pageSetup paperSize="9" scale="91" orientation="landscape" verticalDpi="1200" r:id="rId1"/>
  <colBreaks count="2" manualBreakCount="2">
    <brk id="11" max="1048575" man="1"/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Q30"/>
  <sheetViews>
    <sheetView view="pageBreakPreview" zoomScale="60" workbookViewId="0">
      <selection activeCell="G25" sqref="G25"/>
    </sheetView>
  </sheetViews>
  <sheetFormatPr defaultColWidth="9.85546875" defaultRowHeight="15.75"/>
  <cols>
    <col min="1" max="1" width="8" style="10" customWidth="1"/>
    <col min="2" max="2" width="8.7109375" style="10" customWidth="1"/>
    <col min="3" max="3" width="8.5703125" style="10" customWidth="1"/>
    <col min="4" max="4" width="15.5703125" style="10" customWidth="1"/>
    <col min="5" max="5" width="15.5703125" style="90" customWidth="1"/>
    <col min="6" max="6" width="15.5703125" style="10" customWidth="1"/>
    <col min="7" max="7" width="15.42578125" style="90" customWidth="1"/>
    <col min="8" max="8" width="15.5703125" style="11" customWidth="1"/>
    <col min="9" max="9" width="13.85546875" style="10" hidden="1" customWidth="1"/>
    <col min="10" max="10" width="15.42578125" style="10" hidden="1" customWidth="1"/>
    <col min="11" max="225" width="9.85546875" style="10" customWidth="1"/>
    <col min="226" max="16384" width="9.85546875" style="11"/>
  </cols>
  <sheetData>
    <row r="1" spans="1:225" s="1" customFormat="1" ht="27.75" customHeight="1">
      <c r="A1" s="2" t="s">
        <v>0</v>
      </c>
      <c r="B1" s="2"/>
      <c r="C1" s="2"/>
      <c r="D1" s="87"/>
      <c r="E1" s="88"/>
      <c r="G1" s="88"/>
      <c r="I1" s="8"/>
      <c r="J1" s="89"/>
    </row>
    <row r="2" spans="1:225" s="1" customFormat="1" ht="21.75" customHeight="1">
      <c r="A2" s="4" t="s">
        <v>1</v>
      </c>
      <c r="B2" s="4"/>
      <c r="C2" s="4"/>
      <c r="D2" s="87"/>
      <c r="E2" s="88"/>
      <c r="G2" s="88"/>
      <c r="I2" s="8"/>
      <c r="J2" s="89"/>
    </row>
    <row r="3" spans="1:225" s="1" customFormat="1" ht="20.25" customHeight="1">
      <c r="A3" s="4" t="s">
        <v>50</v>
      </c>
      <c r="B3" s="4"/>
      <c r="C3" s="4"/>
      <c r="D3" s="87"/>
      <c r="E3" s="88"/>
      <c r="G3" s="88"/>
      <c r="I3" s="8"/>
      <c r="J3" s="89"/>
    </row>
    <row r="4" spans="1:225" s="1" customFormat="1" ht="21" customHeight="1">
      <c r="A4" s="4" t="s">
        <v>51</v>
      </c>
      <c r="B4" s="4"/>
      <c r="C4" s="4"/>
      <c r="D4" s="87"/>
      <c r="E4" s="88"/>
      <c r="G4" s="88"/>
      <c r="I4" s="8"/>
      <c r="J4" s="89"/>
    </row>
    <row r="5" spans="1:225" ht="16.350000000000001" customHeight="1"/>
    <row r="6" spans="1:225" ht="34.5" customHeight="1">
      <c r="A6" s="289" t="s">
        <v>52</v>
      </c>
      <c r="B6" s="289"/>
      <c r="C6" s="289"/>
      <c r="D6" s="289"/>
      <c r="E6" s="289"/>
      <c r="F6" s="289"/>
      <c r="G6" s="289"/>
      <c r="H6" s="289"/>
      <c r="I6" s="91"/>
      <c r="J6" s="91"/>
    </row>
    <row r="7" spans="1:225" ht="16.5" customHeight="1">
      <c r="A7" s="92"/>
      <c r="B7" s="41"/>
      <c r="C7" s="41"/>
      <c r="D7" s="41"/>
      <c r="I7" s="41"/>
      <c r="J7" s="41"/>
    </row>
    <row r="8" spans="1:225" ht="19.5" customHeight="1">
      <c r="A8" s="290" t="s">
        <v>53</v>
      </c>
      <c r="B8" s="291" t="s">
        <v>54</v>
      </c>
      <c r="C8" s="291"/>
      <c r="D8" s="292" t="s">
        <v>55</v>
      </c>
      <c r="E8" s="292" t="s">
        <v>56</v>
      </c>
      <c r="F8" s="293" t="s">
        <v>57</v>
      </c>
      <c r="G8" s="293" t="s">
        <v>58</v>
      </c>
      <c r="H8" s="293" t="s">
        <v>59</v>
      </c>
      <c r="I8" s="294" t="s">
        <v>60</v>
      </c>
      <c r="J8" s="287" t="s">
        <v>61</v>
      </c>
    </row>
    <row r="9" spans="1:225" ht="29.25" customHeight="1">
      <c r="A9" s="290"/>
      <c r="B9" s="93" t="s">
        <v>62</v>
      </c>
      <c r="C9" s="93" t="s">
        <v>63</v>
      </c>
      <c r="D9" s="292"/>
      <c r="E9" s="292"/>
      <c r="F9" s="293"/>
      <c r="G9" s="293"/>
      <c r="H9" s="293"/>
      <c r="I9" s="295"/>
      <c r="J9" s="288"/>
    </row>
    <row r="10" spans="1:225" s="23" customFormat="1" ht="25.35" customHeight="1">
      <c r="A10" s="94">
        <v>1</v>
      </c>
      <c r="B10" s="95" t="s">
        <v>64</v>
      </c>
      <c r="C10" s="96">
        <v>10</v>
      </c>
      <c r="D10" s="97">
        <v>3300</v>
      </c>
      <c r="E10" s="98">
        <f>ROUND(3630,-2)</f>
        <v>3600</v>
      </c>
      <c r="F10" s="99">
        <v>7000</v>
      </c>
      <c r="G10" s="98">
        <v>8000</v>
      </c>
      <c r="H10" s="98">
        <v>9000</v>
      </c>
      <c r="I10" s="100"/>
      <c r="J10" s="101" t="s">
        <v>65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</row>
    <row r="11" spans="1:225" s="23" customFormat="1" ht="25.35" customHeight="1">
      <c r="A11" s="94">
        <v>2</v>
      </c>
      <c r="B11" s="95" t="s">
        <v>64</v>
      </c>
      <c r="C11" s="95" t="s">
        <v>64</v>
      </c>
      <c r="D11" s="97">
        <v>5300</v>
      </c>
      <c r="E11" s="98">
        <v>5800</v>
      </c>
      <c r="F11" s="99">
        <v>10000</v>
      </c>
      <c r="G11" s="98">
        <v>12000</v>
      </c>
      <c r="H11" s="103">
        <v>13000</v>
      </c>
      <c r="I11" s="104"/>
      <c r="J11" s="105" t="s">
        <v>66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02"/>
      <c r="FE11" s="102"/>
      <c r="FF11" s="102"/>
      <c r="FG11" s="102"/>
      <c r="FH11" s="102"/>
      <c r="FI11" s="102"/>
      <c r="FJ11" s="102"/>
      <c r="FK11" s="102"/>
      <c r="FL11" s="102"/>
      <c r="FM11" s="102"/>
      <c r="FN11" s="102"/>
      <c r="FO11" s="102"/>
      <c r="FP11" s="102"/>
      <c r="FQ11" s="102"/>
      <c r="FR11" s="102"/>
      <c r="FS11" s="102"/>
      <c r="FT11" s="102"/>
      <c r="FU11" s="102"/>
      <c r="FV11" s="102"/>
      <c r="FW11" s="102"/>
      <c r="FX11" s="102"/>
      <c r="FY11" s="102"/>
      <c r="FZ11" s="102"/>
      <c r="GA11" s="102"/>
      <c r="GB11" s="102"/>
      <c r="GC11" s="102"/>
      <c r="GD11" s="102"/>
      <c r="GE11" s="102"/>
      <c r="GF11" s="102"/>
      <c r="GG11" s="102"/>
      <c r="GH11" s="102"/>
      <c r="GI11" s="102"/>
      <c r="GJ11" s="102"/>
      <c r="GK11" s="102"/>
      <c r="GL11" s="102"/>
      <c r="GM11" s="102"/>
      <c r="GN11" s="102"/>
      <c r="GO11" s="102"/>
      <c r="GP11" s="102"/>
      <c r="GQ11" s="102"/>
      <c r="GR11" s="102"/>
      <c r="GS11" s="102"/>
      <c r="GT11" s="102"/>
      <c r="GU11" s="102"/>
      <c r="GV11" s="102"/>
      <c r="GW11" s="102"/>
      <c r="GX11" s="102"/>
      <c r="GY11" s="102"/>
      <c r="GZ11" s="102"/>
      <c r="HA11" s="102"/>
      <c r="HB11" s="102"/>
      <c r="HC11" s="102"/>
      <c r="HD11" s="102"/>
      <c r="HE11" s="102"/>
      <c r="HF11" s="102"/>
      <c r="HG11" s="102"/>
      <c r="HH11" s="102"/>
      <c r="HI11" s="102"/>
      <c r="HJ11" s="102"/>
      <c r="HK11" s="102"/>
      <c r="HL11" s="102"/>
      <c r="HM11" s="102"/>
      <c r="HN11" s="102"/>
      <c r="HO11" s="102"/>
      <c r="HP11" s="102"/>
      <c r="HQ11" s="102"/>
    </row>
    <row r="12" spans="1:225" s="23" customFormat="1" ht="23.25" customHeight="1">
      <c r="A12" s="94">
        <v>3</v>
      </c>
      <c r="B12" s="95" t="s">
        <v>64</v>
      </c>
      <c r="C12" s="95" t="s">
        <v>67</v>
      </c>
      <c r="D12" s="97">
        <v>10600</v>
      </c>
      <c r="E12" s="98">
        <v>11600</v>
      </c>
      <c r="F12" s="99">
        <v>14000</v>
      </c>
      <c r="G12" s="98">
        <v>16000</v>
      </c>
      <c r="H12" s="103">
        <v>18000</v>
      </c>
      <c r="I12" s="104"/>
      <c r="J12" s="105" t="s">
        <v>66</v>
      </c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  <c r="DN12" s="102"/>
      <c r="DO12" s="102"/>
      <c r="DP12" s="102"/>
      <c r="DQ12" s="102"/>
      <c r="DR12" s="102"/>
      <c r="DS12" s="102"/>
      <c r="DT12" s="102"/>
      <c r="DU12" s="102"/>
      <c r="DV12" s="102"/>
      <c r="DW12" s="102"/>
      <c r="DX12" s="102"/>
      <c r="DY12" s="102"/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2"/>
      <c r="EK12" s="102"/>
      <c r="EL12" s="102"/>
      <c r="EM12" s="102"/>
      <c r="EN12" s="102"/>
      <c r="EO12" s="102"/>
      <c r="EP12" s="102"/>
      <c r="EQ12" s="102"/>
      <c r="ER12" s="102"/>
      <c r="ES12" s="102"/>
      <c r="ET12" s="102"/>
      <c r="EU12" s="102"/>
      <c r="EV12" s="102"/>
      <c r="EW12" s="102"/>
      <c r="EX12" s="102"/>
      <c r="EY12" s="102"/>
      <c r="EZ12" s="102"/>
      <c r="FA12" s="102"/>
      <c r="FB12" s="102"/>
      <c r="FC12" s="102"/>
      <c r="FD12" s="102"/>
      <c r="FE12" s="102"/>
      <c r="FF12" s="102"/>
      <c r="FG12" s="102"/>
      <c r="FH12" s="102"/>
      <c r="FI12" s="102"/>
      <c r="FJ12" s="102"/>
      <c r="FK12" s="102"/>
      <c r="FL12" s="102"/>
      <c r="FM12" s="102"/>
      <c r="FN12" s="102"/>
      <c r="FO12" s="102"/>
      <c r="FP12" s="102"/>
      <c r="FQ12" s="102"/>
      <c r="FR12" s="102"/>
      <c r="FS12" s="102"/>
      <c r="FT12" s="102"/>
      <c r="FU12" s="102"/>
      <c r="FV12" s="102"/>
      <c r="FW12" s="102"/>
      <c r="FX12" s="102"/>
      <c r="FY12" s="102"/>
      <c r="FZ12" s="102"/>
      <c r="GA12" s="102"/>
      <c r="GB12" s="102"/>
      <c r="GC12" s="102"/>
      <c r="GD12" s="102"/>
      <c r="GE12" s="102"/>
      <c r="GF12" s="102"/>
      <c r="GG12" s="102"/>
      <c r="GH12" s="102"/>
      <c r="GI12" s="102"/>
      <c r="GJ12" s="102"/>
      <c r="GK12" s="102"/>
      <c r="GL12" s="102"/>
      <c r="GM12" s="102"/>
      <c r="GN12" s="102"/>
      <c r="GO12" s="102"/>
      <c r="GP12" s="102"/>
      <c r="GQ12" s="102"/>
      <c r="GR12" s="102"/>
      <c r="GS12" s="102"/>
      <c r="GT12" s="102"/>
      <c r="GU12" s="102"/>
      <c r="GV12" s="102"/>
      <c r="GW12" s="102"/>
      <c r="GX12" s="102"/>
      <c r="GY12" s="102"/>
      <c r="GZ12" s="102"/>
      <c r="HA12" s="102"/>
      <c r="HB12" s="102"/>
      <c r="HC12" s="102"/>
      <c r="HD12" s="102"/>
      <c r="HE12" s="102"/>
      <c r="HF12" s="102"/>
      <c r="HG12" s="102"/>
      <c r="HH12" s="102"/>
      <c r="HI12" s="102"/>
      <c r="HJ12" s="102"/>
      <c r="HK12" s="102"/>
      <c r="HL12" s="102"/>
      <c r="HM12" s="102"/>
      <c r="HN12" s="102"/>
      <c r="HO12" s="102"/>
      <c r="HP12" s="102"/>
      <c r="HQ12" s="102"/>
    </row>
    <row r="13" spans="1:225" s="23" customFormat="1" ht="25.35" customHeight="1">
      <c r="A13" s="94">
        <v>4</v>
      </c>
      <c r="B13" s="106" t="s">
        <v>67</v>
      </c>
      <c r="C13" s="106" t="s">
        <v>67</v>
      </c>
      <c r="D13" s="98">
        <v>14100</v>
      </c>
      <c r="E13" s="97">
        <v>16000</v>
      </c>
      <c r="F13" s="99">
        <v>18000</v>
      </c>
      <c r="G13" s="98">
        <v>22000</v>
      </c>
      <c r="H13" s="97">
        <v>24000</v>
      </c>
      <c r="I13" s="104" t="s">
        <v>68</v>
      </c>
      <c r="J13" s="107" t="s">
        <v>69</v>
      </c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  <c r="DV13" s="102"/>
      <c r="DW13" s="102"/>
      <c r="DX13" s="102"/>
      <c r="DY13" s="102"/>
      <c r="DZ13" s="102"/>
      <c r="EA13" s="102"/>
      <c r="EB13" s="102"/>
      <c r="EC13" s="102"/>
      <c r="ED13" s="102"/>
      <c r="EE13" s="102"/>
      <c r="EF13" s="102"/>
      <c r="EG13" s="102"/>
      <c r="EH13" s="102"/>
      <c r="EI13" s="102"/>
      <c r="EJ13" s="102"/>
      <c r="EK13" s="102"/>
      <c r="EL13" s="102"/>
      <c r="EM13" s="102"/>
      <c r="EN13" s="102"/>
      <c r="EO13" s="102"/>
      <c r="EP13" s="102"/>
      <c r="EQ13" s="102"/>
      <c r="ER13" s="102"/>
      <c r="ES13" s="102"/>
      <c r="ET13" s="102"/>
      <c r="EU13" s="102"/>
      <c r="EV13" s="102"/>
      <c r="EW13" s="102"/>
      <c r="EX13" s="102"/>
      <c r="EY13" s="102"/>
      <c r="EZ13" s="102"/>
      <c r="FA13" s="102"/>
      <c r="FB13" s="102"/>
      <c r="FC13" s="102"/>
      <c r="FD13" s="102"/>
      <c r="FE13" s="102"/>
      <c r="FF13" s="102"/>
      <c r="FG13" s="102"/>
      <c r="FH13" s="102"/>
      <c r="FI13" s="102"/>
      <c r="FJ13" s="102"/>
      <c r="FK13" s="102"/>
      <c r="FL13" s="102"/>
      <c r="FM13" s="102"/>
      <c r="FN13" s="102"/>
      <c r="FO13" s="102"/>
      <c r="FP13" s="102"/>
      <c r="FQ13" s="102"/>
      <c r="FR13" s="102"/>
      <c r="FS13" s="102"/>
      <c r="FT13" s="102"/>
      <c r="FU13" s="102"/>
      <c r="FV13" s="102"/>
      <c r="FW13" s="102"/>
      <c r="FX13" s="102"/>
      <c r="FY13" s="102"/>
      <c r="FZ13" s="102"/>
      <c r="GA13" s="102"/>
      <c r="GB13" s="102"/>
      <c r="GC13" s="102"/>
      <c r="GD13" s="102"/>
      <c r="GE13" s="102"/>
      <c r="GF13" s="102"/>
      <c r="GG13" s="102"/>
      <c r="GH13" s="102"/>
      <c r="GI13" s="102"/>
      <c r="GJ13" s="102"/>
      <c r="GK13" s="102"/>
      <c r="GL13" s="102"/>
      <c r="GM13" s="102"/>
      <c r="GN13" s="102"/>
      <c r="GO13" s="102"/>
      <c r="GP13" s="102"/>
      <c r="GQ13" s="102"/>
      <c r="GR13" s="102"/>
      <c r="GS13" s="102"/>
      <c r="GT13" s="102"/>
      <c r="GU13" s="102"/>
      <c r="GV13" s="102"/>
      <c r="GW13" s="102"/>
      <c r="GX13" s="102"/>
      <c r="GY13" s="102"/>
      <c r="GZ13" s="102"/>
      <c r="HA13" s="102"/>
      <c r="HB13" s="102"/>
      <c r="HC13" s="102"/>
      <c r="HD13" s="102"/>
      <c r="HE13" s="102"/>
      <c r="HF13" s="102"/>
      <c r="HG13" s="102"/>
      <c r="HH13" s="102"/>
      <c r="HI13" s="102"/>
      <c r="HJ13" s="102"/>
      <c r="HK13" s="102"/>
      <c r="HL13" s="102"/>
      <c r="HM13" s="102"/>
      <c r="HN13" s="102"/>
      <c r="HO13" s="102"/>
      <c r="HP13" s="102"/>
      <c r="HQ13" s="102"/>
    </row>
    <row r="14" spans="1:225" s="23" customFormat="1" ht="25.35" customHeight="1">
      <c r="A14" s="94">
        <v>5</v>
      </c>
      <c r="B14" s="106" t="s">
        <v>67</v>
      </c>
      <c r="C14" s="106" t="s">
        <v>70</v>
      </c>
      <c r="D14" s="98">
        <v>18500</v>
      </c>
      <c r="E14" s="97">
        <v>20000</v>
      </c>
      <c r="F14" s="99">
        <v>23000</v>
      </c>
      <c r="G14" s="98">
        <v>27000</v>
      </c>
      <c r="H14" s="97">
        <v>30000</v>
      </c>
      <c r="I14" s="104" t="s">
        <v>71</v>
      </c>
      <c r="J14" s="107" t="s">
        <v>69</v>
      </c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  <c r="GI14" s="102"/>
      <c r="GJ14" s="102"/>
      <c r="GK14" s="102"/>
      <c r="GL14" s="102"/>
      <c r="GM14" s="102"/>
      <c r="GN14" s="102"/>
      <c r="GO14" s="102"/>
      <c r="GP14" s="102"/>
      <c r="GQ14" s="102"/>
      <c r="GR14" s="102"/>
      <c r="GS14" s="102"/>
      <c r="GT14" s="102"/>
      <c r="GU14" s="102"/>
      <c r="GV14" s="102"/>
      <c r="GW14" s="102"/>
      <c r="GX14" s="102"/>
      <c r="GY14" s="102"/>
      <c r="GZ14" s="102"/>
      <c r="HA14" s="102"/>
      <c r="HB14" s="102"/>
      <c r="HC14" s="102"/>
      <c r="HD14" s="102"/>
      <c r="HE14" s="102"/>
      <c r="HF14" s="102"/>
      <c r="HG14" s="102"/>
      <c r="HH14" s="102"/>
      <c r="HI14" s="102"/>
      <c r="HJ14" s="102"/>
      <c r="HK14" s="102"/>
      <c r="HL14" s="102"/>
      <c r="HM14" s="102"/>
      <c r="HN14" s="102"/>
      <c r="HO14" s="102"/>
      <c r="HP14" s="102"/>
      <c r="HQ14" s="102"/>
    </row>
    <row r="15" spans="1:225" s="23" customFormat="1" ht="25.35" customHeight="1">
      <c r="A15" s="94">
        <v>6</v>
      </c>
      <c r="B15" s="106" t="s">
        <v>67</v>
      </c>
      <c r="C15" s="106" t="s">
        <v>72</v>
      </c>
      <c r="D15" s="98">
        <v>21200</v>
      </c>
      <c r="E15" s="97">
        <v>23000</v>
      </c>
      <c r="F15" s="99">
        <v>27000</v>
      </c>
      <c r="G15" s="98">
        <v>33000</v>
      </c>
      <c r="H15" s="97">
        <v>36000</v>
      </c>
      <c r="I15" s="104" t="s">
        <v>73</v>
      </c>
      <c r="J15" s="105" t="s">
        <v>74</v>
      </c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02"/>
      <c r="CS15" s="102"/>
      <c r="CT15" s="102"/>
      <c r="CU15" s="102"/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  <c r="ED15" s="102"/>
      <c r="EE15" s="102"/>
      <c r="EF15" s="102"/>
      <c r="EG15" s="102"/>
      <c r="EH15" s="102"/>
      <c r="EI15" s="102"/>
      <c r="EJ15" s="102"/>
      <c r="EK15" s="102"/>
      <c r="EL15" s="102"/>
      <c r="EM15" s="102"/>
      <c r="EN15" s="102"/>
      <c r="EO15" s="102"/>
      <c r="EP15" s="102"/>
      <c r="EQ15" s="102"/>
      <c r="ER15" s="102"/>
      <c r="ES15" s="102"/>
      <c r="ET15" s="102"/>
      <c r="EU15" s="102"/>
      <c r="EV15" s="102"/>
      <c r="EW15" s="102"/>
      <c r="EX15" s="102"/>
      <c r="EY15" s="102"/>
      <c r="EZ15" s="102"/>
      <c r="FA15" s="102"/>
      <c r="FB15" s="102"/>
      <c r="FC15" s="102"/>
      <c r="FD15" s="102"/>
      <c r="FE15" s="102"/>
      <c r="FF15" s="102"/>
      <c r="FG15" s="102"/>
      <c r="FH15" s="102"/>
      <c r="FI15" s="102"/>
      <c r="FJ15" s="102"/>
      <c r="FK15" s="102"/>
      <c r="FL15" s="102"/>
      <c r="FM15" s="102"/>
      <c r="FN15" s="102"/>
      <c r="FO15" s="102"/>
      <c r="FP15" s="102"/>
      <c r="FQ15" s="102"/>
      <c r="FR15" s="102"/>
      <c r="FS15" s="102"/>
      <c r="FT15" s="102"/>
      <c r="FU15" s="102"/>
      <c r="FV15" s="102"/>
      <c r="FW15" s="102"/>
      <c r="FX15" s="102"/>
      <c r="FY15" s="102"/>
      <c r="FZ15" s="102"/>
      <c r="GA15" s="102"/>
      <c r="GB15" s="102"/>
      <c r="GC15" s="102"/>
      <c r="GD15" s="102"/>
      <c r="GE15" s="102"/>
      <c r="GF15" s="102"/>
      <c r="GG15" s="102"/>
      <c r="GH15" s="102"/>
      <c r="GI15" s="102"/>
      <c r="GJ15" s="102"/>
      <c r="GK15" s="102"/>
      <c r="GL15" s="102"/>
      <c r="GM15" s="102"/>
      <c r="GN15" s="102"/>
      <c r="GO15" s="102"/>
      <c r="GP15" s="102"/>
      <c r="GQ15" s="102"/>
      <c r="GR15" s="102"/>
      <c r="GS15" s="102"/>
      <c r="GT15" s="102"/>
      <c r="GU15" s="102"/>
      <c r="GV15" s="102"/>
      <c r="GW15" s="102"/>
      <c r="GX15" s="102"/>
      <c r="GY15" s="102"/>
      <c r="GZ15" s="102"/>
      <c r="HA15" s="102"/>
      <c r="HB15" s="102"/>
      <c r="HC15" s="102"/>
      <c r="HD15" s="102"/>
      <c r="HE15" s="102"/>
      <c r="HF15" s="102"/>
      <c r="HG15" s="102"/>
      <c r="HH15" s="102"/>
      <c r="HI15" s="102"/>
      <c r="HJ15" s="102"/>
      <c r="HK15" s="102"/>
      <c r="HL15" s="102"/>
      <c r="HM15" s="102"/>
      <c r="HN15" s="102"/>
      <c r="HO15" s="102"/>
      <c r="HP15" s="102"/>
      <c r="HQ15" s="102"/>
    </row>
    <row r="16" spans="1:225" s="23" customFormat="1" ht="25.35" customHeight="1">
      <c r="A16" s="94">
        <v>7</v>
      </c>
      <c r="B16" s="106" t="s">
        <v>67</v>
      </c>
      <c r="C16" s="106" t="s">
        <v>75</v>
      </c>
      <c r="D16" s="98">
        <v>24700</v>
      </c>
      <c r="E16" s="97">
        <v>27000</v>
      </c>
      <c r="F16" s="108">
        <v>36000</v>
      </c>
      <c r="G16" s="108">
        <v>44000</v>
      </c>
      <c r="H16" s="108">
        <v>48000</v>
      </c>
      <c r="I16" s="104" t="s">
        <v>68</v>
      </c>
      <c r="J16" s="105" t="s">
        <v>74</v>
      </c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  <c r="CY16" s="102"/>
      <c r="CZ16" s="102"/>
      <c r="DA16" s="102"/>
      <c r="DB16" s="102"/>
      <c r="DC16" s="102"/>
      <c r="DD16" s="102"/>
      <c r="DE16" s="102"/>
      <c r="DF16" s="102"/>
      <c r="DG16" s="102"/>
      <c r="DH16" s="102"/>
      <c r="DI16" s="102"/>
      <c r="DJ16" s="102"/>
      <c r="DK16" s="102"/>
      <c r="DL16" s="102"/>
      <c r="DM16" s="102"/>
      <c r="DN16" s="102"/>
      <c r="DO16" s="102"/>
      <c r="DP16" s="102"/>
      <c r="DQ16" s="102"/>
      <c r="DR16" s="102"/>
      <c r="DS16" s="102"/>
      <c r="DT16" s="102"/>
      <c r="DU16" s="102"/>
      <c r="DV16" s="102"/>
      <c r="DW16" s="102"/>
      <c r="DX16" s="102"/>
      <c r="DY16" s="102"/>
      <c r="DZ16" s="102"/>
      <c r="EA16" s="102"/>
      <c r="EB16" s="102"/>
      <c r="EC16" s="102"/>
      <c r="ED16" s="102"/>
      <c r="EE16" s="102"/>
      <c r="EF16" s="102"/>
      <c r="EG16" s="102"/>
      <c r="EH16" s="102"/>
      <c r="EI16" s="102"/>
      <c r="EJ16" s="102"/>
      <c r="EK16" s="102"/>
      <c r="EL16" s="102"/>
      <c r="EM16" s="102"/>
      <c r="EN16" s="102"/>
      <c r="EO16" s="102"/>
      <c r="EP16" s="102"/>
      <c r="EQ16" s="102"/>
      <c r="ER16" s="102"/>
      <c r="ES16" s="102"/>
      <c r="ET16" s="102"/>
      <c r="EU16" s="102"/>
      <c r="EV16" s="102"/>
      <c r="EW16" s="102"/>
      <c r="EX16" s="102"/>
      <c r="EY16" s="102"/>
      <c r="EZ16" s="102"/>
      <c r="FA16" s="102"/>
      <c r="FB16" s="102"/>
      <c r="FC16" s="102"/>
      <c r="FD16" s="102"/>
      <c r="FE16" s="102"/>
      <c r="FF16" s="102"/>
      <c r="FG16" s="102"/>
      <c r="FH16" s="102"/>
      <c r="FI16" s="102"/>
      <c r="FJ16" s="102"/>
      <c r="FK16" s="102"/>
      <c r="FL16" s="102"/>
      <c r="FM16" s="102"/>
      <c r="FN16" s="102"/>
      <c r="FO16" s="102"/>
      <c r="FP16" s="102"/>
      <c r="FQ16" s="102"/>
      <c r="FR16" s="102"/>
      <c r="FS16" s="102"/>
      <c r="FT16" s="102"/>
      <c r="FU16" s="102"/>
      <c r="FV16" s="102"/>
      <c r="FW16" s="102"/>
      <c r="FX16" s="102"/>
      <c r="FY16" s="102"/>
      <c r="FZ16" s="102"/>
      <c r="GA16" s="102"/>
      <c r="GB16" s="102"/>
      <c r="GC16" s="102"/>
      <c r="GD16" s="102"/>
      <c r="GE16" s="102"/>
      <c r="GF16" s="102"/>
      <c r="GG16" s="102"/>
      <c r="GH16" s="102"/>
      <c r="GI16" s="102"/>
      <c r="GJ16" s="102"/>
      <c r="GK16" s="102"/>
      <c r="GL16" s="102"/>
      <c r="GM16" s="102"/>
      <c r="GN16" s="102"/>
      <c r="GO16" s="102"/>
      <c r="GP16" s="102"/>
      <c r="GQ16" s="102"/>
      <c r="GR16" s="102"/>
      <c r="GS16" s="102"/>
      <c r="GT16" s="102"/>
      <c r="GU16" s="102"/>
      <c r="GV16" s="102"/>
      <c r="GW16" s="102"/>
      <c r="GX16" s="102"/>
      <c r="GY16" s="102"/>
      <c r="GZ16" s="102"/>
      <c r="HA16" s="102"/>
      <c r="HB16" s="102"/>
      <c r="HC16" s="102"/>
      <c r="HD16" s="102"/>
      <c r="HE16" s="102"/>
      <c r="HF16" s="102"/>
      <c r="HG16" s="102"/>
      <c r="HH16" s="102"/>
      <c r="HI16" s="102"/>
      <c r="HJ16" s="102"/>
      <c r="HK16" s="102"/>
      <c r="HL16" s="102"/>
      <c r="HM16" s="102"/>
      <c r="HN16" s="102"/>
      <c r="HO16" s="102"/>
      <c r="HP16" s="102"/>
      <c r="HQ16" s="102"/>
    </row>
    <row r="17" spans="1:225" s="23" customFormat="1" ht="25.35" customHeight="1">
      <c r="A17" s="94">
        <v>8</v>
      </c>
      <c r="B17" s="106" t="s">
        <v>67</v>
      </c>
      <c r="C17" s="106" t="s">
        <v>76</v>
      </c>
      <c r="D17" s="98">
        <v>30000</v>
      </c>
      <c r="E17" s="97">
        <v>33000</v>
      </c>
      <c r="F17" s="108">
        <v>45000</v>
      </c>
      <c r="G17" s="108">
        <v>55000</v>
      </c>
      <c r="H17" s="108">
        <v>48000</v>
      </c>
      <c r="I17" s="104" t="s">
        <v>71</v>
      </c>
      <c r="J17" s="105" t="s">
        <v>74</v>
      </c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02"/>
      <c r="CS17" s="102"/>
      <c r="CT17" s="102"/>
      <c r="CU17" s="102"/>
      <c r="CV17" s="102"/>
      <c r="CW17" s="102"/>
      <c r="CX17" s="102"/>
      <c r="CY17" s="102"/>
      <c r="CZ17" s="102"/>
      <c r="DA17" s="102"/>
      <c r="DB17" s="102"/>
      <c r="DC17" s="102"/>
      <c r="DD17" s="102"/>
      <c r="DE17" s="102"/>
      <c r="DF17" s="102"/>
      <c r="DG17" s="102"/>
      <c r="DH17" s="102"/>
      <c r="DI17" s="102"/>
      <c r="DJ17" s="102"/>
      <c r="DK17" s="102"/>
      <c r="DL17" s="102"/>
      <c r="DM17" s="102"/>
      <c r="DN17" s="102"/>
      <c r="DO17" s="102"/>
      <c r="DP17" s="102"/>
      <c r="DQ17" s="102"/>
      <c r="DR17" s="102"/>
      <c r="DS17" s="102"/>
      <c r="DT17" s="102"/>
      <c r="DU17" s="102"/>
      <c r="DV17" s="102"/>
      <c r="DW17" s="102"/>
      <c r="DX17" s="102"/>
      <c r="DY17" s="102"/>
      <c r="DZ17" s="102"/>
      <c r="EA17" s="102"/>
      <c r="EB17" s="102"/>
      <c r="EC17" s="102"/>
      <c r="ED17" s="102"/>
      <c r="EE17" s="102"/>
      <c r="EF17" s="102"/>
      <c r="EG17" s="102"/>
      <c r="EH17" s="102"/>
      <c r="EI17" s="102"/>
      <c r="EJ17" s="102"/>
      <c r="EK17" s="102"/>
      <c r="EL17" s="102"/>
      <c r="EM17" s="102"/>
      <c r="EN17" s="102"/>
      <c r="EO17" s="102"/>
      <c r="EP17" s="102"/>
      <c r="EQ17" s="102"/>
      <c r="ER17" s="102"/>
      <c r="ES17" s="102"/>
      <c r="ET17" s="102"/>
      <c r="EU17" s="102"/>
      <c r="EV17" s="102"/>
      <c r="EW17" s="102"/>
      <c r="EX17" s="102"/>
      <c r="EY17" s="102"/>
      <c r="EZ17" s="102"/>
      <c r="FA17" s="102"/>
      <c r="FB17" s="102"/>
      <c r="FC17" s="102"/>
      <c r="FD17" s="102"/>
      <c r="FE17" s="102"/>
      <c r="FF17" s="102"/>
      <c r="FG17" s="102"/>
      <c r="FH17" s="102"/>
      <c r="FI17" s="102"/>
      <c r="FJ17" s="102"/>
      <c r="FK17" s="102"/>
      <c r="FL17" s="102"/>
      <c r="FM17" s="102"/>
      <c r="FN17" s="102"/>
      <c r="FO17" s="102"/>
      <c r="FP17" s="102"/>
      <c r="FQ17" s="102"/>
      <c r="FR17" s="102"/>
      <c r="FS17" s="102"/>
      <c r="FT17" s="102"/>
      <c r="FU17" s="102"/>
      <c r="FV17" s="102"/>
      <c r="FW17" s="102"/>
      <c r="FX17" s="102"/>
      <c r="FY17" s="102"/>
      <c r="FZ17" s="102"/>
      <c r="GA17" s="102"/>
      <c r="GB17" s="102"/>
      <c r="GC17" s="102"/>
      <c r="GD17" s="102"/>
      <c r="GE17" s="102"/>
      <c r="GF17" s="102"/>
      <c r="GG17" s="102"/>
      <c r="GH17" s="102"/>
      <c r="GI17" s="102"/>
      <c r="GJ17" s="102"/>
      <c r="GK17" s="102"/>
      <c r="GL17" s="102"/>
      <c r="GM17" s="102"/>
      <c r="GN17" s="102"/>
      <c r="GO17" s="102"/>
      <c r="GP17" s="102"/>
      <c r="GQ17" s="102"/>
      <c r="GR17" s="102"/>
      <c r="GS17" s="102"/>
      <c r="GT17" s="102"/>
      <c r="GU17" s="102"/>
      <c r="GV17" s="102"/>
      <c r="GW17" s="102"/>
      <c r="GX17" s="102"/>
      <c r="GY17" s="102"/>
      <c r="GZ17" s="102"/>
      <c r="HA17" s="102"/>
      <c r="HB17" s="102"/>
      <c r="HC17" s="102"/>
      <c r="HD17" s="102"/>
      <c r="HE17" s="102"/>
      <c r="HF17" s="102"/>
      <c r="HG17" s="102"/>
      <c r="HH17" s="102"/>
      <c r="HI17" s="102"/>
      <c r="HJ17" s="102"/>
      <c r="HK17" s="102"/>
      <c r="HL17" s="102"/>
      <c r="HM17" s="102"/>
      <c r="HN17" s="102"/>
      <c r="HO17" s="102"/>
      <c r="HP17" s="102"/>
      <c r="HQ17" s="102"/>
    </row>
    <row r="18" spans="1:225" s="23" customFormat="1" ht="25.35" customHeight="1">
      <c r="A18" s="94">
        <v>9</v>
      </c>
      <c r="B18" s="106" t="s">
        <v>67</v>
      </c>
      <c r="C18" s="106" t="s">
        <v>77</v>
      </c>
      <c r="D18" s="98">
        <v>37900</v>
      </c>
      <c r="E18" s="97">
        <v>42000</v>
      </c>
      <c r="F18" s="108">
        <v>54000</v>
      </c>
      <c r="G18" s="108">
        <v>66000</v>
      </c>
      <c r="H18" s="108">
        <v>48000</v>
      </c>
      <c r="I18" s="104" t="s">
        <v>78</v>
      </c>
      <c r="J18" s="105" t="s">
        <v>74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D18" s="102"/>
      <c r="DE18" s="102"/>
      <c r="DF18" s="102"/>
      <c r="DG18" s="102"/>
      <c r="DH18" s="102"/>
      <c r="DI18" s="102"/>
      <c r="DJ18" s="102"/>
      <c r="DK18" s="102"/>
      <c r="DL18" s="102"/>
      <c r="DM18" s="102"/>
      <c r="DN18" s="102"/>
      <c r="DO18" s="102"/>
      <c r="DP18" s="102"/>
      <c r="DQ18" s="102"/>
      <c r="DR18" s="102"/>
      <c r="DS18" s="102"/>
      <c r="DT18" s="102"/>
      <c r="DU18" s="102"/>
      <c r="DV18" s="102"/>
      <c r="DW18" s="102"/>
      <c r="DX18" s="102"/>
      <c r="DY18" s="102"/>
      <c r="DZ18" s="102"/>
      <c r="EA18" s="102"/>
      <c r="EB18" s="102"/>
      <c r="EC18" s="102"/>
      <c r="ED18" s="102"/>
      <c r="EE18" s="102"/>
      <c r="EF18" s="102"/>
      <c r="EG18" s="102"/>
      <c r="EH18" s="102"/>
      <c r="EI18" s="102"/>
      <c r="EJ18" s="102"/>
      <c r="EK18" s="102"/>
      <c r="EL18" s="102"/>
      <c r="EM18" s="102"/>
      <c r="EN18" s="102"/>
      <c r="EO18" s="102"/>
      <c r="EP18" s="102"/>
      <c r="EQ18" s="102"/>
      <c r="ER18" s="102"/>
      <c r="ES18" s="102"/>
      <c r="ET18" s="102"/>
      <c r="EU18" s="102"/>
      <c r="EV18" s="102"/>
      <c r="EW18" s="102"/>
      <c r="EX18" s="102"/>
      <c r="EY18" s="102"/>
      <c r="EZ18" s="102"/>
      <c r="FA18" s="102"/>
      <c r="FB18" s="102"/>
      <c r="FC18" s="102"/>
      <c r="FD18" s="102"/>
      <c r="FE18" s="102"/>
      <c r="FF18" s="102"/>
      <c r="FG18" s="102"/>
      <c r="FH18" s="102"/>
      <c r="FI18" s="102"/>
      <c r="FJ18" s="102"/>
      <c r="FK18" s="102"/>
      <c r="FL18" s="102"/>
      <c r="FM18" s="102"/>
      <c r="FN18" s="102"/>
      <c r="FO18" s="102"/>
      <c r="FP18" s="102"/>
      <c r="FQ18" s="102"/>
      <c r="FR18" s="102"/>
      <c r="FS18" s="102"/>
      <c r="FT18" s="102"/>
      <c r="FU18" s="102"/>
      <c r="FV18" s="102"/>
      <c r="FW18" s="102"/>
      <c r="FX18" s="102"/>
      <c r="FY18" s="102"/>
      <c r="FZ18" s="102"/>
      <c r="GA18" s="102"/>
      <c r="GB18" s="102"/>
      <c r="GC18" s="102"/>
      <c r="GD18" s="102"/>
      <c r="GE18" s="102"/>
      <c r="GF18" s="102"/>
      <c r="GG18" s="102"/>
      <c r="GH18" s="102"/>
      <c r="GI18" s="102"/>
      <c r="GJ18" s="102"/>
      <c r="GK18" s="102"/>
      <c r="GL18" s="102"/>
      <c r="GM18" s="102"/>
      <c r="GN18" s="102"/>
      <c r="GO18" s="102"/>
      <c r="GP18" s="102"/>
      <c r="GQ18" s="102"/>
      <c r="GR18" s="102"/>
      <c r="GS18" s="102"/>
      <c r="GT18" s="102"/>
      <c r="GU18" s="102"/>
      <c r="GV18" s="102"/>
      <c r="GW18" s="102"/>
      <c r="GX18" s="102"/>
      <c r="GY18" s="102"/>
      <c r="GZ18" s="102"/>
      <c r="HA18" s="102"/>
      <c r="HB18" s="102"/>
      <c r="HC18" s="102"/>
      <c r="HD18" s="102"/>
      <c r="HE18" s="102"/>
      <c r="HF18" s="102"/>
      <c r="HG18" s="102"/>
      <c r="HH18" s="102"/>
      <c r="HI18" s="102"/>
      <c r="HJ18" s="102"/>
      <c r="HK18" s="102"/>
      <c r="HL18" s="102"/>
      <c r="HM18" s="102"/>
      <c r="HN18" s="102"/>
      <c r="HO18" s="102"/>
      <c r="HP18" s="102"/>
      <c r="HQ18" s="102"/>
    </row>
    <row r="19" spans="1:225" s="23" customFormat="1" ht="25.35" customHeight="1">
      <c r="A19" s="94">
        <v>10</v>
      </c>
      <c r="B19" s="106" t="s">
        <v>70</v>
      </c>
      <c r="C19" s="106" t="s">
        <v>70</v>
      </c>
      <c r="D19" s="98">
        <v>26000</v>
      </c>
      <c r="E19" s="97">
        <v>29000</v>
      </c>
      <c r="F19" s="97">
        <v>33000</v>
      </c>
      <c r="G19" s="98">
        <v>40000</v>
      </c>
      <c r="H19" s="97">
        <v>43000</v>
      </c>
      <c r="I19" s="104" t="s">
        <v>79</v>
      </c>
      <c r="J19" s="107" t="s">
        <v>69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  <c r="DU19" s="102"/>
      <c r="DV19" s="102"/>
      <c r="DW19" s="102"/>
      <c r="DX19" s="102"/>
      <c r="DY19" s="102"/>
      <c r="DZ19" s="102"/>
      <c r="EA19" s="102"/>
      <c r="EB19" s="102"/>
      <c r="EC19" s="102"/>
      <c r="ED19" s="102"/>
      <c r="EE19" s="102"/>
      <c r="EF19" s="102"/>
      <c r="EG19" s="102"/>
      <c r="EH19" s="102"/>
      <c r="EI19" s="102"/>
      <c r="EJ19" s="102"/>
      <c r="EK19" s="102"/>
      <c r="EL19" s="102"/>
      <c r="EM19" s="102"/>
      <c r="EN19" s="102"/>
      <c r="EO19" s="102"/>
      <c r="EP19" s="102"/>
      <c r="EQ19" s="102"/>
      <c r="ER19" s="102"/>
      <c r="ES19" s="102"/>
      <c r="ET19" s="102"/>
      <c r="EU19" s="102"/>
      <c r="EV19" s="102"/>
      <c r="EW19" s="102"/>
      <c r="EX19" s="102"/>
      <c r="EY19" s="102"/>
      <c r="EZ19" s="102"/>
      <c r="FA19" s="102"/>
      <c r="FB19" s="102"/>
      <c r="FC19" s="102"/>
      <c r="FD19" s="102"/>
      <c r="FE19" s="102"/>
      <c r="FF19" s="102"/>
      <c r="FG19" s="102"/>
      <c r="FH19" s="102"/>
      <c r="FI19" s="102"/>
      <c r="FJ19" s="102"/>
      <c r="FK19" s="102"/>
      <c r="FL19" s="102"/>
      <c r="FM19" s="102"/>
      <c r="FN19" s="102"/>
      <c r="FO19" s="102"/>
      <c r="FP19" s="102"/>
      <c r="FQ19" s="102"/>
      <c r="FR19" s="102"/>
      <c r="FS19" s="102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102"/>
      <c r="GG19" s="102"/>
      <c r="GH19" s="102"/>
      <c r="GI19" s="102"/>
      <c r="GJ19" s="102"/>
      <c r="GK19" s="102"/>
      <c r="GL19" s="102"/>
      <c r="GM19" s="102"/>
      <c r="GN19" s="102"/>
      <c r="GO19" s="102"/>
      <c r="GP19" s="102"/>
      <c r="GQ19" s="102"/>
      <c r="GR19" s="102"/>
      <c r="GS19" s="102"/>
      <c r="GT19" s="102"/>
      <c r="GU19" s="102"/>
      <c r="GV19" s="102"/>
      <c r="GW19" s="102"/>
      <c r="GX19" s="102"/>
      <c r="GY19" s="102"/>
      <c r="GZ19" s="102"/>
      <c r="HA19" s="102"/>
      <c r="HB19" s="102"/>
      <c r="HC19" s="102"/>
      <c r="HD19" s="102"/>
      <c r="HE19" s="102"/>
      <c r="HF19" s="102"/>
      <c r="HG19" s="102"/>
      <c r="HH19" s="102"/>
      <c r="HI19" s="102"/>
      <c r="HJ19" s="102"/>
      <c r="HK19" s="102"/>
      <c r="HL19" s="102"/>
      <c r="HM19" s="102"/>
      <c r="HN19" s="102"/>
      <c r="HO19" s="102"/>
      <c r="HP19" s="102"/>
      <c r="HQ19" s="102"/>
    </row>
    <row r="20" spans="1:225" s="23" customFormat="1" ht="25.35" customHeight="1">
      <c r="A20" s="94">
        <v>11</v>
      </c>
      <c r="B20" s="106" t="s">
        <v>70</v>
      </c>
      <c r="C20" s="106" t="s">
        <v>72</v>
      </c>
      <c r="D20" s="98">
        <v>26000</v>
      </c>
      <c r="E20" s="97">
        <v>29000</v>
      </c>
      <c r="F20" s="97">
        <v>37000</v>
      </c>
      <c r="G20" s="99">
        <v>44000</v>
      </c>
      <c r="H20" s="99">
        <v>48000</v>
      </c>
      <c r="I20" s="104" t="s">
        <v>80</v>
      </c>
      <c r="J20" s="105" t="s">
        <v>74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02"/>
      <c r="DI20" s="102"/>
      <c r="DJ20" s="102"/>
      <c r="DK20" s="102"/>
      <c r="DL20" s="102"/>
      <c r="DM20" s="102"/>
      <c r="DN20" s="102"/>
      <c r="DO20" s="102"/>
      <c r="DP20" s="102"/>
      <c r="DQ20" s="102"/>
      <c r="DR20" s="10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  <c r="ED20" s="102"/>
      <c r="EE20" s="102"/>
      <c r="EF20" s="102"/>
      <c r="EG20" s="102"/>
      <c r="EH20" s="102"/>
      <c r="EI20" s="102"/>
      <c r="EJ20" s="102"/>
      <c r="EK20" s="102"/>
      <c r="EL20" s="102"/>
      <c r="EM20" s="102"/>
      <c r="EN20" s="102"/>
      <c r="EO20" s="102"/>
      <c r="EP20" s="102"/>
      <c r="EQ20" s="102"/>
      <c r="ER20" s="102"/>
      <c r="ES20" s="102"/>
      <c r="ET20" s="102"/>
      <c r="EU20" s="102"/>
      <c r="EV20" s="102"/>
      <c r="EW20" s="102"/>
      <c r="EX20" s="102"/>
      <c r="EY20" s="102"/>
      <c r="EZ20" s="102"/>
      <c r="FA20" s="102"/>
      <c r="FB20" s="102"/>
      <c r="FC20" s="102"/>
      <c r="FD20" s="102"/>
      <c r="FE20" s="102"/>
      <c r="FF20" s="102"/>
      <c r="FG20" s="102"/>
      <c r="FH20" s="102"/>
      <c r="FI20" s="102"/>
      <c r="FJ20" s="102"/>
      <c r="FK20" s="102"/>
      <c r="FL20" s="102"/>
      <c r="FM20" s="102"/>
      <c r="FN20" s="102"/>
      <c r="FO20" s="102"/>
      <c r="FP20" s="102"/>
      <c r="FQ20" s="102"/>
      <c r="FR20" s="102"/>
      <c r="FS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  <c r="GG20" s="102"/>
      <c r="GH20" s="102"/>
      <c r="GI20" s="102"/>
      <c r="GJ20" s="102"/>
      <c r="GK20" s="102"/>
      <c r="GL20" s="102"/>
      <c r="GM20" s="102"/>
      <c r="GN20" s="102"/>
      <c r="GO20" s="102"/>
      <c r="GP20" s="102"/>
      <c r="GQ20" s="102"/>
      <c r="GR20" s="102"/>
      <c r="GS20" s="102"/>
      <c r="GT20" s="102"/>
      <c r="GU20" s="102"/>
      <c r="GV20" s="102"/>
      <c r="GW20" s="102"/>
      <c r="GX20" s="102"/>
      <c r="GY20" s="102"/>
      <c r="GZ20" s="102"/>
      <c r="HA20" s="102"/>
      <c r="HB20" s="102"/>
      <c r="HC20" s="102"/>
      <c r="HD20" s="102"/>
      <c r="HE20" s="102"/>
      <c r="HF20" s="102"/>
      <c r="HG20" s="102"/>
      <c r="HH20" s="102"/>
      <c r="HI20" s="102"/>
      <c r="HJ20" s="102"/>
      <c r="HK20" s="102"/>
      <c r="HL20" s="102"/>
      <c r="HM20" s="102"/>
      <c r="HN20" s="102"/>
      <c r="HO20" s="102"/>
      <c r="HP20" s="102"/>
      <c r="HQ20" s="102"/>
    </row>
    <row r="21" spans="1:225" s="23" customFormat="1" ht="25.35" customHeight="1">
      <c r="A21" s="94">
        <v>12</v>
      </c>
      <c r="B21" s="106" t="s">
        <v>70</v>
      </c>
      <c r="C21" s="106" t="s">
        <v>75</v>
      </c>
      <c r="D21" s="98">
        <v>34000</v>
      </c>
      <c r="E21" s="97">
        <v>37000</v>
      </c>
      <c r="F21" s="97">
        <v>49000</v>
      </c>
      <c r="G21" s="99">
        <v>59000</v>
      </c>
      <c r="H21" s="99">
        <v>64000</v>
      </c>
      <c r="I21" s="104" t="s">
        <v>81</v>
      </c>
      <c r="J21" s="105" t="s">
        <v>74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  <c r="CV21" s="102"/>
      <c r="CW21" s="102"/>
      <c r="CX21" s="102"/>
      <c r="CY21" s="102"/>
      <c r="CZ21" s="102"/>
      <c r="DA21" s="102"/>
      <c r="DB21" s="102"/>
      <c r="DC21" s="102"/>
      <c r="DD21" s="102"/>
      <c r="DE21" s="102"/>
      <c r="DF21" s="102"/>
      <c r="DG21" s="102"/>
      <c r="DH21" s="102"/>
      <c r="DI21" s="102"/>
      <c r="DJ21" s="102"/>
      <c r="DK21" s="102"/>
      <c r="DL21" s="102"/>
      <c r="DM21" s="102"/>
      <c r="DN21" s="102"/>
      <c r="DO21" s="102"/>
      <c r="DP21" s="102"/>
      <c r="DQ21" s="102"/>
      <c r="DR21" s="10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  <c r="ED21" s="102"/>
      <c r="EE21" s="102"/>
      <c r="EF21" s="102"/>
      <c r="EG21" s="102"/>
      <c r="EH21" s="102"/>
      <c r="EI21" s="102"/>
      <c r="EJ21" s="102"/>
      <c r="EK21" s="102"/>
      <c r="EL21" s="102"/>
      <c r="EM21" s="102"/>
      <c r="EN21" s="102"/>
      <c r="EO21" s="102"/>
      <c r="EP21" s="102"/>
      <c r="EQ21" s="102"/>
      <c r="ER21" s="102"/>
      <c r="ES21" s="102"/>
      <c r="ET21" s="102"/>
      <c r="EU21" s="102"/>
      <c r="EV21" s="102"/>
      <c r="EW21" s="102"/>
      <c r="EX21" s="102"/>
      <c r="EY21" s="102"/>
      <c r="EZ21" s="102"/>
      <c r="FA21" s="102"/>
      <c r="FB21" s="102"/>
      <c r="FC21" s="102"/>
      <c r="FD21" s="102"/>
      <c r="FE21" s="102"/>
      <c r="FF21" s="102"/>
      <c r="FG21" s="102"/>
      <c r="FH21" s="102"/>
      <c r="FI21" s="102"/>
      <c r="FJ21" s="102"/>
      <c r="FK21" s="102"/>
      <c r="FL21" s="102"/>
      <c r="FM21" s="102"/>
      <c r="FN21" s="102"/>
      <c r="FO21" s="102"/>
      <c r="FP21" s="102"/>
      <c r="FQ21" s="102"/>
      <c r="FR21" s="102"/>
      <c r="FS21" s="102"/>
      <c r="FT21" s="102"/>
      <c r="FU21" s="102"/>
      <c r="FV21" s="102"/>
      <c r="FW21" s="102"/>
      <c r="FX21" s="102"/>
      <c r="FY21" s="102"/>
      <c r="FZ21" s="102"/>
      <c r="GA21" s="102"/>
      <c r="GB21" s="102"/>
      <c r="GC21" s="102"/>
      <c r="GD21" s="102"/>
      <c r="GE21" s="102"/>
      <c r="GF21" s="102"/>
      <c r="GG21" s="102"/>
      <c r="GH21" s="102"/>
      <c r="GI21" s="102"/>
      <c r="GJ21" s="102"/>
      <c r="GK21" s="102"/>
      <c r="GL21" s="102"/>
      <c r="GM21" s="102"/>
      <c r="GN21" s="102"/>
      <c r="GO21" s="102"/>
      <c r="GP21" s="102"/>
      <c r="GQ21" s="102"/>
      <c r="GR21" s="102"/>
      <c r="GS21" s="102"/>
      <c r="GT21" s="102"/>
      <c r="GU21" s="102"/>
      <c r="GV21" s="102"/>
      <c r="GW21" s="102"/>
      <c r="GX21" s="102"/>
      <c r="GY21" s="102"/>
      <c r="GZ21" s="102"/>
      <c r="HA21" s="102"/>
      <c r="HB21" s="102"/>
      <c r="HC21" s="102"/>
      <c r="HD21" s="102"/>
      <c r="HE21" s="102"/>
      <c r="HF21" s="102"/>
      <c r="HG21" s="102"/>
      <c r="HH21" s="102"/>
      <c r="HI21" s="102"/>
      <c r="HJ21" s="102"/>
      <c r="HK21" s="102"/>
      <c r="HL21" s="102"/>
      <c r="HM21" s="102"/>
      <c r="HN21" s="102"/>
      <c r="HO21" s="102"/>
      <c r="HP21" s="102"/>
      <c r="HQ21" s="102"/>
    </row>
    <row r="22" spans="1:225" s="23" customFormat="1" ht="25.35" customHeight="1">
      <c r="A22" s="94">
        <v>13</v>
      </c>
      <c r="B22" s="106" t="s">
        <v>70</v>
      </c>
      <c r="C22" s="106" t="s">
        <v>76</v>
      </c>
      <c r="D22" s="98">
        <v>41000</v>
      </c>
      <c r="E22" s="97">
        <v>45000</v>
      </c>
      <c r="F22" s="97">
        <v>62000</v>
      </c>
      <c r="G22" s="99">
        <v>73000</v>
      </c>
      <c r="H22" s="99">
        <v>80000</v>
      </c>
      <c r="I22" s="104" t="s">
        <v>79</v>
      </c>
      <c r="J22" s="105" t="s">
        <v>74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2"/>
      <c r="DC22" s="102"/>
      <c r="DD22" s="102"/>
      <c r="DE22" s="102"/>
      <c r="DF22" s="102"/>
      <c r="DG22" s="102"/>
      <c r="DH22" s="102"/>
      <c r="DI22" s="102"/>
      <c r="DJ22" s="102"/>
      <c r="DK22" s="102"/>
      <c r="DL22" s="102"/>
      <c r="DM22" s="102"/>
      <c r="DN22" s="102"/>
      <c r="DO22" s="102"/>
      <c r="DP22" s="102"/>
      <c r="DQ22" s="102"/>
      <c r="DR22" s="102"/>
      <c r="DS22" s="102"/>
      <c r="DT22" s="102"/>
      <c r="DU22" s="102"/>
      <c r="DV22" s="102"/>
      <c r="DW22" s="102"/>
      <c r="DX22" s="102"/>
      <c r="DY22" s="102"/>
      <c r="DZ22" s="102"/>
      <c r="EA22" s="102"/>
      <c r="EB22" s="102"/>
      <c r="EC22" s="102"/>
      <c r="ED22" s="102"/>
      <c r="EE22" s="102"/>
      <c r="EF22" s="102"/>
      <c r="EG22" s="102"/>
      <c r="EH22" s="102"/>
      <c r="EI22" s="102"/>
      <c r="EJ22" s="102"/>
      <c r="EK22" s="102"/>
      <c r="EL22" s="102"/>
      <c r="EM22" s="102"/>
      <c r="EN22" s="102"/>
      <c r="EO22" s="102"/>
      <c r="EP22" s="102"/>
      <c r="EQ22" s="102"/>
      <c r="ER22" s="102"/>
      <c r="ES22" s="102"/>
      <c r="ET22" s="102"/>
      <c r="EU22" s="102"/>
      <c r="EV22" s="102"/>
      <c r="EW22" s="102"/>
      <c r="EX22" s="102"/>
      <c r="EY22" s="102"/>
      <c r="EZ22" s="102"/>
      <c r="FA22" s="102"/>
      <c r="FB22" s="102"/>
      <c r="FC22" s="102"/>
      <c r="FD22" s="102"/>
      <c r="FE22" s="102"/>
      <c r="FF22" s="102"/>
      <c r="FG22" s="102"/>
      <c r="FH22" s="102"/>
      <c r="FI22" s="102"/>
      <c r="FJ22" s="102"/>
      <c r="FK22" s="102"/>
      <c r="FL22" s="102"/>
      <c r="FM22" s="102"/>
      <c r="FN22" s="102"/>
      <c r="FO22" s="102"/>
      <c r="FP22" s="102"/>
      <c r="FQ22" s="102"/>
      <c r="FR22" s="102"/>
      <c r="FS22" s="102"/>
      <c r="FT22" s="102"/>
      <c r="FU22" s="102"/>
      <c r="FV22" s="102"/>
      <c r="FW22" s="102"/>
      <c r="FX22" s="102"/>
      <c r="FY22" s="102"/>
      <c r="FZ22" s="102"/>
      <c r="GA22" s="102"/>
      <c r="GB22" s="102"/>
      <c r="GC22" s="102"/>
      <c r="GD22" s="102"/>
      <c r="GE22" s="102"/>
      <c r="GF22" s="102"/>
      <c r="GG22" s="102"/>
      <c r="GH22" s="102"/>
      <c r="GI22" s="102"/>
      <c r="GJ22" s="102"/>
      <c r="GK22" s="102"/>
      <c r="GL22" s="102"/>
      <c r="GM22" s="102"/>
      <c r="GN22" s="102"/>
      <c r="GO22" s="102"/>
      <c r="GP22" s="102"/>
      <c r="GQ22" s="102"/>
      <c r="GR22" s="102"/>
      <c r="GS22" s="102"/>
      <c r="GT22" s="102"/>
      <c r="GU22" s="102"/>
      <c r="GV22" s="102"/>
      <c r="GW22" s="102"/>
      <c r="GX22" s="102"/>
      <c r="GY22" s="102"/>
      <c r="GZ22" s="102"/>
      <c r="HA22" s="102"/>
      <c r="HB22" s="102"/>
      <c r="HC22" s="102"/>
      <c r="HD22" s="102"/>
      <c r="HE22" s="102"/>
      <c r="HF22" s="102"/>
      <c r="HG22" s="102"/>
      <c r="HH22" s="102"/>
      <c r="HI22" s="102"/>
      <c r="HJ22" s="102"/>
      <c r="HK22" s="102"/>
      <c r="HL22" s="102"/>
      <c r="HM22" s="102"/>
      <c r="HN22" s="102"/>
      <c r="HO22" s="102"/>
      <c r="HP22" s="102"/>
      <c r="HQ22" s="102"/>
    </row>
    <row r="23" spans="1:225" s="23" customFormat="1" ht="25.35" customHeight="1">
      <c r="A23" s="94">
        <v>14</v>
      </c>
      <c r="B23" s="106" t="s">
        <v>70</v>
      </c>
      <c r="C23" s="106" t="s">
        <v>77</v>
      </c>
      <c r="D23" s="98">
        <v>48000</v>
      </c>
      <c r="E23" s="97">
        <v>53000</v>
      </c>
      <c r="F23" s="97">
        <v>74000</v>
      </c>
      <c r="G23" s="99">
        <v>88000</v>
      </c>
      <c r="H23" s="99">
        <v>96000</v>
      </c>
      <c r="I23" s="104" t="s">
        <v>82</v>
      </c>
      <c r="J23" s="105" t="s">
        <v>74</v>
      </c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  <c r="DL23" s="102"/>
      <c r="DM23" s="102"/>
      <c r="DN23" s="102"/>
      <c r="DO23" s="102"/>
      <c r="DP23" s="102"/>
      <c r="DQ23" s="102"/>
      <c r="DR23" s="102"/>
      <c r="DS23" s="102"/>
      <c r="DT23" s="102"/>
      <c r="DU23" s="102"/>
      <c r="DV23" s="102"/>
      <c r="DW23" s="102"/>
      <c r="DX23" s="102"/>
      <c r="DY23" s="102"/>
      <c r="DZ23" s="102"/>
      <c r="EA23" s="102"/>
      <c r="EB23" s="102"/>
      <c r="EC23" s="102"/>
      <c r="ED23" s="102"/>
      <c r="EE23" s="102"/>
      <c r="EF23" s="102"/>
      <c r="EG23" s="102"/>
      <c r="EH23" s="102"/>
      <c r="EI23" s="102"/>
      <c r="EJ23" s="102"/>
      <c r="EK23" s="102"/>
      <c r="EL23" s="102"/>
      <c r="EM23" s="102"/>
      <c r="EN23" s="102"/>
      <c r="EO23" s="102"/>
      <c r="EP23" s="102"/>
      <c r="EQ23" s="102"/>
      <c r="ER23" s="102"/>
      <c r="ES23" s="102"/>
      <c r="ET23" s="102"/>
      <c r="EU23" s="102"/>
      <c r="EV23" s="102"/>
      <c r="EW23" s="102"/>
      <c r="EX23" s="102"/>
      <c r="EY23" s="102"/>
      <c r="EZ23" s="102"/>
      <c r="FA23" s="102"/>
      <c r="FB23" s="102"/>
      <c r="FC23" s="102"/>
      <c r="FD23" s="102"/>
      <c r="FE23" s="102"/>
      <c r="FF23" s="102"/>
      <c r="FG23" s="102"/>
      <c r="FH23" s="102"/>
      <c r="FI23" s="102"/>
      <c r="FJ23" s="102"/>
      <c r="FK23" s="102"/>
      <c r="FL23" s="102"/>
      <c r="FM23" s="102"/>
      <c r="FN23" s="102"/>
      <c r="FO23" s="102"/>
      <c r="FP23" s="102"/>
      <c r="FQ23" s="102"/>
      <c r="FR23" s="102"/>
      <c r="FS23" s="102"/>
      <c r="FT23" s="102"/>
      <c r="FU23" s="102"/>
      <c r="FV23" s="102"/>
      <c r="FW23" s="102"/>
      <c r="FX23" s="102"/>
      <c r="FY23" s="102"/>
      <c r="FZ23" s="102"/>
      <c r="GA23" s="102"/>
      <c r="GB23" s="102"/>
      <c r="GC23" s="102"/>
      <c r="GD23" s="102"/>
      <c r="GE23" s="102"/>
      <c r="GF23" s="102"/>
      <c r="GG23" s="102"/>
      <c r="GH23" s="102"/>
      <c r="GI23" s="102"/>
      <c r="GJ23" s="102"/>
      <c r="GK23" s="102"/>
      <c r="GL23" s="102"/>
      <c r="GM23" s="102"/>
      <c r="GN23" s="102"/>
      <c r="GO23" s="102"/>
      <c r="GP23" s="102"/>
      <c r="GQ23" s="102"/>
      <c r="GR23" s="102"/>
      <c r="GS23" s="102"/>
      <c r="GT23" s="102"/>
      <c r="GU23" s="102"/>
      <c r="GV23" s="102"/>
      <c r="GW23" s="102"/>
      <c r="GX23" s="102"/>
      <c r="GY23" s="102"/>
      <c r="GZ23" s="102"/>
      <c r="HA23" s="102"/>
      <c r="HB23" s="102"/>
      <c r="HC23" s="102"/>
      <c r="HD23" s="102"/>
      <c r="HE23" s="102"/>
      <c r="HF23" s="102"/>
      <c r="HG23" s="102"/>
      <c r="HH23" s="102"/>
      <c r="HI23" s="102"/>
      <c r="HJ23" s="102"/>
      <c r="HK23" s="102"/>
      <c r="HL23" s="102"/>
      <c r="HM23" s="102"/>
      <c r="HN23" s="102"/>
      <c r="HO23" s="102"/>
      <c r="HP23" s="102"/>
      <c r="HQ23" s="102"/>
    </row>
    <row r="24" spans="1:225" s="23" customFormat="1" ht="25.35" customHeight="1">
      <c r="A24" s="94">
        <v>15</v>
      </c>
      <c r="B24" s="106" t="s">
        <v>72</v>
      </c>
      <c r="C24" s="106" t="s">
        <v>72</v>
      </c>
      <c r="D24" s="98">
        <v>29000</v>
      </c>
      <c r="E24" s="97">
        <v>32000</v>
      </c>
      <c r="F24" s="97">
        <v>37000</v>
      </c>
      <c r="G24" s="98">
        <v>44000</v>
      </c>
      <c r="H24" s="103">
        <v>48000</v>
      </c>
      <c r="I24" s="104" t="s">
        <v>83</v>
      </c>
      <c r="J24" s="107" t="s">
        <v>69</v>
      </c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  <c r="CV24" s="102"/>
      <c r="CW24" s="102"/>
      <c r="CX24" s="102"/>
      <c r="CY24" s="102"/>
      <c r="CZ24" s="102"/>
      <c r="DA24" s="102"/>
      <c r="DB24" s="102"/>
      <c r="DC24" s="102"/>
      <c r="DD24" s="102"/>
      <c r="DE24" s="102"/>
      <c r="DF24" s="102"/>
      <c r="DG24" s="102"/>
      <c r="DH24" s="102"/>
      <c r="DI24" s="102"/>
      <c r="DJ24" s="102"/>
      <c r="DK24" s="102"/>
      <c r="DL24" s="102"/>
      <c r="DM24" s="102"/>
      <c r="DN24" s="102"/>
      <c r="DO24" s="102"/>
      <c r="DP24" s="102"/>
      <c r="DQ24" s="102"/>
      <c r="DR24" s="10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2"/>
      <c r="EC24" s="102"/>
      <c r="ED24" s="102"/>
      <c r="EE24" s="102"/>
      <c r="EF24" s="102"/>
      <c r="EG24" s="102"/>
      <c r="EH24" s="102"/>
      <c r="EI24" s="102"/>
      <c r="EJ24" s="102"/>
      <c r="EK24" s="102"/>
      <c r="EL24" s="102"/>
      <c r="EM24" s="102"/>
      <c r="EN24" s="102"/>
      <c r="EO24" s="102"/>
      <c r="EP24" s="102"/>
      <c r="EQ24" s="102"/>
      <c r="ER24" s="102"/>
      <c r="ES24" s="102"/>
      <c r="ET24" s="102"/>
      <c r="EU24" s="102"/>
      <c r="EV24" s="102"/>
      <c r="EW24" s="102"/>
      <c r="EX24" s="102"/>
      <c r="EY24" s="102"/>
      <c r="EZ24" s="102"/>
      <c r="FA24" s="102"/>
      <c r="FB24" s="102"/>
      <c r="FC24" s="102"/>
      <c r="FD24" s="102"/>
      <c r="FE24" s="102"/>
      <c r="FF24" s="102"/>
      <c r="FG24" s="102"/>
      <c r="FH24" s="102"/>
      <c r="FI24" s="102"/>
      <c r="FJ24" s="102"/>
      <c r="FK24" s="102"/>
      <c r="FL24" s="102"/>
      <c r="FM24" s="102"/>
      <c r="FN24" s="102"/>
      <c r="FO24" s="102"/>
      <c r="FP24" s="102"/>
      <c r="FQ24" s="102"/>
      <c r="FR24" s="102"/>
      <c r="FS24" s="102"/>
      <c r="FT24" s="102"/>
      <c r="FU24" s="102"/>
      <c r="FV24" s="102"/>
      <c r="FW24" s="102"/>
      <c r="FX24" s="102"/>
      <c r="FY24" s="102"/>
      <c r="FZ24" s="102"/>
      <c r="GA24" s="102"/>
      <c r="GB24" s="102"/>
      <c r="GC24" s="102"/>
      <c r="GD24" s="102"/>
      <c r="GE24" s="102"/>
      <c r="GF24" s="102"/>
      <c r="GG24" s="102"/>
      <c r="GH24" s="102"/>
      <c r="GI24" s="102"/>
      <c r="GJ24" s="102"/>
      <c r="GK24" s="102"/>
      <c r="GL24" s="102"/>
      <c r="GM24" s="102"/>
      <c r="GN24" s="102"/>
      <c r="GO24" s="102"/>
      <c r="GP24" s="102"/>
      <c r="GQ24" s="102"/>
      <c r="GR24" s="102"/>
      <c r="GS24" s="102"/>
      <c r="GT24" s="102"/>
      <c r="GU24" s="102"/>
      <c r="GV24" s="102"/>
      <c r="GW24" s="102"/>
      <c r="GX24" s="102"/>
      <c r="GY24" s="102"/>
      <c r="GZ24" s="102"/>
      <c r="HA24" s="102"/>
      <c r="HB24" s="102"/>
      <c r="HC24" s="102"/>
      <c r="HD24" s="102"/>
      <c r="HE24" s="102"/>
      <c r="HF24" s="102"/>
      <c r="HG24" s="102"/>
      <c r="HH24" s="102"/>
      <c r="HI24" s="102"/>
      <c r="HJ24" s="102"/>
      <c r="HK24" s="102"/>
      <c r="HL24" s="102"/>
      <c r="HM24" s="102"/>
      <c r="HN24" s="102"/>
      <c r="HO24" s="102"/>
      <c r="HP24" s="102"/>
      <c r="HQ24" s="102"/>
    </row>
    <row r="25" spans="1:225" s="23" customFormat="1" ht="25.35" customHeight="1">
      <c r="A25" s="94">
        <v>16</v>
      </c>
      <c r="B25" s="106" t="s">
        <v>72</v>
      </c>
      <c r="C25" s="106" t="s">
        <v>84</v>
      </c>
      <c r="D25" s="98">
        <v>35000</v>
      </c>
      <c r="E25" s="97">
        <v>39000</v>
      </c>
      <c r="F25" s="97">
        <v>43000</v>
      </c>
      <c r="G25" s="99">
        <v>51000</v>
      </c>
      <c r="H25" s="99">
        <v>56000</v>
      </c>
      <c r="I25" s="104" t="s">
        <v>85</v>
      </c>
      <c r="J25" s="107" t="s">
        <v>69</v>
      </c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2"/>
      <c r="CY25" s="102"/>
      <c r="CZ25" s="102"/>
      <c r="DA25" s="102"/>
      <c r="DB25" s="102"/>
      <c r="DC25" s="102"/>
      <c r="DD25" s="102"/>
      <c r="DE25" s="102"/>
      <c r="DF25" s="102"/>
      <c r="DG25" s="102"/>
      <c r="DH25" s="102"/>
      <c r="DI25" s="102"/>
      <c r="DJ25" s="102"/>
      <c r="DK25" s="102"/>
      <c r="DL25" s="102"/>
      <c r="DM25" s="102"/>
      <c r="DN25" s="102"/>
      <c r="DO25" s="102"/>
      <c r="DP25" s="102"/>
      <c r="DQ25" s="102"/>
      <c r="DR25" s="102"/>
      <c r="DS25" s="102"/>
      <c r="DT25" s="102"/>
      <c r="DU25" s="102"/>
      <c r="DV25" s="102"/>
      <c r="DW25" s="102"/>
      <c r="DX25" s="102"/>
      <c r="DY25" s="102"/>
      <c r="DZ25" s="102"/>
      <c r="EA25" s="102"/>
      <c r="EB25" s="102"/>
      <c r="EC25" s="102"/>
      <c r="ED25" s="102"/>
      <c r="EE25" s="102"/>
      <c r="EF25" s="102"/>
      <c r="EG25" s="102"/>
      <c r="EH25" s="102"/>
      <c r="EI25" s="102"/>
      <c r="EJ25" s="102"/>
      <c r="EK25" s="102"/>
      <c r="EL25" s="102"/>
      <c r="EM25" s="102"/>
      <c r="EN25" s="102"/>
      <c r="EO25" s="102"/>
      <c r="EP25" s="102"/>
      <c r="EQ25" s="102"/>
      <c r="ER25" s="102"/>
      <c r="ES25" s="102"/>
      <c r="ET25" s="102"/>
      <c r="EU25" s="102"/>
      <c r="EV25" s="102"/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02"/>
      <c r="FP25" s="102"/>
      <c r="FQ25" s="102"/>
      <c r="FR25" s="102"/>
      <c r="FS25" s="102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102"/>
      <c r="GG25" s="102"/>
      <c r="GH25" s="102"/>
      <c r="GI25" s="102"/>
      <c r="GJ25" s="102"/>
      <c r="GK25" s="102"/>
      <c r="GL25" s="102"/>
      <c r="GM25" s="102"/>
      <c r="GN25" s="102"/>
      <c r="GO25" s="102"/>
      <c r="GP25" s="102"/>
      <c r="GQ25" s="102"/>
      <c r="GR25" s="102"/>
      <c r="GS25" s="102"/>
      <c r="GT25" s="102"/>
      <c r="GU25" s="102"/>
      <c r="GV25" s="102"/>
      <c r="GW25" s="102"/>
      <c r="GX25" s="102"/>
      <c r="GY25" s="102"/>
      <c r="GZ25" s="102"/>
      <c r="HA25" s="102"/>
      <c r="HB25" s="102"/>
      <c r="HC25" s="102"/>
      <c r="HD25" s="102"/>
      <c r="HE25" s="102"/>
      <c r="HF25" s="102"/>
      <c r="HG25" s="102"/>
      <c r="HH25" s="102"/>
      <c r="HI25" s="102"/>
      <c r="HJ25" s="102"/>
      <c r="HK25" s="102"/>
      <c r="HL25" s="102"/>
      <c r="HM25" s="102"/>
      <c r="HN25" s="102"/>
      <c r="HO25" s="102"/>
      <c r="HP25" s="102"/>
      <c r="HQ25" s="102"/>
    </row>
    <row r="26" spans="1:225" s="23" customFormat="1" ht="25.35" customHeight="1">
      <c r="A26" s="94">
        <v>17</v>
      </c>
      <c r="B26" s="106" t="s">
        <v>72</v>
      </c>
      <c r="C26" s="106" t="s">
        <v>75</v>
      </c>
      <c r="D26" s="98">
        <v>40000</v>
      </c>
      <c r="E26" s="97">
        <v>44000</v>
      </c>
      <c r="F26" s="97">
        <v>49000</v>
      </c>
      <c r="G26" s="99">
        <v>59000</v>
      </c>
      <c r="H26" s="99">
        <v>64000</v>
      </c>
      <c r="I26" s="104" t="s">
        <v>86</v>
      </c>
      <c r="J26" s="105" t="s">
        <v>74</v>
      </c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N26" s="102"/>
      <c r="EO26" s="102"/>
      <c r="EP26" s="102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L26" s="102"/>
      <c r="FM26" s="102"/>
      <c r="FN26" s="102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J26" s="102"/>
      <c r="GK26" s="102"/>
      <c r="GL26" s="102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H26" s="102"/>
      <c r="HI26" s="102"/>
      <c r="HJ26" s="102"/>
      <c r="HK26" s="102"/>
      <c r="HL26" s="102"/>
      <c r="HM26" s="102"/>
      <c r="HN26" s="102"/>
      <c r="HO26" s="102"/>
      <c r="HP26" s="102"/>
      <c r="HQ26" s="102"/>
    </row>
    <row r="27" spans="1:225" s="23" customFormat="1" ht="25.35" customHeight="1">
      <c r="A27" s="94">
        <v>18</v>
      </c>
      <c r="B27" s="106" t="s">
        <v>72</v>
      </c>
      <c r="C27" s="106" t="s">
        <v>87</v>
      </c>
      <c r="D27" s="98">
        <v>42000</v>
      </c>
      <c r="E27" s="97">
        <v>46000</v>
      </c>
      <c r="F27" s="97">
        <v>56000</v>
      </c>
      <c r="G27" s="99">
        <v>66000</v>
      </c>
      <c r="H27" s="99">
        <v>72000</v>
      </c>
      <c r="I27" s="104" t="s">
        <v>88</v>
      </c>
      <c r="J27" s="107" t="s">
        <v>69</v>
      </c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  <c r="DL27" s="102"/>
      <c r="DM27" s="102"/>
      <c r="DN27" s="102"/>
      <c r="DO27" s="102"/>
      <c r="DP27" s="102"/>
      <c r="DQ27" s="102"/>
      <c r="DR27" s="102"/>
      <c r="DS27" s="102"/>
      <c r="DT27" s="102"/>
      <c r="DU27" s="102"/>
      <c r="DV27" s="102"/>
      <c r="DW27" s="102"/>
      <c r="DX27" s="102"/>
      <c r="DY27" s="102"/>
      <c r="DZ27" s="102"/>
      <c r="EA27" s="102"/>
      <c r="EB27" s="102"/>
      <c r="EC27" s="102"/>
      <c r="ED27" s="102"/>
      <c r="EE27" s="102"/>
      <c r="EF27" s="102"/>
      <c r="EG27" s="102"/>
      <c r="EH27" s="102"/>
      <c r="EI27" s="102"/>
      <c r="EJ27" s="102"/>
      <c r="EK27" s="102"/>
      <c r="EL27" s="102"/>
      <c r="EM27" s="102"/>
      <c r="EN27" s="102"/>
      <c r="EO27" s="102"/>
      <c r="EP27" s="102"/>
      <c r="EQ27" s="102"/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2"/>
      <c r="GH27" s="102"/>
      <c r="GI27" s="102"/>
      <c r="GJ27" s="102"/>
      <c r="GK27" s="102"/>
      <c r="GL27" s="102"/>
      <c r="GM27" s="102"/>
      <c r="GN27" s="102"/>
      <c r="GO27" s="102"/>
      <c r="GP27" s="102"/>
      <c r="GQ27" s="102"/>
      <c r="GR27" s="102"/>
      <c r="GS27" s="102"/>
      <c r="GT27" s="102"/>
      <c r="GU27" s="102"/>
      <c r="GV27" s="102"/>
      <c r="GW27" s="102"/>
      <c r="GX27" s="102"/>
      <c r="GY27" s="102"/>
      <c r="GZ27" s="102"/>
      <c r="HA27" s="102"/>
      <c r="HB27" s="102"/>
      <c r="HC27" s="102"/>
      <c r="HD27" s="102"/>
      <c r="HE27" s="102"/>
      <c r="HF27" s="102"/>
      <c r="HG27" s="102"/>
      <c r="HH27" s="102"/>
      <c r="HI27" s="102"/>
      <c r="HJ27" s="102"/>
      <c r="HK27" s="102"/>
      <c r="HL27" s="102"/>
      <c r="HM27" s="102"/>
      <c r="HN27" s="102"/>
      <c r="HO27" s="102"/>
      <c r="HP27" s="102"/>
      <c r="HQ27" s="102"/>
    </row>
    <row r="28" spans="1:225" s="23" customFormat="1" ht="25.35" customHeight="1">
      <c r="A28" s="94">
        <v>19</v>
      </c>
      <c r="B28" s="106">
        <v>30</v>
      </c>
      <c r="C28" s="106">
        <v>50</v>
      </c>
      <c r="D28" s="98">
        <v>44000</v>
      </c>
      <c r="E28" s="97">
        <v>48000</v>
      </c>
      <c r="F28" s="97">
        <v>62000</v>
      </c>
      <c r="G28" s="99">
        <v>73000</v>
      </c>
      <c r="H28" s="99">
        <v>80000</v>
      </c>
      <c r="I28" s="104" t="s">
        <v>89</v>
      </c>
      <c r="J28" s="105" t="s">
        <v>74</v>
      </c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102"/>
      <c r="DE28" s="102"/>
      <c r="DF28" s="102"/>
      <c r="DG28" s="102"/>
      <c r="DH28" s="102"/>
      <c r="DI28" s="102"/>
      <c r="DJ28" s="102"/>
      <c r="DK28" s="102"/>
      <c r="DL28" s="102"/>
      <c r="DM28" s="102"/>
      <c r="DN28" s="102"/>
      <c r="DO28" s="102"/>
      <c r="DP28" s="102"/>
      <c r="DQ28" s="102"/>
      <c r="DR28" s="102"/>
      <c r="DS28" s="102"/>
      <c r="DT28" s="102"/>
      <c r="DU28" s="102"/>
      <c r="DV28" s="102"/>
      <c r="DW28" s="102"/>
      <c r="DX28" s="102"/>
      <c r="DY28" s="102"/>
      <c r="DZ28" s="102"/>
      <c r="EA28" s="102"/>
      <c r="EB28" s="102"/>
      <c r="EC28" s="102"/>
      <c r="ED28" s="102"/>
      <c r="EE28" s="102"/>
      <c r="EF28" s="102"/>
      <c r="EG28" s="102"/>
      <c r="EH28" s="102"/>
      <c r="EI28" s="102"/>
      <c r="EJ28" s="102"/>
      <c r="EK28" s="102"/>
      <c r="EL28" s="102"/>
      <c r="EM28" s="102"/>
      <c r="EN28" s="102"/>
      <c r="EO28" s="102"/>
      <c r="EP28" s="102"/>
      <c r="EQ28" s="102"/>
      <c r="ER28" s="102"/>
      <c r="ES28" s="102"/>
      <c r="ET28" s="102"/>
      <c r="EU28" s="102"/>
      <c r="EV28" s="102"/>
      <c r="EW28" s="102"/>
      <c r="EX28" s="102"/>
      <c r="EY28" s="102"/>
      <c r="EZ28" s="102"/>
      <c r="FA28" s="102"/>
      <c r="FB28" s="102"/>
      <c r="FC28" s="102"/>
      <c r="FD28" s="102"/>
      <c r="FE28" s="102"/>
      <c r="FF28" s="102"/>
      <c r="FG28" s="102"/>
      <c r="FH28" s="102"/>
      <c r="FI28" s="102"/>
      <c r="FJ28" s="102"/>
      <c r="FK28" s="102"/>
      <c r="FL28" s="102"/>
      <c r="FM28" s="102"/>
      <c r="FN28" s="102"/>
      <c r="FO28" s="102"/>
      <c r="FP28" s="102"/>
      <c r="FQ28" s="102"/>
      <c r="FR28" s="102"/>
      <c r="FS28" s="102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102"/>
      <c r="GG28" s="102"/>
      <c r="GH28" s="102"/>
      <c r="GI28" s="102"/>
      <c r="GJ28" s="102"/>
      <c r="GK28" s="102"/>
      <c r="GL28" s="102"/>
      <c r="GM28" s="102"/>
      <c r="GN28" s="102"/>
      <c r="GO28" s="102"/>
      <c r="GP28" s="102"/>
      <c r="GQ28" s="102"/>
      <c r="GR28" s="102"/>
      <c r="GS28" s="102"/>
      <c r="GT28" s="102"/>
      <c r="GU28" s="102"/>
      <c r="GV28" s="102"/>
      <c r="GW28" s="102"/>
      <c r="GX28" s="102"/>
      <c r="GY28" s="102"/>
      <c r="GZ28" s="102"/>
      <c r="HA28" s="102"/>
      <c r="HB28" s="102"/>
      <c r="HC28" s="102"/>
      <c r="HD28" s="102"/>
      <c r="HE28" s="102"/>
      <c r="HF28" s="102"/>
      <c r="HG28" s="102"/>
      <c r="HH28" s="102"/>
      <c r="HI28" s="102"/>
      <c r="HJ28" s="102"/>
      <c r="HK28" s="102"/>
      <c r="HL28" s="102"/>
      <c r="HM28" s="102"/>
      <c r="HN28" s="102"/>
      <c r="HO28" s="102"/>
      <c r="HP28" s="102"/>
      <c r="HQ28" s="102"/>
    </row>
    <row r="29" spans="1:225" s="23" customFormat="1" ht="25.35" customHeight="1">
      <c r="A29" s="94">
        <v>20</v>
      </c>
      <c r="B29" s="106">
        <v>30</v>
      </c>
      <c r="C29" s="106" t="s">
        <v>77</v>
      </c>
      <c r="D29" s="98">
        <v>48000</v>
      </c>
      <c r="E29" s="97">
        <v>53000</v>
      </c>
      <c r="F29" s="97">
        <v>74000</v>
      </c>
      <c r="G29" s="99">
        <v>88000</v>
      </c>
      <c r="H29" s="99">
        <v>96000</v>
      </c>
      <c r="I29" s="104" t="s">
        <v>83</v>
      </c>
      <c r="J29" s="105" t="s">
        <v>74</v>
      </c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02"/>
      <c r="GG29" s="102"/>
      <c r="GH29" s="102"/>
      <c r="GI29" s="102"/>
      <c r="GJ29" s="102"/>
      <c r="GK29" s="102"/>
      <c r="GL29" s="102"/>
      <c r="GM29" s="102"/>
      <c r="GN29" s="102"/>
      <c r="GO29" s="102"/>
      <c r="GP29" s="102"/>
      <c r="GQ29" s="102"/>
      <c r="GR29" s="102"/>
      <c r="GS29" s="102"/>
      <c r="GT29" s="102"/>
      <c r="GU29" s="102"/>
      <c r="GV29" s="102"/>
      <c r="GW29" s="102"/>
      <c r="GX29" s="102"/>
      <c r="GY29" s="102"/>
      <c r="GZ29" s="102"/>
      <c r="HA29" s="102"/>
      <c r="HB29" s="102"/>
      <c r="HC29" s="102"/>
      <c r="HD29" s="102"/>
      <c r="HE29" s="102"/>
      <c r="HF29" s="102"/>
      <c r="HG29" s="102"/>
      <c r="HH29" s="102"/>
      <c r="HI29" s="102"/>
      <c r="HJ29" s="102"/>
      <c r="HK29" s="102"/>
      <c r="HL29" s="102"/>
      <c r="HM29" s="102"/>
      <c r="HN29" s="102"/>
      <c r="HO29" s="102"/>
      <c r="HP29" s="102"/>
      <c r="HQ29" s="102"/>
    </row>
    <row r="30" spans="1:225" s="23" customFormat="1" ht="25.35" customHeight="1">
      <c r="A30" s="94">
        <v>21</v>
      </c>
      <c r="B30" s="109" t="s">
        <v>90</v>
      </c>
      <c r="C30" s="109"/>
      <c r="D30" s="98">
        <v>282000</v>
      </c>
      <c r="E30" s="98">
        <v>310000</v>
      </c>
      <c r="F30" s="97">
        <v>415000</v>
      </c>
      <c r="G30" s="98">
        <v>496000</v>
      </c>
      <c r="H30" s="99">
        <v>541000</v>
      </c>
      <c r="I30" s="110"/>
      <c r="J30" s="11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  <c r="DL30" s="102"/>
      <c r="DM30" s="102"/>
      <c r="DN30" s="102"/>
      <c r="DO30" s="102"/>
      <c r="DP30" s="102"/>
      <c r="DQ30" s="102"/>
      <c r="DR30" s="102"/>
      <c r="DS30" s="102"/>
      <c r="DT30" s="102"/>
      <c r="DU30" s="102"/>
      <c r="DV30" s="102"/>
      <c r="DW30" s="102"/>
      <c r="DX30" s="102"/>
      <c r="DY30" s="102"/>
      <c r="DZ30" s="102"/>
      <c r="EA30" s="102"/>
      <c r="EB30" s="102"/>
      <c r="EC30" s="102"/>
      <c r="ED30" s="102"/>
      <c r="EE30" s="102"/>
      <c r="EF30" s="102"/>
      <c r="EG30" s="102"/>
      <c r="EH30" s="102"/>
      <c r="EI30" s="102"/>
      <c r="EJ30" s="102"/>
      <c r="EK30" s="102"/>
      <c r="EL30" s="102"/>
      <c r="EM30" s="102"/>
      <c r="EN30" s="102"/>
      <c r="EO30" s="102"/>
      <c r="EP30" s="102"/>
      <c r="EQ30" s="102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  <c r="FB30" s="102"/>
      <c r="FC30" s="102"/>
      <c r="FD30" s="102"/>
      <c r="FE30" s="102"/>
      <c r="FF30" s="102"/>
      <c r="FG30" s="102"/>
      <c r="FH30" s="102"/>
      <c r="FI30" s="102"/>
      <c r="FJ30" s="102"/>
      <c r="FK30" s="102"/>
      <c r="FL30" s="102"/>
      <c r="FM30" s="102"/>
      <c r="FN30" s="102"/>
      <c r="FO30" s="102"/>
      <c r="FP30" s="102"/>
      <c r="FQ30" s="102"/>
      <c r="FR30" s="102"/>
      <c r="FS30" s="102"/>
      <c r="FT30" s="102"/>
      <c r="FU30" s="102"/>
      <c r="FV30" s="102"/>
      <c r="FW30" s="102"/>
      <c r="FX30" s="102"/>
      <c r="FY30" s="102"/>
      <c r="FZ30" s="102"/>
      <c r="GA30" s="102"/>
      <c r="GB30" s="102"/>
      <c r="GC30" s="102"/>
      <c r="GD30" s="102"/>
      <c r="GE30" s="102"/>
      <c r="GF30" s="102"/>
      <c r="GG30" s="102"/>
      <c r="GH30" s="102"/>
      <c r="GI30" s="102"/>
      <c r="GJ30" s="102"/>
      <c r="GK30" s="102"/>
      <c r="GL30" s="102"/>
      <c r="GM30" s="102"/>
      <c r="GN30" s="102"/>
      <c r="GO30" s="102"/>
      <c r="GP30" s="102"/>
      <c r="GQ30" s="102"/>
      <c r="GR30" s="102"/>
      <c r="GS30" s="102"/>
      <c r="GT30" s="102"/>
      <c r="GU30" s="102"/>
      <c r="GV30" s="102"/>
      <c r="GW30" s="102"/>
      <c r="GX30" s="102"/>
      <c r="GY30" s="102"/>
      <c r="GZ30" s="102"/>
      <c r="HA30" s="102"/>
      <c r="HB30" s="102"/>
      <c r="HC30" s="102"/>
      <c r="HD30" s="102"/>
      <c r="HE30" s="102"/>
      <c r="HF30" s="102"/>
      <c r="HG30" s="102"/>
      <c r="HH30" s="102"/>
      <c r="HI30" s="102"/>
      <c r="HJ30" s="102"/>
      <c r="HK30" s="102"/>
      <c r="HL30" s="102"/>
      <c r="HM30" s="102"/>
      <c r="HN30" s="102"/>
      <c r="HO30" s="102"/>
      <c r="HP30" s="102"/>
      <c r="HQ30" s="102"/>
    </row>
  </sheetData>
  <mergeCells count="10">
    <mergeCell ref="J8:J9"/>
    <mergeCell ref="A6:H6"/>
    <mergeCell ref="A8:A9"/>
    <mergeCell ref="B8:C8"/>
    <mergeCell ref="D8:D9"/>
    <mergeCell ref="E8:E9"/>
    <mergeCell ref="F8:F9"/>
    <mergeCell ref="G8:G9"/>
    <mergeCell ref="H8:H9"/>
    <mergeCell ref="I8:I9"/>
  </mergeCells>
  <hyperlinks>
    <hyperlink ref="A4" r:id="rId1"/>
  </hyperlinks>
  <pageMargins left="0.31" right="0.32" top="0.75" bottom="0.75" header="0.3" footer="0.3"/>
  <pageSetup paperSize="9" scale="94" orientation="portrait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P17"/>
  <sheetViews>
    <sheetView tabSelected="1" view="pageBreakPreview" zoomScale="85" zoomScaleNormal="85" zoomScaleSheetLayoutView="85" workbookViewId="0">
      <selection activeCell="Q4" sqref="Q4"/>
    </sheetView>
  </sheetViews>
  <sheetFormatPr defaultColWidth="9.85546875" defaultRowHeight="15.75"/>
  <cols>
    <col min="1" max="1" width="4.7109375" style="71" customWidth="1"/>
    <col min="2" max="2" width="31.42578125" style="48" customWidth="1"/>
    <col min="3" max="3" width="10.28515625" style="48" customWidth="1"/>
    <col min="4" max="7" width="12.42578125" style="48" customWidth="1"/>
    <col min="8" max="8" width="13.28515625" style="48" customWidth="1"/>
    <col min="9" max="9" width="12.42578125" style="48" customWidth="1"/>
    <col min="10" max="10" width="13.28515625" style="48" customWidth="1"/>
    <col min="11" max="12" width="12.42578125" style="48" customWidth="1"/>
    <col min="13" max="13" width="9.85546875" style="48"/>
    <col min="14" max="16" width="0" style="48" hidden="1" customWidth="1"/>
    <col min="17" max="18" width="12.85546875" style="48" customWidth="1"/>
    <col min="19" max="16384" width="9.85546875" style="48"/>
  </cols>
  <sheetData>
    <row r="1" spans="1:224" s="53" customFormat="1" ht="36" customHeight="1">
      <c r="A1" s="49" t="s">
        <v>0</v>
      </c>
      <c r="B1" s="50"/>
      <c r="C1" s="50"/>
      <c r="D1" s="50"/>
      <c r="E1" s="50"/>
      <c r="F1" s="50"/>
      <c r="G1" s="51"/>
      <c r="H1" s="51"/>
      <c r="I1" s="52"/>
      <c r="J1" s="52"/>
      <c r="K1" s="52"/>
      <c r="L1" s="52"/>
    </row>
    <row r="2" spans="1:224" s="53" customFormat="1" ht="18.600000000000001" customHeight="1">
      <c r="A2" s="54" t="str">
        <f>'[1]Photobook SSN'!A2</f>
        <v>215/11 Huỳnh Văn Bánh, P.12, Q. Phú Nhuận | Điện thoại: 08 399 77 224 - 399 77 225 | www.inantuyetvoi.vn</v>
      </c>
      <c r="B2" s="55"/>
      <c r="C2" s="55"/>
      <c r="D2" s="55"/>
      <c r="E2" s="55"/>
      <c r="F2" s="55"/>
      <c r="G2" s="51"/>
      <c r="H2" s="51"/>
      <c r="I2" s="52"/>
      <c r="J2" s="52"/>
      <c r="K2" s="52"/>
      <c r="L2" s="52"/>
    </row>
    <row r="3" spans="1:224" ht="57" customHeight="1">
      <c r="A3" s="297" t="s">
        <v>123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57"/>
      <c r="N3" s="57"/>
      <c r="O3" s="57"/>
      <c r="P3" s="57"/>
      <c r="Q3" s="57"/>
      <c r="R3" s="57"/>
      <c r="S3" s="57">
        <f>1342+174</f>
        <v>1516</v>
      </c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</row>
    <row r="4" spans="1:224" ht="19.5" customHeight="1">
      <c r="A4" s="43" t="str">
        <f>'[1]Photobook KM'!A5</f>
        <v>Đơn vị tính | Unit: VND | Bìa mềm có kích thước nhỏ hơn khoảng 5mm xén từ 3 chiều | softcover books are smaller by a minimum of 5cm trimming margin from 3 sides.</v>
      </c>
      <c r="B4" s="56"/>
      <c r="C4" s="56"/>
      <c r="D4" s="43"/>
      <c r="E4" s="56"/>
      <c r="F4" s="56"/>
      <c r="G4" s="56"/>
      <c r="H4" s="56"/>
      <c r="I4" s="56"/>
      <c r="J4" s="56"/>
      <c r="K4" s="56"/>
      <c r="L4" s="56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</row>
    <row r="5" spans="1:224" ht="19.5" customHeight="1">
      <c r="A5" s="43"/>
      <c r="B5" s="56"/>
      <c r="C5" s="56"/>
      <c r="D5" s="43"/>
      <c r="E5" s="56"/>
      <c r="F5" s="56"/>
      <c r="G5" s="56"/>
      <c r="H5" s="56"/>
      <c r="I5" s="56"/>
      <c r="J5" s="56"/>
      <c r="K5" s="56"/>
      <c r="L5" s="56"/>
      <c r="M5" s="57"/>
      <c r="N5" s="57"/>
      <c r="O5" s="57"/>
      <c r="P5" s="57"/>
      <c r="Q5" s="263" t="s">
        <v>167</v>
      </c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  <c r="HJ5" s="57"/>
      <c r="HK5" s="57"/>
      <c r="HL5" s="57"/>
      <c r="HM5" s="57"/>
      <c r="HN5" s="57"/>
      <c r="HO5" s="57"/>
      <c r="HP5" s="57"/>
    </row>
    <row r="6" spans="1:224" s="61" customFormat="1" ht="31.5" customHeight="1">
      <c r="A6" s="74" t="s">
        <v>15</v>
      </c>
      <c r="B6" s="59" t="s">
        <v>34</v>
      </c>
      <c r="C6" s="58" t="s">
        <v>116</v>
      </c>
      <c r="D6" s="58" t="s">
        <v>35</v>
      </c>
      <c r="E6" s="58" t="s">
        <v>114</v>
      </c>
      <c r="F6" s="58" t="s">
        <v>115</v>
      </c>
      <c r="G6" s="62" t="s">
        <v>36</v>
      </c>
      <c r="H6" s="62" t="s">
        <v>121</v>
      </c>
      <c r="I6" s="62" t="s">
        <v>41</v>
      </c>
      <c r="J6" s="62" t="s">
        <v>120</v>
      </c>
      <c r="K6" s="62" t="s">
        <v>42</v>
      </c>
      <c r="L6" s="62" t="s">
        <v>43</v>
      </c>
      <c r="Q6" s="62" t="s">
        <v>41</v>
      </c>
      <c r="R6" s="62" t="s">
        <v>42</v>
      </c>
    </row>
    <row r="7" spans="1:224" s="66" customFormat="1" ht="37.5" customHeight="1">
      <c r="A7" s="178">
        <v>1</v>
      </c>
      <c r="B7" s="179" t="s">
        <v>44</v>
      </c>
      <c r="C7" s="63">
        <v>10</v>
      </c>
      <c r="D7" s="64">
        <f>307000+($C$7-15)*D11</f>
        <v>247000</v>
      </c>
      <c r="E7" s="64">
        <f>453000+($C$7-15)*E11</f>
        <v>263000</v>
      </c>
      <c r="F7" s="64">
        <f>557000+($C$7-15)*F11</f>
        <v>347000</v>
      </c>
      <c r="G7" s="64">
        <f>851000+($C$7-15)*G11</f>
        <v>531000</v>
      </c>
      <c r="H7" s="64">
        <f>732000+($C$7-15)*H11</f>
        <v>582000</v>
      </c>
      <c r="I7" s="64">
        <f>879000+($C$7-15)*I11</f>
        <v>659000</v>
      </c>
      <c r="J7" s="64">
        <f>1087000+($C$7-15)*J11</f>
        <v>832000</v>
      </c>
      <c r="K7" s="64">
        <f>1264000+($C$7-15)*K11</f>
        <v>974000</v>
      </c>
      <c r="L7" s="64">
        <f>1379000+($C$7-15)*L11</f>
        <v>1054000</v>
      </c>
      <c r="Q7" s="64">
        <f>800000+($C$7-15)*Q11</f>
        <v>580000</v>
      </c>
      <c r="R7" s="64">
        <f>1100000+($C$7-15)*R11</f>
        <v>810000</v>
      </c>
      <c r="T7" s="66">
        <f>+I7*1.1</f>
        <v>724900.00000000012</v>
      </c>
    </row>
    <row r="8" spans="1:224" s="66" customFormat="1" ht="37.5" customHeight="1">
      <c r="A8" s="178">
        <v>3</v>
      </c>
      <c r="B8" s="76" t="s">
        <v>39</v>
      </c>
      <c r="C8" s="63">
        <v>15</v>
      </c>
      <c r="D8" s="64">
        <f>307000+78000+($C$8-15)*D11</f>
        <v>385000</v>
      </c>
      <c r="E8" s="64">
        <f>550000+($C$8-15)*E11</f>
        <v>550000</v>
      </c>
      <c r="F8" s="64">
        <f>663000+($C$8-15)*F11</f>
        <v>663000</v>
      </c>
      <c r="G8" s="64">
        <f>988000+($C$8-15)*G11</f>
        <v>988000</v>
      </c>
      <c r="H8" s="64">
        <f>732000+144000+($C$8-15)*H11</f>
        <v>876000</v>
      </c>
      <c r="I8" s="64">
        <f>879000+116000+($C$8-15)*I11</f>
        <v>995000</v>
      </c>
      <c r="J8" s="64">
        <f>1087000+190000+($C$8-15)*J11</f>
        <v>1277000</v>
      </c>
      <c r="K8" s="64">
        <f>1264000+195000+($C$8-15)*K11</f>
        <v>1459000</v>
      </c>
      <c r="L8" s="64">
        <f>1379000+200000+($C$8-15)*L11</f>
        <v>1579000</v>
      </c>
      <c r="M8" s="196"/>
      <c r="N8" s="196"/>
      <c r="O8" s="196"/>
      <c r="P8" s="196"/>
      <c r="Q8" s="64">
        <f>800000+116000+($C$8-15)*Q11</f>
        <v>916000</v>
      </c>
      <c r="R8" s="64">
        <f>1100000+195000+($C$8-15)*R11</f>
        <v>1295000</v>
      </c>
      <c r="S8" s="196"/>
      <c r="T8" s="196"/>
      <c r="U8" s="196"/>
    </row>
    <row r="9" spans="1:224" s="66" customFormat="1" ht="37.5" customHeight="1">
      <c r="A9" s="178">
        <v>4</v>
      </c>
      <c r="B9" s="179" t="s">
        <v>45</v>
      </c>
      <c r="C9" s="63">
        <v>15</v>
      </c>
      <c r="D9" s="64">
        <f>307000+107000+($C$9-15)*D11</f>
        <v>414000</v>
      </c>
      <c r="E9" s="64">
        <f>582000+($C$9-15)*E11</f>
        <v>582000</v>
      </c>
      <c r="F9" s="64">
        <f>699000+($C$9-15)*F11</f>
        <v>699000</v>
      </c>
      <c r="G9" s="64">
        <f>1040000+($C$9-15)*G11</f>
        <v>1040000</v>
      </c>
      <c r="H9" s="64">
        <f>732000+195000+($C$9-15)*H11</f>
        <v>927000</v>
      </c>
      <c r="I9" s="64">
        <f>879000+176000+($C$9-15)*I11</f>
        <v>1055000</v>
      </c>
      <c r="J9" s="64">
        <f>1087000+260000+($C$9-15)*J11</f>
        <v>1347000</v>
      </c>
      <c r="K9" s="64">
        <f>1264000+271000+($C$9-15)*K11</f>
        <v>1535000</v>
      </c>
      <c r="L9" s="64">
        <f>1379000+280000+($C$9-15)*L11</f>
        <v>1659000</v>
      </c>
      <c r="M9" s="196"/>
      <c r="N9" s="196"/>
      <c r="O9" s="196"/>
      <c r="P9" s="196"/>
      <c r="Q9" s="64">
        <f>800000+176000+($C$9-15)*Q11</f>
        <v>976000</v>
      </c>
      <c r="R9" s="64">
        <f>1100000+271000+($C$9-15)*R11</f>
        <v>1371000</v>
      </c>
      <c r="S9" s="196"/>
      <c r="T9" s="196"/>
      <c r="U9" s="196"/>
    </row>
    <row r="10" spans="1:224" s="77" customFormat="1" ht="9" customHeight="1">
      <c r="A10" s="75"/>
      <c r="B10" s="76"/>
      <c r="C10" s="63"/>
      <c r="D10" s="64"/>
      <c r="E10" s="65"/>
      <c r="F10" s="65"/>
      <c r="G10" s="65"/>
      <c r="H10" s="65"/>
      <c r="I10" s="65"/>
      <c r="J10" s="65"/>
      <c r="K10" s="65"/>
      <c r="L10" s="65"/>
    </row>
    <row r="11" spans="1:224" s="80" customFormat="1" ht="27.75" customHeight="1">
      <c r="A11" s="78" t="s">
        <v>30</v>
      </c>
      <c r="B11" s="303" t="s">
        <v>46</v>
      </c>
      <c r="C11" s="303"/>
      <c r="D11" s="79">
        <v>12000</v>
      </c>
      <c r="E11" s="79">
        <v>38000</v>
      </c>
      <c r="F11" s="79">
        <v>42000</v>
      </c>
      <c r="G11" s="79">
        <v>64000</v>
      </c>
      <c r="H11" s="79">
        <v>30000</v>
      </c>
      <c r="I11" s="79">
        <v>44000</v>
      </c>
      <c r="J11" s="79">
        <v>51000</v>
      </c>
      <c r="K11" s="79">
        <v>58000</v>
      </c>
      <c r="L11" s="79">
        <v>65000</v>
      </c>
      <c r="Q11" s="79">
        <v>44000</v>
      </c>
      <c r="R11" s="79">
        <v>58000</v>
      </c>
    </row>
    <row r="12" spans="1:224" s="85" customFormat="1">
      <c r="A12" s="81"/>
      <c r="B12" s="82"/>
      <c r="C12" s="82"/>
      <c r="D12" s="83"/>
      <c r="E12" s="83"/>
      <c r="F12" s="83"/>
      <c r="G12" s="83"/>
      <c r="H12" s="83"/>
      <c r="I12" s="83"/>
      <c r="J12" s="84"/>
      <c r="K12" s="84"/>
      <c r="L12" s="84"/>
    </row>
    <row r="13" spans="1:224" s="69" customFormat="1" ht="25.5">
      <c r="A13" s="67" t="s">
        <v>23</v>
      </c>
      <c r="B13" s="300" t="s">
        <v>24</v>
      </c>
      <c r="C13" s="300"/>
      <c r="D13" s="68" t="str">
        <f t="shared" ref="D13:I13" si="0">D6</f>
        <v>Khổ 15 x 15 cm</v>
      </c>
      <c r="E13" s="68" t="str">
        <f t="shared" si="0"/>
        <v xml:space="preserve">Khổ 15 x 20 cm </v>
      </c>
      <c r="F13" s="68" t="str">
        <f t="shared" si="0"/>
        <v>Khổ 20 x 20 cm</v>
      </c>
      <c r="G13" s="68" t="str">
        <f t="shared" si="0"/>
        <v>Khổ 25 x 25 cm</v>
      </c>
      <c r="H13" s="68" t="str">
        <f t="shared" si="0"/>
        <v>Khổ 30 x 20 cm</v>
      </c>
      <c r="I13" s="68" t="str">
        <f t="shared" si="0"/>
        <v>Khổ 30 x 30 cm</v>
      </c>
      <c r="J13" s="68" t="s">
        <v>47</v>
      </c>
      <c r="K13" s="68" t="s">
        <v>42</v>
      </c>
      <c r="L13" s="68" t="s">
        <v>43</v>
      </c>
    </row>
    <row r="14" spans="1:224" s="57" customFormat="1" ht="33.75" customHeight="1">
      <c r="A14" s="86">
        <v>1</v>
      </c>
      <c r="B14" s="301" t="s">
        <v>48</v>
      </c>
      <c r="C14" s="302"/>
      <c r="D14" s="70">
        <v>20000</v>
      </c>
      <c r="E14" s="70">
        <v>30000</v>
      </c>
      <c r="F14" s="70">
        <v>30000</v>
      </c>
      <c r="G14" s="70">
        <f>'[1]Album KTS OLD'!H23</f>
        <v>45000</v>
      </c>
      <c r="H14" s="70">
        <v>40000</v>
      </c>
      <c r="I14" s="70">
        <v>45000</v>
      </c>
      <c r="J14" s="70">
        <v>45000</v>
      </c>
      <c r="K14" s="70">
        <v>60000</v>
      </c>
      <c r="L14" s="70">
        <v>60000</v>
      </c>
    </row>
    <row r="15" spans="1:224" ht="33.75" customHeight="1">
      <c r="A15" s="32">
        <v>2</v>
      </c>
      <c r="B15" s="298" t="s">
        <v>49</v>
      </c>
      <c r="C15" s="299"/>
      <c r="D15" s="70">
        <f>'[1]Album KTS OLD'!D26</f>
        <v>150000</v>
      </c>
      <c r="E15" s="70">
        <v>180000</v>
      </c>
      <c r="F15" s="70">
        <f>'[1]Album KTS OLD'!F26</f>
        <v>220000</v>
      </c>
      <c r="G15" s="70">
        <f>'[1]Album KTS OLD'!H26</f>
        <v>270000</v>
      </c>
      <c r="H15" s="70">
        <f>'[1]Album KTS OLD'!I26</f>
        <v>270000</v>
      </c>
      <c r="I15" s="70">
        <v>270000</v>
      </c>
      <c r="J15" s="70">
        <v>320000</v>
      </c>
      <c r="K15" s="70">
        <v>350000</v>
      </c>
      <c r="L15" s="70">
        <v>350000</v>
      </c>
    </row>
    <row r="16" spans="1:224">
      <c r="A16" s="73"/>
      <c r="B16" s="296"/>
      <c r="C16" s="72"/>
      <c r="D16" s="72"/>
      <c r="E16" s="72"/>
      <c r="F16" s="72"/>
      <c r="G16" s="296"/>
      <c r="H16" s="296"/>
      <c r="I16" s="296"/>
      <c r="J16" s="72"/>
      <c r="K16" s="72"/>
      <c r="L16" s="72"/>
    </row>
    <row r="17" spans="1:12">
      <c r="A17" s="73"/>
      <c r="B17" s="296"/>
      <c r="C17" s="72"/>
      <c r="D17" s="72"/>
      <c r="E17" s="72"/>
      <c r="F17" s="72"/>
      <c r="G17" s="296"/>
      <c r="H17" s="296"/>
      <c r="I17" s="296"/>
      <c r="J17" s="72"/>
      <c r="K17" s="72"/>
      <c r="L17" s="72"/>
    </row>
  </sheetData>
  <mergeCells count="9">
    <mergeCell ref="B16:B17"/>
    <mergeCell ref="G16:G17"/>
    <mergeCell ref="H16:H17"/>
    <mergeCell ref="I16:I17"/>
    <mergeCell ref="A3:L3"/>
    <mergeCell ref="B15:C15"/>
    <mergeCell ref="B13:C13"/>
    <mergeCell ref="B14:C14"/>
    <mergeCell ref="B11:C11"/>
  </mergeCells>
  <pageMargins left="0.24" right="0.28000000000000003" top="0.54" bottom="0.75" header="0.3" footer="0.3"/>
  <pageSetup paperSize="9" scale="89" orientation="landscape" verticalDpi="1200" r:id="rId1"/>
  <colBreaks count="1" manualBreakCount="1">
    <brk id="1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W19"/>
  <sheetViews>
    <sheetView view="pageBreakPreview" topLeftCell="A4" zoomScale="85" zoomScaleNormal="85" zoomScaleSheetLayoutView="85" workbookViewId="0">
      <selection activeCell="K9" sqref="K9"/>
    </sheetView>
  </sheetViews>
  <sheetFormatPr defaultColWidth="9.85546875" defaultRowHeight="15.75"/>
  <cols>
    <col min="1" max="1" width="5.140625" style="33" customWidth="1"/>
    <col min="2" max="2" width="36.5703125" style="11" customWidth="1"/>
    <col min="3" max="8" width="13.42578125" style="11" customWidth="1"/>
    <col min="9" max="9" width="13.42578125" style="11" hidden="1" customWidth="1"/>
    <col min="10" max="11" width="13.42578125" style="11" customWidth="1"/>
    <col min="12" max="12" width="10.5703125" style="11" bestFit="1" customWidth="1"/>
    <col min="13" max="16384" width="9.85546875" style="11"/>
  </cols>
  <sheetData>
    <row r="1" spans="1:205" s="1" customFormat="1" ht="25.5">
      <c r="A1" s="5" t="s">
        <v>0</v>
      </c>
      <c r="B1" s="2"/>
      <c r="C1" s="2"/>
      <c r="D1" s="6"/>
      <c r="E1" s="6"/>
      <c r="F1" s="6"/>
      <c r="G1" s="7"/>
      <c r="H1" s="7"/>
      <c r="I1" s="7"/>
      <c r="J1" s="7"/>
    </row>
    <row r="2" spans="1:205" s="1" customFormat="1" ht="16.5">
      <c r="A2" s="3" t="s">
        <v>2</v>
      </c>
      <c r="B2" s="4"/>
      <c r="C2" s="4"/>
      <c r="D2" s="6"/>
      <c r="E2" s="6"/>
      <c r="F2" s="6"/>
      <c r="G2" s="7"/>
      <c r="H2" s="7"/>
      <c r="I2" s="7"/>
      <c r="J2" s="7"/>
    </row>
    <row r="3" spans="1:205" s="1" customFormat="1" ht="15">
      <c r="A3" s="9"/>
      <c r="B3" s="4"/>
      <c r="C3" s="4"/>
      <c r="D3" s="6"/>
      <c r="E3" s="6"/>
      <c r="F3" s="6"/>
      <c r="G3" s="7"/>
      <c r="H3" s="7"/>
      <c r="I3" s="7"/>
      <c r="J3" s="7"/>
    </row>
    <row r="4" spans="1:205" ht="19.5">
      <c r="A4" s="304" t="s">
        <v>3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</row>
    <row r="5" spans="1:205">
      <c r="A5" s="305" t="str">
        <f>'[1]Photobook KM'!A5</f>
        <v>Đơn vị tính | Unit: VND | Bìa mềm có kích thước nhỏ hơn khoảng 5mm xén từ 3 chiều | softcover books are smaller by a minimum of 5cm trimming margin from 3 sides.</v>
      </c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</row>
    <row r="6" spans="1:205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</row>
    <row r="7" spans="1:205" s="39" customFormat="1" ht="65.25" customHeight="1">
      <c r="A7" s="38" t="s">
        <v>4</v>
      </c>
      <c r="B7" s="38" t="s">
        <v>5</v>
      </c>
      <c r="C7" s="38" t="s">
        <v>6</v>
      </c>
      <c r="D7" s="38" t="s">
        <v>7</v>
      </c>
      <c r="E7" s="38" t="s">
        <v>8</v>
      </c>
      <c r="F7" s="112" t="s">
        <v>9</v>
      </c>
      <c r="G7" s="112" t="s">
        <v>10</v>
      </c>
      <c r="H7" s="112" t="s">
        <v>11</v>
      </c>
      <c r="I7" s="112" t="s">
        <v>12</v>
      </c>
      <c r="J7" s="112" t="s">
        <v>13</v>
      </c>
      <c r="K7" s="112" t="s">
        <v>109</v>
      </c>
    </row>
    <row r="8" spans="1:205" s="17" customFormat="1" ht="23.25" customHeight="1">
      <c r="A8" s="272" t="s">
        <v>14</v>
      </c>
      <c r="B8" s="272"/>
      <c r="C8" s="30">
        <v>30</v>
      </c>
      <c r="D8" s="184">
        <v>30</v>
      </c>
      <c r="E8" s="184">
        <v>30</v>
      </c>
      <c r="F8" s="184">
        <v>30</v>
      </c>
      <c r="G8" s="184">
        <v>30</v>
      </c>
      <c r="H8" s="184">
        <v>30</v>
      </c>
      <c r="I8" s="184">
        <v>20</v>
      </c>
      <c r="J8" s="184">
        <v>30</v>
      </c>
      <c r="K8" s="184">
        <v>30</v>
      </c>
    </row>
    <row r="9" spans="1:205" s="17" customFormat="1" ht="28.5">
      <c r="A9" s="14" t="s">
        <v>15</v>
      </c>
      <c r="B9" s="15" t="s">
        <v>16</v>
      </c>
      <c r="C9" s="135" t="s">
        <v>17</v>
      </c>
      <c r="D9" s="135" t="s">
        <v>17</v>
      </c>
      <c r="E9" s="135" t="s">
        <v>17</v>
      </c>
      <c r="F9" s="135" t="s">
        <v>17</v>
      </c>
      <c r="G9" s="135" t="s">
        <v>17</v>
      </c>
      <c r="H9" s="135" t="s">
        <v>17</v>
      </c>
      <c r="I9" s="135" t="s">
        <v>17</v>
      </c>
      <c r="J9" s="135" t="s">
        <v>17</v>
      </c>
      <c r="K9" s="135" t="s">
        <v>17</v>
      </c>
    </row>
    <row r="10" spans="1:205" s="22" customFormat="1" ht="29.25">
      <c r="A10" s="18">
        <v>1</v>
      </c>
      <c r="B10" s="19" t="s">
        <v>110</v>
      </c>
      <c r="C10" s="164">
        <f>161000+($C$8-30)*$C$14/2</f>
        <v>161000</v>
      </c>
      <c r="D10" s="164">
        <f>205000+($D$8-30)*$D$14/2</f>
        <v>205000</v>
      </c>
      <c r="E10" s="164">
        <f>274000+($E$8-30)*$E$14/2</f>
        <v>274000</v>
      </c>
      <c r="F10" s="164">
        <f>487000+($F$8-30)*$F$14/2</f>
        <v>487000</v>
      </c>
      <c r="G10" s="164">
        <f>400000+($G$8-30)*$G$14/2</f>
        <v>400000</v>
      </c>
      <c r="H10" s="164">
        <f>548000+($H$8-30)*$H$14/2</f>
        <v>548000</v>
      </c>
      <c r="I10" s="164">
        <f>635000+($I$8-30)*$I$14/2</f>
        <v>455000</v>
      </c>
      <c r="J10" s="164">
        <f>761000+($J$8-30)*$J$14/2</f>
        <v>761000</v>
      </c>
      <c r="K10" s="164">
        <f>822000+($K$8-30)*$K$14/2</f>
        <v>822000</v>
      </c>
    </row>
    <row r="11" spans="1:205" s="23" customFormat="1" ht="29.25">
      <c r="A11" s="18">
        <v>2</v>
      </c>
      <c r="B11" s="19" t="s">
        <v>111</v>
      </c>
      <c r="C11" s="164">
        <f>204000+($C$8-30)*$C$14/2</f>
        <v>204000</v>
      </c>
      <c r="D11" s="164">
        <f>257000+($D$8-30)*$D$14/2</f>
        <v>257000</v>
      </c>
      <c r="E11" s="164">
        <f>330000+($E$8-30)*$E$14/2</f>
        <v>330000</v>
      </c>
      <c r="F11" s="164">
        <f>574000+($F$8-30)*$F$14/2</f>
        <v>574000</v>
      </c>
      <c r="G11" s="164">
        <f>481000+($G$8-30)*$G$14/2</f>
        <v>481000</v>
      </c>
      <c r="H11" s="164">
        <f>679000+($H$8-30)*$H$14/2</f>
        <v>679000</v>
      </c>
      <c r="I11" s="164">
        <f>748000+($I$8-30)*$I$14/2</f>
        <v>568000</v>
      </c>
      <c r="J11" s="164">
        <f>883000+($J$8-30)*$J$14/2</f>
        <v>883000</v>
      </c>
      <c r="K11" s="164">
        <f>987000+($K$8-30)*$K$14/2</f>
        <v>987000</v>
      </c>
      <c r="L11" s="194"/>
    </row>
    <row r="12" spans="1:205" s="23" customFormat="1" ht="29.25">
      <c r="A12" s="18">
        <v>3</v>
      </c>
      <c r="B12" s="19" t="s">
        <v>112</v>
      </c>
      <c r="C12" s="164">
        <f>270000+($C$8-30)*$C$14/2</f>
        <v>270000</v>
      </c>
      <c r="D12" s="164">
        <f>327000+($D$8-30)*$D$14/2</f>
        <v>327000</v>
      </c>
      <c r="E12" s="164">
        <f>418000+($E$8-30)*$E$14/2</f>
        <v>418000</v>
      </c>
      <c r="F12" s="164">
        <f>687000+($F$8-30)*$F$14/2</f>
        <v>687000</v>
      </c>
      <c r="G12" s="164">
        <f>600000+($G$8-30)*$G$14/2</f>
        <v>600000</v>
      </c>
      <c r="H12" s="164">
        <f>774000+($H$8-30)*$H$14/2</f>
        <v>774000</v>
      </c>
      <c r="I12" s="164">
        <f>887000+($I$8-30)*$I$14/2</f>
        <v>707000</v>
      </c>
      <c r="J12" s="164">
        <f>1022000+($J$8-30)*$J$14/2</f>
        <v>1022000</v>
      </c>
      <c r="K12" s="164">
        <f>1101000+($K$8-30)*$K$14/2</f>
        <v>1101000</v>
      </c>
      <c r="L12" s="23" t="s">
        <v>124</v>
      </c>
    </row>
    <row r="13" spans="1:205" s="23" customFormat="1" ht="29.25">
      <c r="A13" s="18">
        <v>4</v>
      </c>
      <c r="B13" s="19" t="s">
        <v>21</v>
      </c>
      <c r="C13" s="164">
        <f>293000+($C$8-30)*$C$14/2</f>
        <v>293000</v>
      </c>
      <c r="D13" s="164">
        <f>353000+($D$8-30)*$D$14/2</f>
        <v>353000</v>
      </c>
      <c r="E13" s="164">
        <f>402000+($E$8-30)*$E$14/2</f>
        <v>402000</v>
      </c>
      <c r="F13" s="164">
        <f>731000+($F$8-30)*$F$14/2</f>
        <v>731000</v>
      </c>
      <c r="G13" s="164">
        <f>642000+($G$8-30)*$G$14/2</f>
        <v>642000</v>
      </c>
      <c r="H13" s="164">
        <f>825000+($H$8-30)*$H$14/2</f>
        <v>825000</v>
      </c>
      <c r="I13" s="164">
        <f>945000+($I$8-30)*$I$14/2</f>
        <v>765000</v>
      </c>
      <c r="J13" s="164">
        <f>1083000+($J$8-30)*$J$14/2</f>
        <v>1083000</v>
      </c>
      <c r="K13" s="164">
        <f>1165000+($K$8-30)*$K$14/2</f>
        <v>1165000</v>
      </c>
    </row>
    <row r="14" spans="1:205" s="22" customFormat="1" ht="30">
      <c r="A14" s="24">
        <v>5</v>
      </c>
      <c r="B14" s="25" t="s">
        <v>22</v>
      </c>
      <c r="C14" s="167">
        <v>9000</v>
      </c>
      <c r="D14" s="168">
        <v>11000</v>
      </c>
      <c r="E14" s="168">
        <v>15000</v>
      </c>
      <c r="F14" s="170">
        <v>28000</v>
      </c>
      <c r="G14" s="169">
        <v>23000</v>
      </c>
      <c r="H14" s="165">
        <v>30000</v>
      </c>
      <c r="I14" s="165">
        <v>36000</v>
      </c>
      <c r="J14" s="165">
        <v>49000</v>
      </c>
      <c r="K14" s="165">
        <v>56000</v>
      </c>
    </row>
    <row r="15" spans="1:205" s="29" customFormat="1" ht="16.5">
      <c r="A15" s="24"/>
      <c r="B15" s="25"/>
      <c r="C15" s="166"/>
      <c r="D15" s="169"/>
      <c r="E15" s="169"/>
      <c r="F15" s="171"/>
      <c r="G15" s="171"/>
      <c r="H15" s="171"/>
      <c r="I15" s="171"/>
      <c r="J15" s="171"/>
      <c r="K15" s="171"/>
    </row>
    <row r="16" spans="1:205" s="22" customFormat="1" ht="45" customHeight="1">
      <c r="A16" s="30" t="s">
        <v>23</v>
      </c>
      <c r="B16" s="31" t="s">
        <v>24</v>
      </c>
      <c r="C16" s="30" t="str">
        <f t="shared" ref="C16:K16" si="0">C7</f>
        <v>15 x 15 cm</v>
      </c>
      <c r="D16" s="135" t="str">
        <f t="shared" si="0"/>
        <v>15 x 20 cm or 20 x 15 cm</v>
      </c>
      <c r="E16" s="135" t="str">
        <f t="shared" si="0"/>
        <v>20 x 20 cm</v>
      </c>
      <c r="F16" s="135" t="str">
        <f t="shared" si="0"/>
        <v>25 x 25 cm</v>
      </c>
      <c r="G16" s="135" t="str">
        <f t="shared" si="0"/>
        <v>30 x 20 cm or 20 x 30 cm</v>
      </c>
      <c r="H16" s="135" t="str">
        <f t="shared" si="0"/>
        <v>30 x 30 cm</v>
      </c>
      <c r="I16" s="135" t="str">
        <f t="shared" si="0"/>
        <v>25 x 35 cm or 35 x 25 cm
30 x 35 cm or 35 x 30cm</v>
      </c>
      <c r="J16" s="135" t="str">
        <f t="shared" si="0"/>
        <v>40 x 30 cm</v>
      </c>
      <c r="K16" s="135" t="str">
        <f t="shared" si="0"/>
        <v>45 x 30 cm</v>
      </c>
    </row>
    <row r="17" spans="1:11" s="23" customFormat="1" ht="29.25">
      <c r="A17" s="18">
        <v>1</v>
      </c>
      <c r="B17" s="19" t="s">
        <v>113</v>
      </c>
      <c r="C17" s="142">
        <f>'[1]Album KTS OLD'!D23</f>
        <v>30000</v>
      </c>
      <c r="D17" s="142">
        <f>'[1]Album KTS OLD'!E23</f>
        <v>30000</v>
      </c>
      <c r="E17" s="183">
        <f>'[1]Album KTS OLD'!F23</f>
        <v>35000</v>
      </c>
      <c r="F17" s="183">
        <f>'[1]Album KTS OLD'!H23</f>
        <v>45000</v>
      </c>
      <c r="G17" s="183">
        <f>'[1]Album KTS OLD'!G23</f>
        <v>40000</v>
      </c>
      <c r="H17" s="183">
        <f>'[1]Album KTS OLD'!J23</f>
        <v>50000</v>
      </c>
      <c r="I17" s="183">
        <f>'[1]Album KTS OLD'!K23</f>
        <v>60000</v>
      </c>
      <c r="J17" s="183">
        <f>I17</f>
        <v>60000</v>
      </c>
      <c r="K17" s="183">
        <f>J17</f>
        <v>60000</v>
      </c>
    </row>
    <row r="18" spans="1:11" ht="30">
      <c r="A18" s="18">
        <v>2</v>
      </c>
      <c r="B18" s="19" t="s">
        <v>25</v>
      </c>
      <c r="C18" s="142">
        <f>'[1]Photobook KM'!C24</f>
        <v>150000</v>
      </c>
      <c r="D18" s="183">
        <f>'[1]Photobook KM'!D24</f>
        <v>180000</v>
      </c>
      <c r="E18" s="183">
        <f>'[1]Photobook KM'!E24</f>
        <v>220000</v>
      </c>
      <c r="F18" s="183">
        <f>'[1]Photobook KM'!F24</f>
        <v>270000</v>
      </c>
      <c r="G18" s="183">
        <f>'[1]Photobook KM'!G24</f>
        <v>270000</v>
      </c>
      <c r="H18" s="183">
        <f>'[1]Photobook KM'!H24</f>
        <v>270000</v>
      </c>
      <c r="I18" s="183">
        <f>'[1]Photobook KM'!I24</f>
        <v>320000</v>
      </c>
      <c r="J18" s="183">
        <f>'[1]Photobook KM'!J24</f>
        <v>350000</v>
      </c>
      <c r="K18" s="183">
        <v>350000</v>
      </c>
    </row>
    <row r="19" spans="1:11">
      <c r="B19" s="34"/>
      <c r="C19" s="34"/>
      <c r="D19" s="34"/>
      <c r="E19" s="34"/>
      <c r="F19" s="34"/>
      <c r="G19" s="34"/>
      <c r="H19" s="34"/>
      <c r="I19" s="34"/>
      <c r="J19" s="34"/>
    </row>
  </sheetData>
  <mergeCells count="3">
    <mergeCell ref="A8:B8"/>
    <mergeCell ref="A4:K4"/>
    <mergeCell ref="A5:K5"/>
  </mergeCells>
  <pageMargins left="0.24" right="0.31" top="0.75" bottom="0.75" header="0.3" footer="0.3"/>
  <pageSetup paperSize="9" scale="91" orientation="landscape" verticalDpi="1200" r:id="rId1"/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W24"/>
  <sheetViews>
    <sheetView view="pageBreakPreview" topLeftCell="A7" zoomScale="85" zoomScaleNormal="85" zoomScaleSheetLayoutView="85" workbookViewId="0">
      <selection activeCell="H11" sqref="H11"/>
    </sheetView>
  </sheetViews>
  <sheetFormatPr defaultColWidth="9.85546875" defaultRowHeight="15.75"/>
  <cols>
    <col min="1" max="1" width="5.140625" style="33" customWidth="1"/>
    <col min="2" max="2" width="28.7109375" style="11" customWidth="1"/>
    <col min="3" max="8" width="14.28515625" style="11" customWidth="1"/>
    <col min="9" max="9" width="14.28515625" style="11" hidden="1" customWidth="1"/>
    <col min="10" max="11" width="14.28515625" style="11" customWidth="1"/>
    <col min="12" max="16384" width="9.85546875" style="11"/>
  </cols>
  <sheetData>
    <row r="1" spans="1:205" s="1" customFormat="1" ht="37.35" customHeight="1">
      <c r="A1" s="5" t="s">
        <v>0</v>
      </c>
      <c r="B1" s="2"/>
      <c r="C1" s="2"/>
      <c r="D1" s="6"/>
      <c r="E1" s="6"/>
      <c r="F1" s="6"/>
      <c r="G1" s="7"/>
      <c r="H1" s="7"/>
      <c r="I1" s="7"/>
      <c r="J1" s="7"/>
    </row>
    <row r="2" spans="1:205" s="1" customFormat="1" ht="16.5">
      <c r="A2" s="3" t="s">
        <v>2</v>
      </c>
      <c r="B2" s="4"/>
      <c r="C2" s="4"/>
      <c r="D2" s="6"/>
      <c r="E2" s="6"/>
      <c r="F2" s="6"/>
      <c r="G2" s="7"/>
      <c r="H2" s="7"/>
      <c r="I2" s="7"/>
      <c r="J2" s="7"/>
    </row>
    <row r="3" spans="1:205" s="1" customFormat="1" ht="6.75" customHeight="1">
      <c r="A3" s="9"/>
      <c r="B3" s="4"/>
      <c r="C3" s="4"/>
      <c r="D3" s="6"/>
      <c r="E3" s="6"/>
      <c r="F3" s="6"/>
      <c r="G3" s="7"/>
      <c r="H3" s="7"/>
      <c r="I3" s="7"/>
      <c r="J3" s="7"/>
    </row>
    <row r="4" spans="1:205" ht="38.25" customHeight="1">
      <c r="A4" s="286" t="s">
        <v>3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</row>
    <row r="5" spans="1:205" ht="20.25" customHeight="1">
      <c r="A5" s="280" t="str">
        <f>'[1]Photobook KM'!A5</f>
        <v>Đơn vị tính | Unit: VND | Bìa mềm có kích thước nhỏ hơn khoảng 5mm xén từ 3 chiều | softcover books are smaller by a minimum of 5cm trimming margin from 3 sides.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</row>
    <row r="6" spans="1:205" ht="20.25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</row>
    <row r="7" spans="1:205" s="39" customFormat="1" ht="63" customHeight="1">
      <c r="A7" s="38" t="s">
        <v>4</v>
      </c>
      <c r="B7" s="38" t="s">
        <v>5</v>
      </c>
      <c r="C7" s="38" t="s">
        <v>6</v>
      </c>
      <c r="D7" s="38" t="s">
        <v>7</v>
      </c>
      <c r="E7" s="38" t="s">
        <v>8</v>
      </c>
      <c r="F7" s="112" t="s">
        <v>9</v>
      </c>
      <c r="G7" s="112" t="s">
        <v>10</v>
      </c>
      <c r="H7" s="112" t="s">
        <v>11</v>
      </c>
      <c r="I7" s="112" t="s">
        <v>12</v>
      </c>
      <c r="J7" s="112" t="s">
        <v>13</v>
      </c>
      <c r="K7" s="112" t="s">
        <v>109</v>
      </c>
    </row>
    <row r="8" spans="1:205" s="17" customFormat="1" ht="23.1" customHeight="1">
      <c r="A8" s="272" t="s">
        <v>14</v>
      </c>
      <c r="B8" s="272"/>
      <c r="C8" s="44">
        <v>30</v>
      </c>
      <c r="D8" s="45">
        <v>80</v>
      </c>
      <c r="E8" s="45">
        <v>20</v>
      </c>
      <c r="F8" s="45">
        <v>60</v>
      </c>
      <c r="G8" s="45">
        <v>102</v>
      </c>
      <c r="H8" s="45">
        <v>30</v>
      </c>
      <c r="I8" s="45">
        <v>30</v>
      </c>
      <c r="J8" s="45">
        <v>46</v>
      </c>
      <c r="K8" s="45">
        <v>66</v>
      </c>
    </row>
    <row r="9" spans="1:205" s="17" customFormat="1" ht="42.75" customHeight="1">
      <c r="A9" s="14" t="s">
        <v>15</v>
      </c>
      <c r="B9" s="15" t="s">
        <v>16</v>
      </c>
      <c r="C9" s="16" t="s">
        <v>18</v>
      </c>
      <c r="D9" s="16" t="s">
        <v>18</v>
      </c>
      <c r="E9" s="16" t="s">
        <v>18</v>
      </c>
      <c r="F9" s="16" t="s">
        <v>18</v>
      </c>
      <c r="G9" s="16" t="s">
        <v>18</v>
      </c>
      <c r="H9" s="16" t="s">
        <v>18</v>
      </c>
      <c r="I9" s="16" t="s">
        <v>18</v>
      </c>
      <c r="J9" s="16" t="s">
        <v>18</v>
      </c>
      <c r="K9" s="16" t="s">
        <v>18</v>
      </c>
    </row>
    <row r="10" spans="1:205" s="22" customFormat="1" ht="34.5" customHeight="1">
      <c r="A10" s="18">
        <v>1</v>
      </c>
      <c r="B10" s="19" t="s">
        <v>110</v>
      </c>
      <c r="C10" s="165">
        <f>181000+($C$8-30)*$C$14/2</f>
        <v>181000</v>
      </c>
      <c r="D10" s="165">
        <f>230000+($D$8-30)*$D$14/2</f>
        <v>555000</v>
      </c>
      <c r="E10" s="165">
        <f>307000+($E$8-30)*$E$14/2</f>
        <v>217000</v>
      </c>
      <c r="F10" s="165">
        <f>539000+($F$8-30)*$F$14/2</f>
        <v>1034000</v>
      </c>
      <c r="G10" s="165">
        <f>445000+($G$8-30)*$G$14/2</f>
        <v>1417000</v>
      </c>
      <c r="H10" s="165">
        <f>601000+($H$8-30)*$H$14/2</f>
        <v>601000</v>
      </c>
      <c r="I10" s="165">
        <f>691000+($I$8-30)*$I$14/2</f>
        <v>691000</v>
      </c>
      <c r="J10" s="165">
        <f>840000+($J$8-30)*$J$14/2</f>
        <v>1296000</v>
      </c>
      <c r="K10" s="165">
        <f>865000+($K$8-30)*$K$14/2</f>
        <v>2053000</v>
      </c>
    </row>
    <row r="11" spans="1:205" s="23" customFormat="1" ht="36" customHeight="1">
      <c r="A11" s="18">
        <v>2</v>
      </c>
      <c r="B11" s="19" t="s">
        <v>111</v>
      </c>
      <c r="C11" s="165">
        <f>224000+($C$8-30)*$C$14/2</f>
        <v>224000</v>
      </c>
      <c r="D11" s="165">
        <f>281000+($D$8-30)*$D$14/2</f>
        <v>606000</v>
      </c>
      <c r="E11" s="165">
        <f>363000+($E$8-30)*$E$14/2</f>
        <v>273000</v>
      </c>
      <c r="F11" s="165">
        <f>626000+($F$8-30)*$F$14/2</f>
        <v>1121000</v>
      </c>
      <c r="G11" s="165">
        <f>526000+($G$8-30)*$G$14/2</f>
        <v>1498000</v>
      </c>
      <c r="H11" s="193">
        <f>732000+($H$8-30)*$H$14/2</f>
        <v>732000</v>
      </c>
      <c r="I11" s="165">
        <f>804000+($I$8-30)*$I$14/2</f>
        <v>804000</v>
      </c>
      <c r="J11" s="165">
        <f>962000+($J$8-30)*$J$14/2</f>
        <v>1418000</v>
      </c>
      <c r="K11" s="165">
        <f>1030000+($K$8-30)*$K$14/2</f>
        <v>2218000</v>
      </c>
      <c r="L11" s="195"/>
      <c r="N11" s="266"/>
    </row>
    <row r="12" spans="1:205" s="23" customFormat="1" ht="31.5" customHeight="1">
      <c r="A12" s="18">
        <v>3</v>
      </c>
      <c r="B12" s="19" t="s">
        <v>112</v>
      </c>
      <c r="C12" s="165">
        <f>290000+($C$8-30)*$C$14/2</f>
        <v>290000</v>
      </c>
      <c r="D12" s="165">
        <f>351000+($D$8-30)*$D$14/2</f>
        <v>676000</v>
      </c>
      <c r="E12" s="165">
        <f>451000+($E$8-30)*$E$14/2</f>
        <v>361000</v>
      </c>
      <c r="F12" s="165">
        <f>740000+($F$8-30)*$F$14/2</f>
        <v>1235000</v>
      </c>
      <c r="G12" s="165">
        <f>646000+($G$8-30)*$G$14/2</f>
        <v>1618000</v>
      </c>
      <c r="H12" s="165">
        <f>827000+($H$8-30)*$H$14/2</f>
        <v>827000</v>
      </c>
      <c r="I12" s="165">
        <f>943000+($I$8-30)*$I$14/2</f>
        <v>943000</v>
      </c>
      <c r="J12" s="165">
        <f>1101000+($J$8-30)*$J$14/2</f>
        <v>1557000</v>
      </c>
      <c r="K12" s="165">
        <f>1143000+($K$8-30)*$K$14/2</f>
        <v>2331000</v>
      </c>
    </row>
    <row r="13" spans="1:205" s="23" customFormat="1" ht="40.5" customHeight="1">
      <c r="A13" s="18">
        <v>4</v>
      </c>
      <c r="B13" s="19" t="s">
        <v>21</v>
      </c>
      <c r="C13" s="165">
        <f>313000+($C$8-30)*$C$14/2</f>
        <v>313000</v>
      </c>
      <c r="D13" s="165">
        <f>378000+($D$8-30)*$D$14/2</f>
        <v>703000</v>
      </c>
      <c r="E13" s="165">
        <f>481000+($E$8-30)*$E$14/2</f>
        <v>391000</v>
      </c>
      <c r="F13" s="165">
        <f>783000+($F$8-30)*$F$14/2</f>
        <v>1278000</v>
      </c>
      <c r="G13" s="165">
        <f>687000+($G$8-30)*$G$14/2</f>
        <v>1659000</v>
      </c>
      <c r="H13" s="165">
        <f>878000+($H$8-30)*$H$14/2</f>
        <v>878000</v>
      </c>
      <c r="I13" s="165">
        <f>1001000+($I$8-30)*$I$14/2</f>
        <v>1001000</v>
      </c>
      <c r="J13" s="165">
        <f>1162000+($J$8-30)*$J$14/2</f>
        <v>1618000</v>
      </c>
      <c r="K13" s="165">
        <f>1208000+($K$8-30)*$K$14/2</f>
        <v>2396000</v>
      </c>
    </row>
    <row r="14" spans="1:205" s="22" customFormat="1" ht="35.25" customHeight="1">
      <c r="A14" s="24">
        <v>5</v>
      </c>
      <c r="B14" s="25" t="s">
        <v>22</v>
      </c>
      <c r="C14" s="169">
        <v>10000</v>
      </c>
      <c r="D14" s="168">
        <v>13000</v>
      </c>
      <c r="E14" s="169">
        <v>18000</v>
      </c>
      <c r="F14" s="165">
        <v>33000</v>
      </c>
      <c r="G14" s="169">
        <v>27000</v>
      </c>
      <c r="H14" s="169">
        <v>37000</v>
      </c>
      <c r="I14" s="165">
        <v>42000</v>
      </c>
      <c r="J14" s="165">
        <v>57000</v>
      </c>
      <c r="K14" s="165">
        <v>66000</v>
      </c>
    </row>
    <row r="15" spans="1:205" s="29" customFormat="1" ht="7.5" customHeight="1">
      <c r="A15" s="24"/>
      <c r="B15" s="25"/>
      <c r="C15" s="18"/>
      <c r="D15" s="28"/>
      <c r="E15" s="28"/>
      <c r="F15" s="163"/>
      <c r="G15" s="163"/>
      <c r="H15" s="163"/>
      <c r="I15" s="163"/>
      <c r="J15" s="163"/>
      <c r="K15" s="163"/>
    </row>
    <row r="16" spans="1:205" s="22" customFormat="1" ht="64.5" customHeight="1">
      <c r="A16" s="30" t="s">
        <v>23</v>
      </c>
      <c r="B16" s="31" t="s">
        <v>24</v>
      </c>
      <c r="C16" s="30" t="str">
        <f t="shared" ref="C16:K16" si="0">C7</f>
        <v>15 x 15 cm</v>
      </c>
      <c r="D16" s="135" t="str">
        <f t="shared" si="0"/>
        <v>15 x 20 cm or 20 x 15 cm</v>
      </c>
      <c r="E16" s="135" t="str">
        <f t="shared" si="0"/>
        <v>20 x 20 cm</v>
      </c>
      <c r="F16" s="135" t="str">
        <f t="shared" si="0"/>
        <v>25 x 25 cm</v>
      </c>
      <c r="G16" s="135" t="str">
        <f t="shared" si="0"/>
        <v>30 x 20 cm or 20 x 30 cm</v>
      </c>
      <c r="H16" s="135" t="str">
        <f t="shared" si="0"/>
        <v>30 x 30 cm</v>
      </c>
      <c r="I16" s="135" t="str">
        <f t="shared" si="0"/>
        <v>25 x 35 cm or 35 x 25 cm
30 x 35 cm or 35 x 30cm</v>
      </c>
      <c r="J16" s="135" t="str">
        <f t="shared" si="0"/>
        <v>40 x 30 cm</v>
      </c>
      <c r="K16" s="135" t="str">
        <f t="shared" si="0"/>
        <v>45 x 30 cm</v>
      </c>
    </row>
    <row r="17" spans="1:11" s="23" customFormat="1" ht="30" customHeight="1">
      <c r="A17" s="18">
        <v>1</v>
      </c>
      <c r="B17" s="19" t="s">
        <v>113</v>
      </c>
      <c r="C17" s="142">
        <f>'[1]Album KTS OLD'!D23</f>
        <v>30000</v>
      </c>
      <c r="D17" s="142">
        <f>'[1]Album KTS OLD'!E23</f>
        <v>30000</v>
      </c>
      <c r="E17" s="183">
        <f>'[1]Album KTS OLD'!F23</f>
        <v>35000</v>
      </c>
      <c r="F17" s="183">
        <f>'[1]Album KTS OLD'!H23</f>
        <v>45000</v>
      </c>
      <c r="G17" s="183">
        <f>'[1]Album KTS OLD'!G23</f>
        <v>40000</v>
      </c>
      <c r="H17" s="183">
        <f>'[1]Album KTS OLD'!J23</f>
        <v>50000</v>
      </c>
      <c r="I17" s="183">
        <f>'[1]Album KTS OLD'!K23</f>
        <v>60000</v>
      </c>
      <c r="J17" s="183">
        <f>I17</f>
        <v>60000</v>
      </c>
      <c r="K17" s="183">
        <f>J17</f>
        <v>60000</v>
      </c>
    </row>
    <row r="18" spans="1:11" ht="30" customHeight="1">
      <c r="A18" s="18">
        <v>2</v>
      </c>
      <c r="B18" s="19" t="s">
        <v>25</v>
      </c>
      <c r="C18" s="185">
        <f>'[1]Photobook KM'!C24</f>
        <v>150000</v>
      </c>
      <c r="D18" s="186">
        <f>'[1]Photobook KM'!D24</f>
        <v>180000</v>
      </c>
      <c r="E18" s="186">
        <f>'[1]Photobook KM'!E24</f>
        <v>220000</v>
      </c>
      <c r="F18" s="186">
        <f>'[1]Photobook KM'!F24</f>
        <v>270000</v>
      </c>
      <c r="G18" s="186">
        <f>'[1]Photobook KM'!G24</f>
        <v>270000</v>
      </c>
      <c r="H18" s="186">
        <f>'[1]Photobook KM'!H24</f>
        <v>270000</v>
      </c>
      <c r="I18" s="186">
        <f>'[1]Photobook KM'!I24</f>
        <v>320000</v>
      </c>
      <c r="J18" s="186">
        <f>'[1]Photobook KM'!J24</f>
        <v>350000</v>
      </c>
      <c r="K18" s="186">
        <v>350000</v>
      </c>
    </row>
    <row r="19" spans="1:11" hidden="1">
      <c r="B19" s="34"/>
      <c r="C19" s="34"/>
      <c r="D19" s="34"/>
      <c r="E19" s="34"/>
      <c r="F19" s="34"/>
      <c r="G19" s="34"/>
      <c r="H19" s="34"/>
      <c r="I19" s="34"/>
      <c r="J19" s="34"/>
    </row>
    <row r="20" spans="1:11" hidden="1">
      <c r="B20" s="34"/>
      <c r="C20" s="34"/>
      <c r="D20" s="34"/>
      <c r="E20" s="34"/>
      <c r="F20" s="34"/>
      <c r="G20" s="34"/>
      <c r="H20" s="34"/>
      <c r="I20" s="34"/>
      <c r="J20" s="34"/>
    </row>
    <row r="21" spans="1:11" ht="15.6" hidden="1" customHeight="1">
      <c r="A21" s="36"/>
      <c r="B21" s="34"/>
      <c r="C21" s="34"/>
      <c r="D21" s="34"/>
      <c r="E21" s="34"/>
      <c r="F21" s="34"/>
      <c r="G21" s="34"/>
      <c r="H21" s="34"/>
      <c r="I21" s="34"/>
      <c r="J21" s="34"/>
    </row>
    <row r="22" spans="1:11" ht="23.25" hidden="1" customHeight="1">
      <c r="A22" s="281" t="s">
        <v>26</v>
      </c>
      <c r="B22" s="281"/>
      <c r="C22" s="281"/>
      <c r="D22" s="281"/>
      <c r="E22" s="281"/>
      <c r="F22" s="281"/>
      <c r="G22" s="281"/>
      <c r="H22" s="281"/>
      <c r="I22" s="40"/>
      <c r="J22" s="40"/>
    </row>
    <row r="23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</row>
  </sheetData>
  <mergeCells count="4">
    <mergeCell ref="A22:H22"/>
    <mergeCell ref="A8:B8"/>
    <mergeCell ref="A4:K4"/>
    <mergeCell ref="A5:K5"/>
  </mergeCells>
  <pageMargins left="0.27" right="0.3" top="0.75" bottom="0.26" header="0.3" footer="0.3"/>
  <pageSetup paperSize="9" scale="87" orientation="landscape" verticalDpi="1200" r:id="rId1"/>
  <colBreaks count="1" manualBreakCount="1">
    <brk id="1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W24"/>
  <sheetViews>
    <sheetView view="pageBreakPreview" topLeftCell="A4" zoomScale="85" zoomScaleNormal="85" zoomScaleSheetLayoutView="85" workbookViewId="0">
      <selection activeCell="J11" sqref="J11"/>
    </sheetView>
  </sheetViews>
  <sheetFormatPr defaultColWidth="9.85546875" defaultRowHeight="15.75"/>
  <cols>
    <col min="1" max="1" width="5.140625" style="33" customWidth="1"/>
    <col min="2" max="2" width="28.7109375" style="11" customWidth="1"/>
    <col min="3" max="8" width="14.140625" style="11" customWidth="1"/>
    <col min="9" max="9" width="14.140625" style="11" hidden="1" customWidth="1"/>
    <col min="10" max="11" width="14.140625" style="11" customWidth="1"/>
    <col min="12" max="16384" width="9.85546875" style="11"/>
  </cols>
  <sheetData>
    <row r="1" spans="1:205" s="1" customFormat="1" ht="37.35" customHeight="1">
      <c r="A1" s="5" t="s">
        <v>0</v>
      </c>
      <c r="B1" s="2"/>
      <c r="C1" s="2"/>
      <c r="D1" s="6"/>
      <c r="E1" s="6"/>
      <c r="F1" s="6"/>
      <c r="G1" s="7"/>
      <c r="H1" s="8"/>
      <c r="I1" s="8"/>
      <c r="J1" s="8"/>
    </row>
    <row r="2" spans="1:205" s="1" customFormat="1" ht="16.5">
      <c r="A2" s="3" t="s">
        <v>2</v>
      </c>
      <c r="B2" s="4"/>
      <c r="C2" s="4"/>
      <c r="D2" s="6"/>
      <c r="E2" s="6"/>
      <c r="F2" s="6"/>
      <c r="G2" s="7"/>
      <c r="H2" s="8"/>
      <c r="I2" s="8"/>
      <c r="J2" s="8"/>
    </row>
    <row r="3" spans="1:205" s="1" customFormat="1" ht="6.75" customHeight="1">
      <c r="A3" s="9"/>
      <c r="B3" s="4"/>
      <c r="C3" s="4"/>
      <c r="D3" s="6"/>
      <c r="E3" s="6"/>
      <c r="F3" s="6"/>
      <c r="G3" s="7"/>
      <c r="H3" s="8"/>
      <c r="I3" s="8"/>
      <c r="J3" s="8"/>
    </row>
    <row r="4" spans="1:205" ht="38.25" customHeight="1">
      <c r="A4" s="286" t="s">
        <v>3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</row>
    <row r="5" spans="1:205" ht="20.25" customHeight="1">
      <c r="A5" s="280" t="str">
        <f>'[1]Photobook KM'!A5</f>
        <v>Đơn vị tính | Unit: VND | Bìa mềm có kích thước nhỏ hơn khoảng 5mm xén từ 3 chiều | softcover books are smaller by a minimum of 5cm trimming margin from 3 sides.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</row>
    <row r="6" spans="1:205" ht="20.25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</row>
    <row r="7" spans="1:205" s="39" customFormat="1" ht="59.25" customHeight="1">
      <c r="A7" s="264" t="s">
        <v>4</v>
      </c>
      <c r="B7" s="264" t="s">
        <v>5</v>
      </c>
      <c r="C7" s="187" t="s">
        <v>6</v>
      </c>
      <c r="D7" s="187" t="s">
        <v>7</v>
      </c>
      <c r="E7" s="187" t="s">
        <v>8</v>
      </c>
      <c r="F7" s="188" t="s">
        <v>9</v>
      </c>
      <c r="G7" s="188" t="s">
        <v>10</v>
      </c>
      <c r="H7" s="188" t="s">
        <v>11</v>
      </c>
      <c r="I7" s="188" t="s">
        <v>12</v>
      </c>
      <c r="J7" s="188" t="s">
        <v>13</v>
      </c>
      <c r="K7" s="188" t="s">
        <v>109</v>
      </c>
    </row>
    <row r="8" spans="1:205" s="17" customFormat="1" ht="23.1" customHeight="1">
      <c r="A8" s="272" t="s">
        <v>14</v>
      </c>
      <c r="B8" s="272"/>
      <c r="C8" s="189">
        <v>44</v>
      </c>
      <c r="D8" s="190">
        <v>80</v>
      </c>
      <c r="E8" s="190">
        <v>30</v>
      </c>
      <c r="F8" s="190">
        <v>22</v>
      </c>
      <c r="G8" s="190">
        <v>102</v>
      </c>
      <c r="H8" s="190">
        <v>20</v>
      </c>
      <c r="I8" s="190">
        <v>40</v>
      </c>
      <c r="J8" s="190">
        <v>58</v>
      </c>
      <c r="K8" s="190">
        <v>66</v>
      </c>
    </row>
    <row r="9" spans="1:205" s="17" customFormat="1" ht="42.75" customHeight="1">
      <c r="A9" s="14" t="s">
        <v>15</v>
      </c>
      <c r="B9" s="15" t="s">
        <v>16</v>
      </c>
      <c r="C9" s="16" t="s">
        <v>19</v>
      </c>
      <c r="D9" s="16" t="s">
        <v>19</v>
      </c>
      <c r="E9" s="16" t="s">
        <v>19</v>
      </c>
      <c r="F9" s="16" t="s">
        <v>19</v>
      </c>
      <c r="G9" s="16" t="s">
        <v>19</v>
      </c>
      <c r="H9" s="16" t="s">
        <v>19</v>
      </c>
      <c r="I9" s="16" t="s">
        <v>19</v>
      </c>
      <c r="J9" s="16" t="s">
        <v>19</v>
      </c>
      <c r="K9" s="16" t="s">
        <v>19</v>
      </c>
    </row>
    <row r="10" spans="1:205" s="22" customFormat="1" ht="34.5" customHeight="1">
      <c r="A10" s="265">
        <v>1</v>
      </c>
      <c r="B10" s="19" t="s">
        <v>110</v>
      </c>
      <c r="C10" s="165">
        <f>193000+($C$8-30)*$C$14/2</f>
        <v>263000</v>
      </c>
      <c r="D10" s="165">
        <f>254000+($D$8-30)*$D$14/2</f>
        <v>629000</v>
      </c>
      <c r="E10" s="165">
        <f>331000+($E$8-30)*$E$14/2</f>
        <v>331000</v>
      </c>
      <c r="F10" s="165">
        <f>576000+($F$8-30)*$F$14/2</f>
        <v>432000</v>
      </c>
      <c r="G10" s="165">
        <f>482000+($G$8-30)*$G$14/2</f>
        <v>1562000</v>
      </c>
      <c r="H10" s="165">
        <f>650000+($H$8-30)*$H$14/2</f>
        <v>450000</v>
      </c>
      <c r="I10" s="165">
        <f>752000+($I$8-30)*$I$14/2</f>
        <v>982000</v>
      </c>
      <c r="J10" s="165">
        <f>906000+($J$8-30)*$J$14/2</f>
        <v>1788000</v>
      </c>
      <c r="K10" s="165">
        <f>938000+($K$8-30)*$K$14/2</f>
        <v>2234000</v>
      </c>
    </row>
    <row r="11" spans="1:205" s="23" customFormat="1" ht="36" customHeight="1">
      <c r="A11" s="265">
        <v>2</v>
      </c>
      <c r="B11" s="19" t="s">
        <v>111</v>
      </c>
      <c r="C11" s="165">
        <f>237000+($C$8-30)*$C$14/2</f>
        <v>307000</v>
      </c>
      <c r="D11" s="165">
        <f>305000+($D$8-30)*$D$14/2</f>
        <v>680000</v>
      </c>
      <c r="E11" s="165">
        <f>387000+($E$8-30)*$E$14/2</f>
        <v>387000</v>
      </c>
      <c r="F11" s="165">
        <f>663000+($F$8-30)*$F$14/2</f>
        <v>519000</v>
      </c>
      <c r="G11" s="165">
        <f>563000+($G$8-30)*$G$14/2</f>
        <v>1643000</v>
      </c>
      <c r="H11" s="193">
        <f>780000+($H$8-30)*$H$14/2</f>
        <v>580000</v>
      </c>
      <c r="I11" s="165">
        <f>865000+($I$8-30)*$I$14/2</f>
        <v>1095000</v>
      </c>
      <c r="J11" s="165">
        <f>1027000+($J$8-30)*$J$14/2</f>
        <v>1909000</v>
      </c>
      <c r="K11" s="165">
        <f>1103000+($K$8-30)*$K$14/2</f>
        <v>2399000</v>
      </c>
      <c r="L11" s="195"/>
    </row>
    <row r="12" spans="1:205" s="23" customFormat="1" ht="31.5" customHeight="1">
      <c r="A12" s="265">
        <v>3</v>
      </c>
      <c r="B12" s="19" t="s">
        <v>112</v>
      </c>
      <c r="C12" s="165">
        <f>302000+($C$8-30)*$C$14/2</f>
        <v>372000</v>
      </c>
      <c r="D12" s="165">
        <f>376000+($D$8-30)*$D$14/2</f>
        <v>751000</v>
      </c>
      <c r="E12" s="165">
        <f>475000+($E$8-30)*$E$14/2</f>
        <v>475000</v>
      </c>
      <c r="F12" s="165">
        <f>776000+($F$8-30)*$F$14/2</f>
        <v>632000</v>
      </c>
      <c r="G12" s="165">
        <f>682000+($G$8-30)*$G$14/2</f>
        <v>1762000</v>
      </c>
      <c r="H12" s="165">
        <f>876000+($H$8-30)*$H$14/2</f>
        <v>676000</v>
      </c>
      <c r="I12" s="165">
        <f>1004000+($I$8-30)*$I$14/2</f>
        <v>1234000</v>
      </c>
      <c r="J12" s="165">
        <f>1167000+($J$8-30)*$J$14/2</f>
        <v>2049000</v>
      </c>
      <c r="K12" s="165">
        <f>1216000+($K$8-30)*$K$14/2</f>
        <v>2512000</v>
      </c>
      <c r="L12" s="195"/>
    </row>
    <row r="13" spans="1:205" s="23" customFormat="1" ht="40.5" customHeight="1">
      <c r="A13" s="265">
        <v>4</v>
      </c>
      <c r="B13" s="19" t="s">
        <v>21</v>
      </c>
      <c r="C13" s="165">
        <f>325000+($C$8-30)*$C$14/2</f>
        <v>395000</v>
      </c>
      <c r="D13" s="165">
        <f>402000+($D$8-30)*$D$14/2</f>
        <v>777000</v>
      </c>
      <c r="E13" s="165">
        <f>505000+($E$8-30)*$E$14/2</f>
        <v>505000</v>
      </c>
      <c r="F13" s="165">
        <f>820000+($F$8-30)*$F$14/2</f>
        <v>676000</v>
      </c>
      <c r="G13" s="165">
        <f>724000+($G$8-30)*$G$14/2</f>
        <v>1804000</v>
      </c>
      <c r="H13" s="165">
        <f>927000+($H$8-30)*$H$14/2</f>
        <v>727000</v>
      </c>
      <c r="I13" s="165">
        <f>1061000+($I$8-30)*$I$14/2</f>
        <v>1291000</v>
      </c>
      <c r="J13" s="165">
        <f>1228000+($J$8-30)*$J$14/2</f>
        <v>2110000</v>
      </c>
      <c r="K13" s="165">
        <f>1281000+($K$8-30)*$K$14/2</f>
        <v>2577000</v>
      </c>
    </row>
    <row r="14" spans="1:205" s="22" customFormat="1" ht="35.25" customHeight="1">
      <c r="A14" s="24">
        <v>5</v>
      </c>
      <c r="B14" s="25" t="s">
        <v>22</v>
      </c>
      <c r="C14" s="169">
        <v>10000</v>
      </c>
      <c r="D14" s="168">
        <v>15000</v>
      </c>
      <c r="E14" s="169">
        <v>20000</v>
      </c>
      <c r="F14" s="165">
        <v>36000</v>
      </c>
      <c r="G14" s="169">
        <v>30000</v>
      </c>
      <c r="H14" s="165">
        <v>40000</v>
      </c>
      <c r="I14" s="165">
        <v>46000</v>
      </c>
      <c r="J14" s="165">
        <v>63000</v>
      </c>
      <c r="K14" s="165">
        <v>72000</v>
      </c>
    </row>
    <row r="15" spans="1:205" s="29" customFormat="1" ht="7.5" customHeight="1">
      <c r="A15" s="24"/>
      <c r="B15" s="25"/>
      <c r="C15" s="18"/>
      <c r="D15" s="28"/>
      <c r="E15" s="28"/>
      <c r="F15" s="163"/>
      <c r="G15" s="163"/>
      <c r="H15" s="163"/>
      <c r="I15" s="163"/>
      <c r="J15" s="163"/>
      <c r="K15" s="163"/>
    </row>
    <row r="16" spans="1:205" s="22" customFormat="1" ht="27.75" customHeight="1">
      <c r="A16" s="30" t="s">
        <v>23</v>
      </c>
      <c r="B16" s="31" t="s">
        <v>24</v>
      </c>
      <c r="C16" s="191" t="str">
        <f t="shared" ref="C16:K16" si="0">C7</f>
        <v>15 x 15 cm</v>
      </c>
      <c r="D16" s="192" t="str">
        <f t="shared" si="0"/>
        <v>15 x 20 cm or 20 x 15 cm</v>
      </c>
      <c r="E16" s="192" t="str">
        <f t="shared" si="0"/>
        <v>20 x 20 cm</v>
      </c>
      <c r="F16" s="192" t="str">
        <f t="shared" si="0"/>
        <v>25 x 25 cm</v>
      </c>
      <c r="G16" s="192" t="str">
        <f t="shared" si="0"/>
        <v>30 x 20 cm or 20 x 30 cm</v>
      </c>
      <c r="H16" s="192" t="str">
        <f t="shared" si="0"/>
        <v>30 x 30 cm</v>
      </c>
      <c r="I16" s="192" t="str">
        <f t="shared" si="0"/>
        <v>25 x 35 cm or 35 x 25 cm
30 x 35 cm or 35 x 30cm</v>
      </c>
      <c r="J16" s="192" t="str">
        <f t="shared" si="0"/>
        <v>40 x 30 cm</v>
      </c>
      <c r="K16" s="192" t="str">
        <f t="shared" si="0"/>
        <v>45 x 30 cm</v>
      </c>
    </row>
    <row r="17" spans="1:11" s="23" customFormat="1" ht="30" customHeight="1">
      <c r="A17" s="18">
        <v>1</v>
      </c>
      <c r="B17" s="19" t="s">
        <v>113</v>
      </c>
      <c r="C17" s="185">
        <f>'[1]Album KTS OLD'!D23</f>
        <v>30000</v>
      </c>
      <c r="D17" s="185">
        <f>'[1]Album KTS OLD'!E23</f>
        <v>30000</v>
      </c>
      <c r="E17" s="186">
        <f>'[1]Album KTS OLD'!F23</f>
        <v>35000</v>
      </c>
      <c r="F17" s="186">
        <f>'[1]Album KTS OLD'!H23</f>
        <v>45000</v>
      </c>
      <c r="G17" s="186">
        <f>'[1]Album KTS OLD'!G23</f>
        <v>40000</v>
      </c>
      <c r="H17" s="186">
        <f>'[1]Album KTS OLD'!J23</f>
        <v>50000</v>
      </c>
      <c r="I17" s="186">
        <f>'[1]Album KTS OLD'!K23</f>
        <v>60000</v>
      </c>
      <c r="J17" s="186">
        <f>I17</f>
        <v>60000</v>
      </c>
      <c r="K17" s="186">
        <f>J17</f>
        <v>60000</v>
      </c>
    </row>
    <row r="18" spans="1:11" ht="30" customHeight="1">
      <c r="A18" s="18">
        <v>2</v>
      </c>
      <c r="B18" s="19" t="s">
        <v>25</v>
      </c>
      <c r="C18" s="185">
        <f>'[1]Photobook KM'!C24</f>
        <v>150000</v>
      </c>
      <c r="D18" s="186">
        <f>'[1]Photobook KM'!D24</f>
        <v>180000</v>
      </c>
      <c r="E18" s="186">
        <f>'[1]Photobook KM'!E24</f>
        <v>220000</v>
      </c>
      <c r="F18" s="186">
        <f>'[1]Photobook KM'!F24</f>
        <v>270000</v>
      </c>
      <c r="G18" s="186">
        <f>'[1]Photobook KM'!G24</f>
        <v>270000</v>
      </c>
      <c r="H18" s="186">
        <f>'[1]Photobook KM'!H24</f>
        <v>270000</v>
      </c>
      <c r="I18" s="186">
        <f>'[1]Photobook KM'!I24</f>
        <v>320000</v>
      </c>
      <c r="J18" s="186">
        <f>'[1]Photobook KM'!J24</f>
        <v>350000</v>
      </c>
      <c r="K18" s="186">
        <v>350000</v>
      </c>
    </row>
    <row r="19" spans="1:11" hidden="1">
      <c r="B19" s="34"/>
      <c r="C19" s="34"/>
      <c r="D19" s="34"/>
      <c r="E19" s="34"/>
      <c r="F19" s="34"/>
      <c r="G19" s="34"/>
      <c r="H19" s="35" t="str">
        <f>'[1]Photobook KM'!J25</f>
        <v>Thêm 30% &amp; 10% cho Khách hàng lẻ và doanh nghiệp| Additional charge of 30% &amp; 10% for indivual and business clients.</v>
      </c>
      <c r="I19" s="35"/>
      <c r="J19" s="35"/>
    </row>
    <row r="20" spans="1:11" hidden="1">
      <c r="B20" s="34"/>
      <c r="C20" s="34"/>
      <c r="D20" s="34"/>
      <c r="E20" s="34"/>
      <c r="F20" s="34"/>
      <c r="G20" s="34"/>
      <c r="H20" s="35" t="e">
        <f>'[1]Prints SSN'!#REF!</f>
        <v>#REF!</v>
      </c>
      <c r="I20" s="35"/>
      <c r="J20" s="35"/>
    </row>
    <row r="21" spans="1:11" ht="15.6" hidden="1" customHeight="1">
      <c r="A21" s="36"/>
      <c r="B21" s="34"/>
      <c r="C21" s="34"/>
      <c r="D21" s="34"/>
      <c r="E21" s="34"/>
      <c r="F21" s="34"/>
      <c r="G21" s="34"/>
      <c r="H21" s="35" t="e">
        <f>'[1]Prints SSN'!#REF!</f>
        <v>#REF!</v>
      </c>
      <c r="I21" s="35"/>
      <c r="J21" s="35"/>
    </row>
    <row r="22" spans="1:11" ht="23.25" hidden="1" customHeight="1">
      <c r="A22" s="281" t="s">
        <v>26</v>
      </c>
      <c r="B22" s="281"/>
      <c r="C22" s="281"/>
      <c r="D22" s="281"/>
      <c r="E22" s="281"/>
      <c r="F22" s="281"/>
      <c r="G22" s="281"/>
      <c r="H22" s="281"/>
      <c r="I22" s="40"/>
      <c r="J22" s="40"/>
    </row>
    <row r="23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</row>
  </sheetData>
  <mergeCells count="4">
    <mergeCell ref="A22:H22"/>
    <mergeCell ref="A8:B8"/>
    <mergeCell ref="A4:K4"/>
    <mergeCell ref="A5:K5"/>
  </mergeCells>
  <pageMargins left="0.23" right="0.22" top="0.75" bottom="0.75" header="0.3" footer="0.3"/>
  <pageSetup paperSize="9" scale="88" orientation="landscape" verticalDpi="1200" r:id="rId1"/>
  <colBreaks count="1" manualBreakCount="1">
    <brk id="1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S28"/>
  <sheetViews>
    <sheetView zoomScale="70" zoomScaleNormal="70" workbookViewId="0">
      <selection activeCell="B15" sqref="B15:H15"/>
    </sheetView>
  </sheetViews>
  <sheetFormatPr defaultColWidth="9.85546875" defaultRowHeight="15.75"/>
  <cols>
    <col min="1" max="1" width="5.140625" style="33" customWidth="1"/>
    <col min="2" max="2" width="32.5703125" style="11" customWidth="1"/>
    <col min="3" max="8" width="14.140625" style="262" customWidth="1"/>
    <col min="9" max="9" width="9.85546875" style="11"/>
    <col min="10" max="10" width="9.85546875" style="11" hidden="1" customWidth="1"/>
    <col min="11" max="11" width="19.5703125" style="11" hidden="1" customWidth="1"/>
    <col min="12" max="17" width="13.7109375" style="11" hidden="1" customWidth="1"/>
    <col min="18" max="16384" width="9.85546875" style="11"/>
  </cols>
  <sheetData>
    <row r="1" spans="1:201" s="201" customFormat="1" ht="20.25">
      <c r="A1" s="245" t="s">
        <v>0</v>
      </c>
      <c r="B1" s="198"/>
      <c r="C1" s="246"/>
      <c r="D1" s="247"/>
      <c r="E1" s="199"/>
      <c r="F1" s="199"/>
      <c r="G1" s="199"/>
      <c r="H1" s="248"/>
    </row>
    <row r="2" spans="1:201" s="201" customFormat="1">
      <c r="A2" s="202" t="s">
        <v>153</v>
      </c>
      <c r="B2" s="203"/>
      <c r="C2" s="249"/>
      <c r="D2" s="247"/>
      <c r="E2" s="199"/>
      <c r="F2" s="199"/>
      <c r="G2" s="199"/>
      <c r="H2" s="248"/>
    </row>
    <row r="3" spans="1:201" s="201" customFormat="1" ht="7.9" customHeight="1">
      <c r="A3" s="202"/>
      <c r="B3" s="203"/>
      <c r="C3" s="249"/>
      <c r="D3" s="247"/>
      <c r="E3" s="199"/>
      <c r="F3" s="199"/>
      <c r="G3" s="199"/>
      <c r="H3" s="248"/>
    </row>
    <row r="4" spans="1:201" ht="32.1" customHeight="1">
      <c r="A4" s="308" t="s">
        <v>3</v>
      </c>
      <c r="B4" s="289"/>
      <c r="C4" s="289"/>
      <c r="D4" s="289"/>
      <c r="E4" s="289"/>
      <c r="F4" s="289"/>
      <c r="G4" s="289"/>
      <c r="H4" s="28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</row>
    <row r="5" spans="1:201" ht="20.25" customHeight="1">
      <c r="A5" s="309" t="s">
        <v>154</v>
      </c>
      <c r="B5" s="309"/>
      <c r="C5" s="309"/>
      <c r="D5" s="309"/>
      <c r="E5" s="309"/>
      <c r="F5" s="309"/>
      <c r="G5" s="309"/>
      <c r="H5" s="30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</row>
    <row r="6" spans="1:201" ht="12.95" customHeight="1">
      <c r="A6" s="204"/>
      <c r="B6" s="204"/>
      <c r="C6" s="250"/>
      <c r="D6" s="250"/>
      <c r="E6" s="250"/>
      <c r="F6" s="250"/>
      <c r="G6" s="250"/>
      <c r="H6" s="25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</row>
    <row r="7" spans="1:201" s="208" customFormat="1" ht="54.6" customHeight="1">
      <c r="A7" s="252" t="s">
        <v>53</v>
      </c>
      <c r="B7" s="252" t="s">
        <v>155</v>
      </c>
      <c r="C7" s="253" t="s">
        <v>6</v>
      </c>
      <c r="D7" s="253" t="s">
        <v>156</v>
      </c>
      <c r="E7" s="253" t="s">
        <v>11</v>
      </c>
      <c r="F7" s="254" t="s">
        <v>157</v>
      </c>
      <c r="G7" s="253" t="s">
        <v>13</v>
      </c>
      <c r="H7" s="253" t="s">
        <v>109</v>
      </c>
      <c r="J7" s="252" t="s">
        <v>53</v>
      </c>
      <c r="K7" s="252" t="s">
        <v>155</v>
      </c>
      <c r="L7" s="253" t="s">
        <v>6</v>
      </c>
      <c r="M7" s="253" t="s">
        <v>156</v>
      </c>
      <c r="N7" s="253" t="s">
        <v>11</v>
      </c>
      <c r="O7" s="254" t="s">
        <v>157</v>
      </c>
      <c r="P7" s="253" t="s">
        <v>13</v>
      </c>
      <c r="Q7" s="253" t="s">
        <v>109</v>
      </c>
    </row>
    <row r="8" spans="1:201" s="208" customFormat="1" ht="29.65" customHeight="1">
      <c r="A8" s="306" t="s">
        <v>158</v>
      </c>
      <c r="B8" s="306"/>
      <c r="C8" s="255">
        <v>60</v>
      </c>
      <c r="D8" s="255">
        <v>60</v>
      </c>
      <c r="E8" s="255">
        <v>30</v>
      </c>
      <c r="F8" s="255">
        <v>30</v>
      </c>
      <c r="G8" s="255">
        <v>60</v>
      </c>
      <c r="H8" s="255">
        <v>60</v>
      </c>
      <c r="J8" s="306" t="s">
        <v>158</v>
      </c>
      <c r="K8" s="306"/>
      <c r="L8" s="255">
        <v>60</v>
      </c>
      <c r="M8" s="255">
        <v>60</v>
      </c>
      <c r="N8" s="255">
        <v>60</v>
      </c>
      <c r="O8" s="255">
        <v>60</v>
      </c>
      <c r="P8" s="255">
        <v>60</v>
      </c>
      <c r="Q8" s="255">
        <v>60</v>
      </c>
    </row>
    <row r="9" spans="1:201" s="208" customFormat="1" ht="33.4" hidden="1" customHeight="1">
      <c r="A9" s="256" t="s">
        <v>15</v>
      </c>
      <c r="B9" s="307" t="s">
        <v>159</v>
      </c>
      <c r="C9" s="307"/>
      <c r="D9" s="307"/>
      <c r="E9" s="307"/>
      <c r="F9" s="307"/>
      <c r="G9" s="307"/>
      <c r="H9" s="307"/>
      <c r="J9" s="256" t="s">
        <v>15</v>
      </c>
      <c r="K9" s="307" t="s">
        <v>159</v>
      </c>
      <c r="L9" s="307"/>
      <c r="M9" s="307"/>
      <c r="N9" s="307"/>
      <c r="O9" s="307"/>
      <c r="P9" s="307"/>
      <c r="Q9" s="307"/>
    </row>
    <row r="10" spans="1:201" s="210" customFormat="1" ht="49.15" hidden="1" customHeight="1">
      <c r="A10" s="257"/>
      <c r="B10" s="258" t="s">
        <v>160</v>
      </c>
      <c r="C10" s="225">
        <v>193000</v>
      </c>
      <c r="D10" s="225">
        <v>482000</v>
      </c>
      <c r="E10" s="225">
        <v>650000</v>
      </c>
      <c r="F10" s="225">
        <v>752000</v>
      </c>
      <c r="G10" s="225">
        <v>906000</v>
      </c>
      <c r="H10" s="225">
        <v>938000</v>
      </c>
      <c r="J10" s="257"/>
      <c r="K10" s="258" t="s">
        <v>160</v>
      </c>
      <c r="L10" s="225">
        <v>193000</v>
      </c>
      <c r="M10" s="225">
        <v>482000</v>
      </c>
      <c r="N10" s="225">
        <v>650000</v>
      </c>
      <c r="O10" s="225">
        <v>752000</v>
      </c>
      <c r="P10" s="225">
        <v>906000</v>
      </c>
      <c r="Q10" s="225">
        <v>938000</v>
      </c>
    </row>
    <row r="11" spans="1:201" s="210" customFormat="1" ht="49.15" hidden="1" customHeight="1">
      <c r="A11" s="257">
        <v>1</v>
      </c>
      <c r="B11" s="258" t="s">
        <v>160</v>
      </c>
      <c r="C11" s="225" t="e">
        <f>C10+#REF!*15</f>
        <v>#REF!</v>
      </c>
      <c r="D11" s="225" t="e">
        <f>D10+#REF!*15</f>
        <v>#REF!</v>
      </c>
      <c r="E11" s="225" t="e">
        <f>E10+#REF!*15</f>
        <v>#REF!</v>
      </c>
      <c r="F11" s="225" t="e">
        <f>F10+#REF!*15</f>
        <v>#REF!</v>
      </c>
      <c r="G11" s="225" t="e">
        <f>G10+#REF!*15</f>
        <v>#REF!</v>
      </c>
      <c r="H11" s="225" t="e">
        <f>H10+#REF!*15</f>
        <v>#REF!</v>
      </c>
      <c r="J11" s="257">
        <v>1</v>
      </c>
      <c r="K11" s="258" t="s">
        <v>160</v>
      </c>
      <c r="L11" s="225" t="e">
        <f>L10+#REF!*15</f>
        <v>#REF!</v>
      </c>
      <c r="M11" s="225" t="e">
        <f>M10+#REF!*15</f>
        <v>#REF!</v>
      </c>
      <c r="N11" s="225" t="e">
        <f>N10+#REF!*15</f>
        <v>#REF!</v>
      </c>
      <c r="O11" s="225" t="e">
        <f>O10+#REF!*15</f>
        <v>#REF!</v>
      </c>
      <c r="P11" s="225" t="e">
        <f>P10+#REF!*15</f>
        <v>#REF!</v>
      </c>
      <c r="Q11" s="225" t="e">
        <f>Q10+#REF!*15</f>
        <v>#REF!</v>
      </c>
    </row>
    <row r="12" spans="1:201" ht="49.15" hidden="1" customHeight="1">
      <c r="A12" s="257"/>
      <c r="B12" s="258" t="s">
        <v>161</v>
      </c>
      <c r="C12" s="225">
        <v>237000</v>
      </c>
      <c r="D12" s="225">
        <v>563000</v>
      </c>
      <c r="E12" s="225">
        <v>780000</v>
      </c>
      <c r="F12" s="225">
        <v>865000</v>
      </c>
      <c r="G12" s="225">
        <v>1027000</v>
      </c>
      <c r="H12" s="225">
        <v>1103000</v>
      </c>
      <c r="J12" s="257"/>
      <c r="K12" s="258" t="s">
        <v>161</v>
      </c>
      <c r="L12" s="225">
        <v>237000</v>
      </c>
      <c r="M12" s="225">
        <v>563000</v>
      </c>
      <c r="N12" s="225">
        <v>780000</v>
      </c>
      <c r="O12" s="225">
        <v>865000</v>
      </c>
      <c r="P12" s="225">
        <v>1027000</v>
      </c>
      <c r="Q12" s="225">
        <v>1103000</v>
      </c>
    </row>
    <row r="13" spans="1:201" ht="34.9" hidden="1" customHeight="1">
      <c r="A13" s="257">
        <v>1</v>
      </c>
      <c r="B13" s="258" t="s">
        <v>161</v>
      </c>
      <c r="C13" s="225">
        <f>L13+($C$8-60)*$C$14/2</f>
        <v>387000</v>
      </c>
      <c r="D13" s="225">
        <f>M13+($D$8-60)*$D$14/2</f>
        <v>1013000</v>
      </c>
      <c r="E13" s="225">
        <f>N13+($E$8-60)*$E$14/2</f>
        <v>840000</v>
      </c>
      <c r="F13" s="225">
        <f>O13+($F$8-60)*$F$14/2</f>
        <v>940000</v>
      </c>
      <c r="G13" s="225">
        <f>P13+($G$8-60)*$G$14/2</f>
        <v>1972000</v>
      </c>
      <c r="H13" s="225">
        <f>Q13+($H$8-60)*$H$14/2</f>
        <v>2183000</v>
      </c>
      <c r="J13" s="257">
        <v>1</v>
      </c>
      <c r="K13" s="258" t="s">
        <v>161</v>
      </c>
      <c r="L13" s="225">
        <v>387000</v>
      </c>
      <c r="M13" s="225">
        <v>1013000</v>
      </c>
      <c r="N13" s="225">
        <v>1380000</v>
      </c>
      <c r="O13" s="225">
        <v>1555000</v>
      </c>
      <c r="P13" s="225">
        <v>1972000</v>
      </c>
      <c r="Q13" s="225">
        <v>2183000</v>
      </c>
    </row>
    <row r="14" spans="1:201" s="210" customFormat="1" ht="36.6" hidden="1" customHeight="1">
      <c r="A14" s="259">
        <v>2</v>
      </c>
      <c r="B14" s="260" t="s">
        <v>162</v>
      </c>
      <c r="C14" s="226">
        <v>9000</v>
      </c>
      <c r="D14" s="226">
        <v>27000</v>
      </c>
      <c r="E14" s="226">
        <v>36000</v>
      </c>
      <c r="F14" s="226">
        <v>41000</v>
      </c>
      <c r="G14" s="226">
        <v>57000</v>
      </c>
      <c r="H14" s="226">
        <v>65000</v>
      </c>
      <c r="J14" s="259">
        <v>2</v>
      </c>
      <c r="K14" s="260" t="s">
        <v>162</v>
      </c>
      <c r="L14" s="226">
        <v>9000</v>
      </c>
      <c r="M14" s="226">
        <v>27000</v>
      </c>
      <c r="N14" s="226">
        <v>36000</v>
      </c>
      <c r="O14" s="226">
        <v>41000</v>
      </c>
      <c r="P14" s="226">
        <v>57000</v>
      </c>
      <c r="Q14" s="226">
        <v>65000</v>
      </c>
    </row>
    <row r="15" spans="1:201" s="208" customFormat="1" ht="30.4" customHeight="1">
      <c r="A15" s="256" t="s">
        <v>30</v>
      </c>
      <c r="B15" s="307" t="s">
        <v>163</v>
      </c>
      <c r="C15" s="307"/>
      <c r="D15" s="307"/>
      <c r="E15" s="307"/>
      <c r="F15" s="307"/>
      <c r="G15" s="307"/>
      <c r="H15" s="307"/>
      <c r="J15" s="256" t="s">
        <v>30</v>
      </c>
      <c r="K15" s="307" t="s">
        <v>163</v>
      </c>
      <c r="L15" s="307"/>
      <c r="M15" s="307"/>
      <c r="N15" s="307"/>
      <c r="O15" s="307"/>
      <c r="P15" s="307"/>
      <c r="Q15" s="307"/>
    </row>
    <row r="16" spans="1:201" s="210" customFormat="1" ht="49.15" hidden="1" customHeight="1">
      <c r="A16" s="257"/>
      <c r="B16" s="258" t="s">
        <v>160</v>
      </c>
      <c r="C16" s="225">
        <v>181000</v>
      </c>
      <c r="D16" s="225">
        <v>445000</v>
      </c>
      <c r="E16" s="225">
        <v>601000</v>
      </c>
      <c r="F16" s="225">
        <v>691000</v>
      </c>
      <c r="G16" s="225">
        <v>840000</v>
      </c>
      <c r="H16" s="225">
        <v>865000</v>
      </c>
      <c r="J16" s="257"/>
      <c r="K16" s="258" t="s">
        <v>160</v>
      </c>
      <c r="L16" s="225">
        <v>181000</v>
      </c>
      <c r="M16" s="225">
        <v>445000</v>
      </c>
      <c r="N16" s="225">
        <v>601000</v>
      </c>
      <c r="O16" s="225">
        <v>691000</v>
      </c>
      <c r="P16" s="225">
        <v>840000</v>
      </c>
      <c r="Q16" s="225">
        <v>865000</v>
      </c>
    </row>
    <row r="17" spans="1:17" s="210" customFormat="1" ht="49.15" hidden="1" customHeight="1">
      <c r="A17" s="257"/>
      <c r="B17" s="258" t="s">
        <v>160</v>
      </c>
      <c r="C17" s="225" t="e">
        <f>C16+#REF!*15</f>
        <v>#REF!</v>
      </c>
      <c r="D17" s="225" t="e">
        <f>D16+#REF!*15</f>
        <v>#REF!</v>
      </c>
      <c r="E17" s="225" t="e">
        <f>E16+#REF!*15</f>
        <v>#REF!</v>
      </c>
      <c r="F17" s="225" t="e">
        <f>F16+#REF!*15</f>
        <v>#REF!</v>
      </c>
      <c r="G17" s="225" t="e">
        <f>G16+#REF!*15</f>
        <v>#REF!</v>
      </c>
      <c r="H17" s="225" t="e">
        <f>H16+#REF!*15</f>
        <v>#REF!</v>
      </c>
      <c r="J17" s="257"/>
      <c r="K17" s="258" t="s">
        <v>160</v>
      </c>
      <c r="L17" s="225" t="e">
        <f>L16+#REF!*15</f>
        <v>#REF!</v>
      </c>
      <c r="M17" s="225" t="e">
        <f>M16+#REF!*15</f>
        <v>#REF!</v>
      </c>
      <c r="N17" s="225" t="e">
        <f>N16+#REF!*15</f>
        <v>#REF!</v>
      </c>
      <c r="O17" s="225" t="e">
        <f>O16+#REF!*15</f>
        <v>#REF!</v>
      </c>
      <c r="P17" s="225" t="e">
        <f>P16+#REF!*15</f>
        <v>#REF!</v>
      </c>
      <c r="Q17" s="225" t="e">
        <f>Q16+#REF!*15</f>
        <v>#REF!</v>
      </c>
    </row>
    <row r="18" spans="1:17" s="210" customFormat="1" ht="49.15" hidden="1" customHeight="1">
      <c r="A18" s="257"/>
      <c r="B18" s="258" t="s">
        <v>161</v>
      </c>
      <c r="C18" s="225">
        <v>224000</v>
      </c>
      <c r="D18" s="225">
        <v>526000</v>
      </c>
      <c r="E18" s="225">
        <v>732000</v>
      </c>
      <c r="F18" s="225">
        <v>804000</v>
      </c>
      <c r="G18" s="225">
        <v>962000</v>
      </c>
      <c r="H18" s="225">
        <v>1030000</v>
      </c>
      <c r="J18" s="257"/>
      <c r="K18" s="258" t="s">
        <v>161</v>
      </c>
      <c r="L18" s="225">
        <v>224000</v>
      </c>
      <c r="M18" s="225">
        <v>526000</v>
      </c>
      <c r="N18" s="225">
        <v>732000</v>
      </c>
      <c r="O18" s="225">
        <v>804000</v>
      </c>
      <c r="P18" s="225">
        <v>962000</v>
      </c>
      <c r="Q18" s="225">
        <v>1030000</v>
      </c>
    </row>
    <row r="19" spans="1:17" s="210" customFormat="1" ht="33.950000000000003" customHeight="1">
      <c r="A19" s="257">
        <v>1</v>
      </c>
      <c r="B19" s="258" t="s">
        <v>161</v>
      </c>
      <c r="C19" s="225">
        <f>L19+($C$8-60)*$C$20/2</f>
        <v>374000</v>
      </c>
      <c r="D19" s="225">
        <f>M19+($D$8-60)*$D$20/2</f>
        <v>931000</v>
      </c>
      <c r="E19" s="225">
        <f>N19+($E$8-60)*$E$20/2</f>
        <v>792000</v>
      </c>
      <c r="F19" s="225">
        <f>O19+($F$8-60)*$F$20/2</f>
        <v>755000</v>
      </c>
      <c r="G19" s="225">
        <f>P19+($G$8-60)*$G$20/2</f>
        <v>1480000</v>
      </c>
      <c r="H19" s="225">
        <f>Q19+($H$8-60)*$H$20/2</f>
        <v>1818000</v>
      </c>
      <c r="J19" s="257">
        <v>1</v>
      </c>
      <c r="K19" s="258" t="s">
        <v>161</v>
      </c>
      <c r="L19" s="225">
        <v>374000</v>
      </c>
      <c r="M19" s="225">
        <v>931000</v>
      </c>
      <c r="N19" s="225">
        <v>1287000</v>
      </c>
      <c r="O19" s="225">
        <v>1325000</v>
      </c>
      <c r="P19" s="225">
        <v>1480000</v>
      </c>
      <c r="Q19" s="225">
        <v>1818000</v>
      </c>
    </row>
    <row r="20" spans="1:17" s="210" customFormat="1" ht="34.9" customHeight="1">
      <c r="A20" s="259">
        <v>2</v>
      </c>
      <c r="B20" s="260" t="s">
        <v>162</v>
      </c>
      <c r="C20" s="226">
        <v>9000</v>
      </c>
      <c r="D20" s="226">
        <v>24000</v>
      </c>
      <c r="E20" s="226">
        <v>33000</v>
      </c>
      <c r="F20" s="226">
        <v>38000</v>
      </c>
      <c r="G20" s="226">
        <v>46000</v>
      </c>
      <c r="H20" s="226">
        <v>59000</v>
      </c>
      <c r="J20" s="259">
        <v>2</v>
      </c>
      <c r="K20" s="260" t="s">
        <v>162</v>
      </c>
      <c r="L20" s="226">
        <v>9000</v>
      </c>
      <c r="M20" s="226">
        <v>24000</v>
      </c>
      <c r="N20" s="226">
        <v>33000</v>
      </c>
      <c r="O20" s="226">
        <v>38000</v>
      </c>
      <c r="P20" s="226">
        <v>51000</v>
      </c>
      <c r="Q20" s="226">
        <v>59000</v>
      </c>
    </row>
    <row r="21" spans="1:17" s="208" customFormat="1" ht="31.9" customHeight="1">
      <c r="A21" s="256" t="s">
        <v>23</v>
      </c>
      <c r="B21" s="307" t="s">
        <v>164</v>
      </c>
      <c r="C21" s="307"/>
      <c r="D21" s="307"/>
      <c r="E21" s="307"/>
      <c r="F21" s="307"/>
      <c r="G21" s="307"/>
      <c r="H21" s="307"/>
      <c r="J21" s="256" t="s">
        <v>23</v>
      </c>
      <c r="K21" s="307" t="s">
        <v>164</v>
      </c>
      <c r="L21" s="307"/>
      <c r="M21" s="307"/>
      <c r="N21" s="307"/>
      <c r="O21" s="307"/>
      <c r="P21" s="307"/>
      <c r="Q21" s="307"/>
    </row>
    <row r="22" spans="1:17" s="210" customFormat="1" ht="49.15" hidden="1" customHeight="1">
      <c r="A22" s="257"/>
      <c r="B22" s="258" t="s">
        <v>160</v>
      </c>
      <c r="C22" s="224">
        <v>161000</v>
      </c>
      <c r="D22" s="224">
        <v>400000</v>
      </c>
      <c r="E22" s="224">
        <v>548000</v>
      </c>
      <c r="F22" s="224">
        <v>635000</v>
      </c>
      <c r="G22" s="224">
        <v>761000</v>
      </c>
      <c r="H22" s="224">
        <v>822000</v>
      </c>
      <c r="J22" s="257"/>
      <c r="K22" s="258" t="s">
        <v>160</v>
      </c>
      <c r="L22" s="224">
        <v>161000</v>
      </c>
      <c r="M22" s="224">
        <v>400000</v>
      </c>
      <c r="N22" s="224">
        <v>548000</v>
      </c>
      <c r="O22" s="224">
        <v>635000</v>
      </c>
      <c r="P22" s="224">
        <v>761000</v>
      </c>
      <c r="Q22" s="224">
        <v>822000</v>
      </c>
    </row>
    <row r="23" spans="1:17" s="210" customFormat="1" ht="49.15" hidden="1" customHeight="1">
      <c r="A23" s="257"/>
      <c r="B23" s="258" t="s">
        <v>160</v>
      </c>
      <c r="C23" s="224" t="e">
        <f>C22+#REF!*15</f>
        <v>#REF!</v>
      </c>
      <c r="D23" s="224" t="e">
        <f>D22+#REF!*15</f>
        <v>#REF!</v>
      </c>
      <c r="E23" s="224" t="e">
        <f>E22+#REF!*15</f>
        <v>#REF!</v>
      </c>
      <c r="F23" s="224" t="e">
        <f>F22+#REF!*15</f>
        <v>#REF!</v>
      </c>
      <c r="G23" s="224" t="e">
        <f>G22+#REF!*15</f>
        <v>#REF!</v>
      </c>
      <c r="H23" s="224" t="e">
        <f>H22+#REF!*15</f>
        <v>#REF!</v>
      </c>
      <c r="J23" s="257"/>
      <c r="K23" s="258" t="s">
        <v>160</v>
      </c>
      <c r="L23" s="224" t="e">
        <f>L22+#REF!*15</f>
        <v>#REF!</v>
      </c>
      <c r="M23" s="224" t="e">
        <f>M22+#REF!*15</f>
        <v>#REF!</v>
      </c>
      <c r="N23" s="224" t="e">
        <f>N22+#REF!*15</f>
        <v>#REF!</v>
      </c>
      <c r="O23" s="224" t="e">
        <f>O22+#REF!*15</f>
        <v>#REF!</v>
      </c>
      <c r="P23" s="224" t="e">
        <f>P22+#REF!*15</f>
        <v>#REF!</v>
      </c>
      <c r="Q23" s="224" t="e">
        <f>Q22+#REF!*15</f>
        <v>#REF!</v>
      </c>
    </row>
    <row r="24" spans="1:17" s="210" customFormat="1" ht="49.15" hidden="1" customHeight="1">
      <c r="A24" s="257"/>
      <c r="B24" s="258" t="s">
        <v>161</v>
      </c>
      <c r="C24" s="224">
        <v>204000</v>
      </c>
      <c r="D24" s="224">
        <v>481000</v>
      </c>
      <c r="E24" s="224">
        <v>679000</v>
      </c>
      <c r="F24" s="224">
        <v>748000</v>
      </c>
      <c r="G24" s="224">
        <v>883000</v>
      </c>
      <c r="H24" s="224">
        <v>987000</v>
      </c>
      <c r="J24" s="257"/>
      <c r="K24" s="258" t="s">
        <v>161</v>
      </c>
      <c r="L24" s="224">
        <v>204000</v>
      </c>
      <c r="M24" s="224">
        <v>481000</v>
      </c>
      <c r="N24" s="224">
        <v>679000</v>
      </c>
      <c r="O24" s="224">
        <v>748000</v>
      </c>
      <c r="P24" s="224">
        <v>883000</v>
      </c>
      <c r="Q24" s="224">
        <v>987000</v>
      </c>
    </row>
    <row r="25" spans="1:17" s="210" customFormat="1" ht="36.950000000000003" customHeight="1">
      <c r="A25" s="257">
        <v>1</v>
      </c>
      <c r="B25" s="258" t="s">
        <v>161</v>
      </c>
      <c r="C25" s="224">
        <f>L25+($C$8-60)*$C$26/2</f>
        <v>339000</v>
      </c>
      <c r="D25" s="224">
        <f>M25+($D$8-60)*$D$26/2</f>
        <v>826000</v>
      </c>
      <c r="E25" s="224">
        <f>N25+($E$8-60)*$E$26/2</f>
        <v>724000</v>
      </c>
      <c r="F25" s="224">
        <f>O25+($E$8-60)*$F$26/2</f>
        <v>744000</v>
      </c>
      <c r="G25" s="224">
        <f>P25+($G$8-60)*$G$26/2</f>
        <v>1537000</v>
      </c>
      <c r="H25" s="224">
        <f>Q25+($H$8-60)*$H$26/2</f>
        <v>1736000</v>
      </c>
      <c r="J25" s="257">
        <v>1</v>
      </c>
      <c r="K25" s="258" t="s">
        <v>161</v>
      </c>
      <c r="L25" s="224">
        <v>339000</v>
      </c>
      <c r="M25" s="225">
        <v>826000</v>
      </c>
      <c r="N25" s="225">
        <v>1129000</v>
      </c>
      <c r="O25" s="225">
        <v>1224000</v>
      </c>
      <c r="P25" s="225">
        <v>1537000</v>
      </c>
      <c r="Q25" s="225">
        <v>1736000</v>
      </c>
    </row>
    <row r="26" spans="1:17" s="210" customFormat="1" ht="36" customHeight="1">
      <c r="A26" s="259">
        <v>2</v>
      </c>
      <c r="B26" s="260" t="s">
        <v>162</v>
      </c>
      <c r="C26" s="226">
        <v>8000</v>
      </c>
      <c r="D26" s="226">
        <v>21000</v>
      </c>
      <c r="E26" s="226">
        <v>27000</v>
      </c>
      <c r="F26" s="226">
        <v>32000</v>
      </c>
      <c r="G26" s="226">
        <v>44000</v>
      </c>
      <c r="H26" s="226">
        <v>50000</v>
      </c>
      <c r="J26" s="259">
        <v>2</v>
      </c>
      <c r="K26" s="260" t="s">
        <v>162</v>
      </c>
      <c r="L26" s="226">
        <v>8000</v>
      </c>
      <c r="M26" s="226">
        <v>21000</v>
      </c>
      <c r="N26" s="226">
        <v>27000</v>
      </c>
      <c r="O26" s="226">
        <v>32000</v>
      </c>
      <c r="P26" s="226">
        <v>44000</v>
      </c>
      <c r="Q26" s="226">
        <v>50000</v>
      </c>
    </row>
    <row r="27" spans="1:17" ht="18.75">
      <c r="B27" s="261" t="s">
        <v>165</v>
      </c>
    </row>
    <row r="28" spans="1:17" ht="18.75">
      <c r="B28" s="261" t="s">
        <v>166</v>
      </c>
      <c r="F28" s="262">
        <f>1287000-(15*33000)</f>
        <v>792000</v>
      </c>
    </row>
  </sheetData>
  <mergeCells count="10">
    <mergeCell ref="J8:K8"/>
    <mergeCell ref="K9:Q9"/>
    <mergeCell ref="K15:Q15"/>
    <mergeCell ref="K21:Q21"/>
    <mergeCell ref="A4:H4"/>
    <mergeCell ref="A5:H5"/>
    <mergeCell ref="A8:B8"/>
    <mergeCell ref="B9:H9"/>
    <mergeCell ref="B15:H15"/>
    <mergeCell ref="B21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PHOTOBOOK KM</vt:lpstr>
      <vt:lpstr>PHOTOBOOK SSN</vt:lpstr>
      <vt:lpstr>MO PHANG KM</vt:lpstr>
      <vt:lpstr>PRINTS SSN</vt:lpstr>
      <vt:lpstr>MO PHANG SSN</vt:lpstr>
      <vt:lpstr>PHOTOBOOK SSN SATIN</vt:lpstr>
      <vt:lpstr>PHOTOBOOK SSN LUSTRE</vt:lpstr>
      <vt:lpstr>PHOTOBOOK SSN GLOSSY</vt:lpstr>
      <vt:lpstr>NGOC HUY PVH</vt:lpstr>
      <vt:lpstr>TINY PHOTOBOOK</vt:lpstr>
      <vt:lpstr>TINY MP</vt:lpstr>
      <vt:lpstr>TINY CANVAS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Chau_Supervisor</dc:creator>
  <cp:lastModifiedBy>adm02</cp:lastModifiedBy>
  <cp:lastPrinted>2016-04-07T03:15:10Z</cp:lastPrinted>
  <dcterms:created xsi:type="dcterms:W3CDTF">2016-02-22T02:31:38Z</dcterms:created>
  <dcterms:modified xsi:type="dcterms:W3CDTF">2016-10-07T08:15:24Z</dcterms:modified>
</cp:coreProperties>
</file>