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Reports\"/>
    </mc:Choice>
  </mc:AlternateContent>
  <bookViews>
    <workbookView xWindow="0" yWindow="0" windowWidth="23040" windowHeight="8616"/>
  </bookViews>
  <sheets>
    <sheet name="Table of contents" sheetId="13" r:id="rId1"/>
    <sheet name="Disclaimer" sheetId="12" r:id="rId2"/>
    <sheet name="Assumptions" sheetId="14" r:id="rId3"/>
    <sheet name="Dashboard" sheetId="11" r:id="rId4"/>
    <sheet name="2022 Expectations" sheetId="7" state="hidden" r:id="rId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7" l="1"/>
  <c r="AJ66" i="7"/>
  <c r="AK64" i="7"/>
  <c r="AK63" i="7"/>
  <c r="AN62" i="7"/>
  <c r="AO61" i="7" s="1"/>
  <c r="AP61" i="7" s="1"/>
  <c r="AQ61" i="7" s="1"/>
  <c r="AR61" i="7" s="1"/>
  <c r="AO60" i="7"/>
  <c r="AP60" i="7" s="1"/>
  <c r="AQ60" i="7" s="1"/>
  <c r="AR60" i="7" s="1"/>
  <c r="AR62" i="7" s="1"/>
  <c r="AR63" i="7" s="1"/>
  <c r="AK46" i="7"/>
  <c r="AJ36" i="7"/>
  <c r="AJ35" i="7"/>
  <c r="AL34" i="7"/>
  <c r="AK34" i="7"/>
  <c r="AJ34" i="7"/>
  <c r="AL31" i="7"/>
  <c r="AJ27" i="7"/>
  <c r="AJ9" i="7"/>
  <c r="AV7" i="7"/>
  <c r="AV8" i="7" s="1"/>
  <c r="AV9" i="7" s="1"/>
  <c r="AV10" i="7" s="1"/>
  <c r="AV11" i="7" s="1"/>
  <c r="AV12" i="7" s="1"/>
  <c r="AV13" i="7" s="1"/>
  <c r="AV6" i="7"/>
  <c r="AN4" i="7"/>
  <c r="AM4" i="7"/>
  <c r="AL4" i="7"/>
  <c r="AK4" i="7"/>
  <c r="AJ4" i="7"/>
  <c r="S361" i="7"/>
  <c r="T361" i="7"/>
  <c r="U361" i="7"/>
  <c r="V361" i="7"/>
  <c r="N362" i="7"/>
  <c r="U362" i="7" s="1"/>
  <c r="O362" i="7"/>
  <c r="V362" i="7" s="1"/>
  <c r="R362" i="7"/>
  <c r="S362" i="7"/>
  <c r="T362" i="7"/>
  <c r="N363" i="7"/>
  <c r="U363" i="7" s="1"/>
  <c r="O363" i="7"/>
  <c r="V363" i="7" s="1"/>
  <c r="R363" i="7"/>
  <c r="S363" i="7"/>
  <c r="T363" i="7"/>
  <c r="N364" i="7"/>
  <c r="U364" i="7" s="1"/>
  <c r="O364" i="7"/>
  <c r="V364" i="7" s="1"/>
  <c r="R364" i="7"/>
  <c r="S364" i="7"/>
  <c r="T364" i="7"/>
  <c r="N365" i="7"/>
  <c r="U365" i="7" s="1"/>
  <c r="O365" i="7"/>
  <c r="V365" i="7" s="1"/>
  <c r="R365" i="7"/>
  <c r="S365" i="7"/>
  <c r="T365" i="7"/>
  <c r="N366" i="7"/>
  <c r="U366" i="7" s="1"/>
  <c r="O366" i="7"/>
  <c r="V366" i="7" s="1"/>
  <c r="R366" i="7"/>
  <c r="S366" i="7"/>
  <c r="T366" i="7"/>
  <c r="N367" i="7"/>
  <c r="U367" i="7" s="1"/>
  <c r="O367" i="7"/>
  <c r="V367" i="7" s="1"/>
  <c r="R367" i="7"/>
  <c r="S367" i="7"/>
  <c r="T367" i="7"/>
  <c r="N368" i="7"/>
  <c r="U368" i="7" s="1"/>
  <c r="O368" i="7"/>
  <c r="V368" i="7" s="1"/>
  <c r="R368" i="7"/>
  <c r="S368" i="7"/>
  <c r="T368" i="7"/>
  <c r="N369" i="7"/>
  <c r="U369" i="7" s="1"/>
  <c r="O369" i="7"/>
  <c r="V369" i="7" s="1"/>
  <c r="R369" i="7"/>
  <c r="S369" i="7"/>
  <c r="T369" i="7"/>
  <c r="N370" i="7"/>
  <c r="U370" i="7" s="1"/>
  <c r="O370" i="7"/>
  <c r="V370" i="7" s="1"/>
  <c r="R370" i="7"/>
  <c r="S370" i="7"/>
  <c r="T370" i="7"/>
  <c r="N371" i="7"/>
  <c r="U371" i="7" s="1"/>
  <c r="O371" i="7"/>
  <c r="V371" i="7" s="1"/>
  <c r="R371" i="7"/>
  <c r="S371" i="7"/>
  <c r="T371" i="7"/>
  <c r="N372" i="7"/>
  <c r="U372" i="7" s="1"/>
  <c r="O372" i="7"/>
  <c r="V372" i="7" s="1"/>
  <c r="R372" i="7"/>
  <c r="S372" i="7"/>
  <c r="T372" i="7"/>
  <c r="N373" i="7"/>
  <c r="U373" i="7" s="1"/>
  <c r="O373" i="7"/>
  <c r="V373" i="7" s="1"/>
  <c r="R373" i="7"/>
  <c r="S373" i="7"/>
  <c r="T373" i="7"/>
  <c r="R374" i="7"/>
  <c r="S374" i="7"/>
  <c r="T374" i="7"/>
  <c r="R85" i="7"/>
  <c r="R86" i="7"/>
  <c r="R87" i="7"/>
  <c r="R88" i="7"/>
  <c r="R89" i="7"/>
  <c r="R90" i="7"/>
  <c r="R91" i="7"/>
  <c r="R92" i="7"/>
  <c r="R93" i="7"/>
  <c r="R94" i="7"/>
  <c r="E96" i="7"/>
  <c r="F96" i="7"/>
  <c r="G96" i="7"/>
  <c r="H96" i="7"/>
  <c r="I96" i="7"/>
  <c r="J96" i="7"/>
  <c r="K96" i="7"/>
  <c r="L96" i="7"/>
  <c r="M96" i="7"/>
  <c r="N96" i="7"/>
  <c r="O96" i="7"/>
  <c r="P96" i="7"/>
  <c r="Q96" i="7"/>
  <c r="AJ22" i="7" s="1"/>
  <c r="AJ24" i="7" s="1"/>
  <c r="AB96" i="7"/>
  <c r="AC96" i="7"/>
  <c r="AD96" i="7"/>
  <c r="AE96" i="7"/>
  <c r="AF96" i="7"/>
  <c r="AG96" i="7"/>
  <c r="AH96" i="7"/>
  <c r="AI96" i="7"/>
  <c r="AJ96" i="7"/>
  <c r="AK96" i="7"/>
  <c r="AL96" i="7"/>
  <c r="AM96" i="7"/>
  <c r="AN96" i="7"/>
  <c r="E97" i="7"/>
  <c r="R101" i="7"/>
  <c r="R102" i="7"/>
  <c r="R103" i="7"/>
  <c r="R104" i="7"/>
  <c r="R105" i="7"/>
  <c r="R106" i="7"/>
  <c r="R107" i="7"/>
  <c r="R108" i="7"/>
  <c r="R109" i="7"/>
  <c r="R110" i="7"/>
  <c r="E112" i="7"/>
  <c r="F112" i="7"/>
  <c r="G112" i="7"/>
  <c r="H112" i="7"/>
  <c r="I112" i="7"/>
  <c r="J112" i="7"/>
  <c r="K112" i="7"/>
  <c r="L112" i="7"/>
  <c r="M112" i="7"/>
  <c r="N112" i="7"/>
  <c r="O112" i="7"/>
  <c r="P112" i="7"/>
  <c r="Q112" i="7"/>
  <c r="AJ23" i="7" s="1"/>
  <c r="AB112" i="7"/>
  <c r="AC112" i="7"/>
  <c r="AD112" i="7"/>
  <c r="AE112" i="7"/>
  <c r="AF112" i="7"/>
  <c r="AG112" i="7"/>
  <c r="AH112" i="7"/>
  <c r="AI112" i="7"/>
  <c r="AJ112" i="7"/>
  <c r="AK112" i="7"/>
  <c r="AL112" i="7"/>
  <c r="AM112" i="7"/>
  <c r="AN112" i="7"/>
  <c r="R116" i="7"/>
  <c r="R117" i="7"/>
  <c r="R118" i="7"/>
  <c r="R119" i="7"/>
  <c r="R120" i="7"/>
  <c r="R121" i="7"/>
  <c r="R122" i="7"/>
  <c r="R123" i="7"/>
  <c r="R124" i="7"/>
  <c r="R125" i="7"/>
  <c r="E127" i="7"/>
  <c r="F127" i="7"/>
  <c r="G127" i="7"/>
  <c r="H127" i="7"/>
  <c r="I127" i="7"/>
  <c r="J127" i="7"/>
  <c r="K127" i="7"/>
  <c r="L127" i="7"/>
  <c r="M127" i="7"/>
  <c r="N127" i="7"/>
  <c r="O127" i="7"/>
  <c r="P127" i="7"/>
  <c r="Q127" i="7"/>
  <c r="AJ25" i="7" s="1"/>
  <c r="AB127" i="7"/>
  <c r="AC127" i="7"/>
  <c r="AD127" i="7"/>
  <c r="AE127" i="7"/>
  <c r="AF127" i="7"/>
  <c r="AG127" i="7"/>
  <c r="AH127" i="7"/>
  <c r="AI127" i="7"/>
  <c r="AJ127" i="7"/>
  <c r="AK127" i="7"/>
  <c r="AL127" i="7"/>
  <c r="AM127" i="7"/>
  <c r="AN127" i="7"/>
  <c r="R131" i="7"/>
  <c r="R132" i="7"/>
  <c r="R133" i="7"/>
  <c r="R134" i="7"/>
  <c r="R135" i="7"/>
  <c r="R136" i="7"/>
  <c r="R137" i="7"/>
  <c r="R138" i="7"/>
  <c r="R139" i="7"/>
  <c r="R140" i="7"/>
  <c r="E142" i="7"/>
  <c r="F142" i="7"/>
  <c r="G142" i="7"/>
  <c r="H142" i="7"/>
  <c r="I142" i="7"/>
  <c r="J142" i="7"/>
  <c r="K142" i="7"/>
  <c r="L142" i="7"/>
  <c r="M142" i="7"/>
  <c r="N142" i="7"/>
  <c r="O142" i="7"/>
  <c r="P142" i="7"/>
  <c r="Q142" i="7"/>
  <c r="AB142" i="7"/>
  <c r="AC142" i="7"/>
  <c r="AD142" i="7"/>
  <c r="AE142" i="7"/>
  <c r="AF142" i="7"/>
  <c r="AG142" i="7"/>
  <c r="AH142" i="7"/>
  <c r="AI142" i="7"/>
  <c r="AJ142" i="7"/>
  <c r="AK142" i="7"/>
  <c r="AL142" i="7"/>
  <c r="AM142" i="7"/>
  <c r="AN142" i="7"/>
  <c r="R146" i="7"/>
  <c r="R147" i="7"/>
  <c r="R148" i="7"/>
  <c r="R149" i="7"/>
  <c r="R150" i="7"/>
  <c r="R151" i="7"/>
  <c r="R152" i="7"/>
  <c r="R153" i="7"/>
  <c r="R154" i="7"/>
  <c r="R155" i="7"/>
  <c r="E157" i="7"/>
  <c r="F157" i="7"/>
  <c r="G157" i="7"/>
  <c r="H157" i="7"/>
  <c r="I157" i="7"/>
  <c r="J157" i="7"/>
  <c r="K157" i="7"/>
  <c r="L157" i="7"/>
  <c r="M157" i="7"/>
  <c r="N157" i="7"/>
  <c r="O157" i="7"/>
  <c r="P157" i="7"/>
  <c r="Q157" i="7"/>
  <c r="AJ28" i="7" s="1"/>
  <c r="AB157" i="7"/>
  <c r="AC157" i="7"/>
  <c r="AD157" i="7"/>
  <c r="AE157" i="7"/>
  <c r="AF157" i="7"/>
  <c r="AG157" i="7"/>
  <c r="AH157" i="7"/>
  <c r="AI157" i="7"/>
  <c r="AJ157" i="7"/>
  <c r="AK157" i="7"/>
  <c r="AL157" i="7"/>
  <c r="AM157" i="7"/>
  <c r="AN157" i="7"/>
  <c r="R161" i="7"/>
  <c r="R162" i="7"/>
  <c r="R163" i="7"/>
  <c r="R164" i="7"/>
  <c r="R165" i="7"/>
  <c r="R166" i="7"/>
  <c r="R167" i="7"/>
  <c r="R168" i="7"/>
  <c r="R169" i="7"/>
  <c r="R170" i="7"/>
  <c r="E172" i="7"/>
  <c r="F172" i="7"/>
  <c r="G172" i="7"/>
  <c r="H172" i="7"/>
  <c r="I172" i="7"/>
  <c r="J172" i="7"/>
  <c r="K172" i="7"/>
  <c r="L172" i="7"/>
  <c r="M172" i="7"/>
  <c r="N172" i="7"/>
  <c r="O172" i="7"/>
  <c r="P172" i="7"/>
  <c r="Q172" i="7"/>
  <c r="AJ29" i="7" s="1"/>
  <c r="AB172" i="7"/>
  <c r="AC172" i="7"/>
  <c r="AD172" i="7"/>
  <c r="AE172" i="7"/>
  <c r="AF172" i="7"/>
  <c r="AG172" i="7"/>
  <c r="AH172" i="7"/>
  <c r="AI172" i="7"/>
  <c r="AJ172" i="7"/>
  <c r="AK172" i="7"/>
  <c r="AL172" i="7"/>
  <c r="AM172" i="7"/>
  <c r="AN172" i="7"/>
  <c r="O176" i="7"/>
  <c r="O177" i="7"/>
  <c r="O178" i="7"/>
  <c r="O179" i="7"/>
  <c r="O180" i="7"/>
  <c r="O181" i="7"/>
  <c r="O182" i="7"/>
  <c r="O183" i="7"/>
  <c r="O184" i="7"/>
  <c r="O185" i="7"/>
  <c r="E187" i="7"/>
  <c r="F187" i="7"/>
  <c r="G187" i="7"/>
  <c r="H187" i="7"/>
  <c r="I187" i="7"/>
  <c r="J187" i="7"/>
  <c r="K187" i="7"/>
  <c r="L187" i="7"/>
  <c r="M187" i="7"/>
  <c r="N187" i="7"/>
  <c r="AJ30" i="7" s="1"/>
  <c r="P187" i="7"/>
  <c r="Q187" i="7"/>
  <c r="AB187" i="7"/>
  <c r="AC187" i="7"/>
  <c r="AD187" i="7"/>
  <c r="AE187" i="7"/>
  <c r="AF187" i="7"/>
  <c r="AG187" i="7"/>
  <c r="AH187" i="7"/>
  <c r="AI187" i="7"/>
  <c r="AJ187" i="7"/>
  <c r="AK187" i="7"/>
  <c r="AL187" i="7"/>
  <c r="AM187" i="7"/>
  <c r="AN187" i="7"/>
  <c r="R191" i="7"/>
  <c r="R192" i="7"/>
  <c r="R193" i="7"/>
  <c r="R194" i="7"/>
  <c r="R195" i="7"/>
  <c r="R196" i="7"/>
  <c r="R197" i="7"/>
  <c r="R198" i="7"/>
  <c r="R199" i="7"/>
  <c r="R200" i="7"/>
  <c r="E202" i="7"/>
  <c r="F202" i="7"/>
  <c r="G202" i="7"/>
  <c r="H202" i="7"/>
  <c r="I202" i="7"/>
  <c r="J202" i="7"/>
  <c r="K202" i="7"/>
  <c r="L202" i="7"/>
  <c r="M202" i="7"/>
  <c r="N202" i="7"/>
  <c r="O202" i="7"/>
  <c r="P202" i="7"/>
  <c r="Q202" i="7"/>
  <c r="AJ32" i="7" s="1"/>
  <c r="AB202" i="7"/>
  <c r="AC202" i="7"/>
  <c r="AD202" i="7"/>
  <c r="AE202" i="7"/>
  <c r="AF202" i="7"/>
  <c r="AG202" i="7"/>
  <c r="AH202" i="7"/>
  <c r="AI202" i="7"/>
  <c r="AJ202" i="7"/>
  <c r="AK202" i="7"/>
  <c r="AL202" i="7"/>
  <c r="AM202" i="7"/>
  <c r="AN202" i="7"/>
  <c r="AK206" i="7"/>
  <c r="AL206" i="7"/>
  <c r="AM206" i="7"/>
  <c r="AN206" i="7"/>
  <c r="AO206" i="7"/>
  <c r="AP206" i="7"/>
  <c r="AQ206" i="7"/>
  <c r="AK207" i="7"/>
  <c r="AL207" i="7"/>
  <c r="AM207" i="7"/>
  <c r="AN207" i="7"/>
  <c r="AO207" i="7"/>
  <c r="AP207" i="7"/>
  <c r="AQ207" i="7"/>
  <c r="AK208" i="7"/>
  <c r="AL208" i="7"/>
  <c r="AM208" i="7"/>
  <c r="AN208" i="7"/>
  <c r="AO208" i="7"/>
  <c r="AP208" i="7"/>
  <c r="AQ208" i="7"/>
  <c r="AK209" i="7"/>
  <c r="AL209" i="7"/>
  <c r="AM209" i="7"/>
  <c r="AN209" i="7"/>
  <c r="AO209" i="7"/>
  <c r="AP209" i="7"/>
  <c r="AQ209" i="7"/>
  <c r="AK210" i="7"/>
  <c r="AL210" i="7"/>
  <c r="AM210" i="7"/>
  <c r="AN210" i="7"/>
  <c r="AO210" i="7"/>
  <c r="AP210" i="7"/>
  <c r="AQ210" i="7"/>
  <c r="AK211" i="7"/>
  <c r="AL211" i="7"/>
  <c r="AM211" i="7"/>
  <c r="AN211" i="7"/>
  <c r="AO211" i="7"/>
  <c r="AP211" i="7"/>
  <c r="AQ211" i="7"/>
  <c r="AK212" i="7"/>
  <c r="AL212" i="7"/>
  <c r="AM212" i="7"/>
  <c r="AN212" i="7"/>
  <c r="AO212" i="7"/>
  <c r="AP212" i="7"/>
  <c r="AQ212" i="7"/>
  <c r="AK213" i="7"/>
  <c r="AL213" i="7"/>
  <c r="AM213" i="7"/>
  <c r="AN213" i="7"/>
  <c r="AO213" i="7"/>
  <c r="AP213" i="7"/>
  <c r="AQ213" i="7"/>
  <c r="AK214" i="7"/>
  <c r="AL214" i="7"/>
  <c r="AM214" i="7"/>
  <c r="AN214" i="7"/>
  <c r="AO214" i="7"/>
  <c r="AP214" i="7"/>
  <c r="AQ214" i="7"/>
  <c r="AK215" i="7"/>
  <c r="AL215" i="7"/>
  <c r="AM215" i="7"/>
  <c r="AN215" i="7"/>
  <c r="AO215" i="7"/>
  <c r="AP215" i="7"/>
  <c r="AQ215" i="7"/>
  <c r="E217" i="7"/>
  <c r="F217" i="7"/>
  <c r="G217" i="7"/>
  <c r="H217" i="7"/>
  <c r="I217" i="7"/>
  <c r="J217" i="7"/>
  <c r="K217" i="7"/>
  <c r="L217" i="7"/>
  <c r="M217" i="7"/>
  <c r="N217" i="7"/>
  <c r="O217" i="7"/>
  <c r="P217" i="7"/>
  <c r="Q217" i="7"/>
  <c r="AB217" i="7"/>
  <c r="AC217" i="7"/>
  <c r="AD217" i="7"/>
  <c r="AE217" i="7"/>
  <c r="AF217" i="7"/>
  <c r="AG217" i="7"/>
  <c r="AH217" i="7"/>
  <c r="AI217" i="7"/>
  <c r="AJ217" i="7"/>
  <c r="AK221" i="7"/>
  <c r="AL221" i="7"/>
  <c r="AM221" i="7"/>
  <c r="AN221" i="7"/>
  <c r="AO221" i="7"/>
  <c r="AP221" i="7"/>
  <c r="AK222" i="7"/>
  <c r="AL222" i="7"/>
  <c r="AM222" i="7"/>
  <c r="AN222" i="7"/>
  <c r="AO222" i="7"/>
  <c r="AP222" i="7"/>
  <c r="AK223" i="7"/>
  <c r="AL223" i="7"/>
  <c r="AM223" i="7"/>
  <c r="AN223" i="7"/>
  <c r="AO223" i="7"/>
  <c r="AP223" i="7"/>
  <c r="AK224" i="7"/>
  <c r="AL224" i="7"/>
  <c r="AM224" i="7"/>
  <c r="AN224" i="7"/>
  <c r="AO224" i="7"/>
  <c r="AP224" i="7"/>
  <c r="AK225" i="7"/>
  <c r="AL225" i="7"/>
  <c r="AM225" i="7"/>
  <c r="AN225" i="7"/>
  <c r="AO225" i="7"/>
  <c r="AP225" i="7"/>
  <c r="AK226" i="7"/>
  <c r="AL226" i="7"/>
  <c r="AM226" i="7"/>
  <c r="AN226" i="7"/>
  <c r="AO226" i="7"/>
  <c r="AP226" i="7"/>
  <c r="AK227" i="7"/>
  <c r="AL227" i="7"/>
  <c r="AM227" i="7"/>
  <c r="AN227" i="7"/>
  <c r="AO227" i="7"/>
  <c r="AP227" i="7"/>
  <c r="AK228" i="7"/>
  <c r="AL228" i="7"/>
  <c r="AM228" i="7"/>
  <c r="AN228" i="7"/>
  <c r="AO228" i="7"/>
  <c r="AP228" i="7"/>
  <c r="AK229" i="7"/>
  <c r="AL229" i="7"/>
  <c r="AM229" i="7"/>
  <c r="AN229" i="7"/>
  <c r="AO229" i="7"/>
  <c r="AP229" i="7"/>
  <c r="AK230" i="7"/>
  <c r="AL230" i="7"/>
  <c r="AM230" i="7"/>
  <c r="AN230" i="7"/>
  <c r="AO230" i="7"/>
  <c r="AP230" i="7"/>
  <c r="E232" i="7"/>
  <c r="F232" i="7"/>
  <c r="G232" i="7"/>
  <c r="H232" i="7"/>
  <c r="I232" i="7"/>
  <c r="J232" i="7"/>
  <c r="K232" i="7"/>
  <c r="L232" i="7"/>
  <c r="M232" i="7"/>
  <c r="M337" i="7" s="1"/>
  <c r="N232" i="7"/>
  <c r="AK9" i="7" s="1"/>
  <c r="O232" i="7"/>
  <c r="O335" i="7" s="1"/>
  <c r="O336" i="7" s="1"/>
  <c r="P232" i="7"/>
  <c r="P337" i="7" s="1"/>
  <c r="Q232" i="7"/>
  <c r="Q337" i="7" s="1"/>
  <c r="AB232" i="7"/>
  <c r="AC232" i="7"/>
  <c r="AD232" i="7"/>
  <c r="AE232" i="7"/>
  <c r="AF232" i="7"/>
  <c r="AG232" i="7"/>
  <c r="AH232" i="7"/>
  <c r="AI232" i="7"/>
  <c r="AJ232" i="7"/>
  <c r="AK236" i="7"/>
  <c r="AL236" i="7"/>
  <c r="AM236" i="7"/>
  <c r="AN236" i="7"/>
  <c r="AO236" i="7"/>
  <c r="AP236" i="7"/>
  <c r="AK237" i="7"/>
  <c r="AL237" i="7"/>
  <c r="AM237" i="7"/>
  <c r="AN237" i="7"/>
  <c r="AO237" i="7"/>
  <c r="AP237" i="7"/>
  <c r="AK238" i="7"/>
  <c r="AL238" i="7"/>
  <c r="AM238" i="7"/>
  <c r="AN238" i="7"/>
  <c r="AO238" i="7"/>
  <c r="AP238" i="7"/>
  <c r="AK239" i="7"/>
  <c r="AL239" i="7"/>
  <c r="AM239" i="7"/>
  <c r="AN239" i="7"/>
  <c r="AO239" i="7"/>
  <c r="AP239" i="7"/>
  <c r="AK240" i="7"/>
  <c r="AL240" i="7"/>
  <c r="AM240" i="7"/>
  <c r="AN240" i="7"/>
  <c r="AO240" i="7"/>
  <c r="AP240" i="7"/>
  <c r="AK241" i="7"/>
  <c r="AL241" i="7"/>
  <c r="AM241" i="7"/>
  <c r="AN241" i="7"/>
  <c r="AO241" i="7"/>
  <c r="AP241" i="7"/>
  <c r="AK242" i="7"/>
  <c r="AL242" i="7"/>
  <c r="AM242" i="7"/>
  <c r="AN242" i="7"/>
  <c r="AO242" i="7"/>
  <c r="AP242" i="7"/>
  <c r="AK243" i="7"/>
  <c r="AL243" i="7"/>
  <c r="AM243" i="7"/>
  <c r="AN243" i="7"/>
  <c r="AO243" i="7"/>
  <c r="AP243" i="7"/>
  <c r="AK244" i="7"/>
  <c r="AL244" i="7"/>
  <c r="AM244" i="7"/>
  <c r="AN244" i="7"/>
  <c r="AO244" i="7"/>
  <c r="AP244" i="7"/>
  <c r="AK245" i="7"/>
  <c r="AL245" i="7"/>
  <c r="AM245" i="7"/>
  <c r="AN245" i="7"/>
  <c r="AO245" i="7"/>
  <c r="AP245" i="7"/>
  <c r="E247" i="7"/>
  <c r="F247" i="7"/>
  <c r="G247" i="7"/>
  <c r="H247" i="7"/>
  <c r="I247" i="7"/>
  <c r="J247" i="7"/>
  <c r="K247" i="7"/>
  <c r="L247" i="7"/>
  <c r="M247" i="7"/>
  <c r="N247" i="7"/>
  <c r="O247" i="7"/>
  <c r="P247" i="7"/>
  <c r="Q247" i="7"/>
  <c r="AJ38" i="7" s="1"/>
  <c r="AB247" i="7"/>
  <c r="AC247" i="7"/>
  <c r="AD247" i="7"/>
  <c r="AE247" i="7"/>
  <c r="AF247" i="7"/>
  <c r="AG247" i="7"/>
  <c r="AH247" i="7"/>
  <c r="AI247" i="7"/>
  <c r="AJ247" i="7"/>
  <c r="AK251" i="7"/>
  <c r="AL251" i="7"/>
  <c r="AM251" i="7"/>
  <c r="AN251" i="7"/>
  <c r="AO251" i="7"/>
  <c r="AP251" i="7"/>
  <c r="R252" i="7"/>
  <c r="AK252" i="7"/>
  <c r="AL252" i="7"/>
  <c r="AM252" i="7"/>
  <c r="AN252" i="7"/>
  <c r="AO252" i="7"/>
  <c r="AP252" i="7"/>
  <c r="AK253" i="7"/>
  <c r="AL253" i="7"/>
  <c r="AM253" i="7"/>
  <c r="AN253" i="7"/>
  <c r="AO253" i="7"/>
  <c r="AP253" i="7"/>
  <c r="AK254" i="7"/>
  <c r="AL254" i="7"/>
  <c r="AM254" i="7"/>
  <c r="AN254" i="7"/>
  <c r="AO254" i="7"/>
  <c r="AP254" i="7"/>
  <c r="AK255" i="7"/>
  <c r="AL255" i="7"/>
  <c r="AM255" i="7"/>
  <c r="AN255" i="7"/>
  <c r="AO255" i="7"/>
  <c r="AP255" i="7"/>
  <c r="AK256" i="7"/>
  <c r="AL256" i="7"/>
  <c r="AM256" i="7"/>
  <c r="AN256" i="7"/>
  <c r="AO256" i="7"/>
  <c r="AP256" i="7"/>
  <c r="AK257" i="7"/>
  <c r="AL257" i="7"/>
  <c r="AM257" i="7"/>
  <c r="AN257" i="7"/>
  <c r="AO257" i="7"/>
  <c r="AP257" i="7"/>
  <c r="AK258" i="7"/>
  <c r="AL258" i="7"/>
  <c r="AM258" i="7"/>
  <c r="AN258" i="7"/>
  <c r="AO258" i="7"/>
  <c r="AP258" i="7"/>
  <c r="AK259" i="7"/>
  <c r="AL259" i="7"/>
  <c r="AM259" i="7"/>
  <c r="AN259" i="7"/>
  <c r="AO259" i="7"/>
  <c r="AP259" i="7"/>
  <c r="AK260" i="7"/>
  <c r="AL260" i="7"/>
  <c r="AM260" i="7"/>
  <c r="AN260" i="7"/>
  <c r="AO260" i="7"/>
  <c r="AP260" i="7"/>
  <c r="E262" i="7"/>
  <c r="F262" i="7"/>
  <c r="G262" i="7"/>
  <c r="H262" i="7"/>
  <c r="I262" i="7"/>
  <c r="J262" i="7"/>
  <c r="K262" i="7"/>
  <c r="L262" i="7"/>
  <c r="M262" i="7"/>
  <c r="N262" i="7"/>
  <c r="O262" i="7"/>
  <c r="P262" i="7"/>
  <c r="Q262" i="7"/>
  <c r="AJ37" i="7" s="1"/>
  <c r="AB262" i="7"/>
  <c r="AC262" i="7"/>
  <c r="AD262" i="7"/>
  <c r="AE262" i="7"/>
  <c r="AF262" i="7"/>
  <c r="AG262" i="7"/>
  <c r="AH262" i="7"/>
  <c r="AI262" i="7"/>
  <c r="AJ262" i="7"/>
  <c r="R267" i="7"/>
  <c r="R268" i="7"/>
  <c r="R269" i="7"/>
  <c r="R284" i="7" s="1"/>
  <c r="R270" i="7"/>
  <c r="R271" i="7"/>
  <c r="R286" i="7" s="1"/>
  <c r="R272" i="7"/>
  <c r="R287" i="7" s="1"/>
  <c r="R273" i="7"/>
  <c r="R288" i="7" s="1"/>
  <c r="R274" i="7"/>
  <c r="R289" i="7" s="1"/>
  <c r="R275" i="7"/>
  <c r="R276" i="7"/>
  <c r="AJ278" i="7"/>
  <c r="K282" i="7"/>
  <c r="L282" i="7"/>
  <c r="M282" i="7"/>
  <c r="N282" i="7"/>
  <c r="P282" i="7"/>
  <c r="Q282" i="7"/>
  <c r="R282" i="7"/>
  <c r="AB282" i="7"/>
  <c r="AC282" i="7"/>
  <c r="AD282" i="7"/>
  <c r="AE282" i="7"/>
  <c r="AF282" i="7"/>
  <c r="AG282" i="7"/>
  <c r="AH282" i="7"/>
  <c r="AI282" i="7"/>
  <c r="K283" i="7"/>
  <c r="M283" i="7"/>
  <c r="N283" i="7"/>
  <c r="P283" i="7"/>
  <c r="Q283" i="7"/>
  <c r="R283" i="7"/>
  <c r="AB283" i="7"/>
  <c r="AC283" i="7"/>
  <c r="AD283" i="7"/>
  <c r="AE283" i="7"/>
  <c r="AF283" i="7"/>
  <c r="AG283" i="7"/>
  <c r="AH283" i="7"/>
  <c r="AI283" i="7"/>
  <c r="K284" i="7"/>
  <c r="L284" i="7"/>
  <c r="M284" i="7"/>
  <c r="N284" i="7"/>
  <c r="O284" i="7"/>
  <c r="P284" i="7"/>
  <c r="Q284" i="7"/>
  <c r="AB284" i="7"/>
  <c r="AC284" i="7"/>
  <c r="AD284" i="7"/>
  <c r="AE284" i="7"/>
  <c r="AF284" i="7"/>
  <c r="AG284" i="7"/>
  <c r="AH284" i="7"/>
  <c r="AI284" i="7"/>
  <c r="K285" i="7"/>
  <c r="L285" i="7"/>
  <c r="M285" i="7"/>
  <c r="N285" i="7"/>
  <c r="P285" i="7"/>
  <c r="Q285" i="7"/>
  <c r="R285" i="7"/>
  <c r="AB285" i="7"/>
  <c r="AC285" i="7"/>
  <c r="AD285" i="7"/>
  <c r="AE285" i="7"/>
  <c r="AF285" i="7"/>
  <c r="AG285" i="7"/>
  <c r="AH285" i="7"/>
  <c r="AI285" i="7"/>
  <c r="K286" i="7"/>
  <c r="L286" i="7"/>
  <c r="M286" i="7"/>
  <c r="N286" i="7"/>
  <c r="O286" i="7"/>
  <c r="P286" i="7"/>
  <c r="Q286" i="7"/>
  <c r="AB286" i="7"/>
  <c r="AC286" i="7"/>
  <c r="AD286" i="7"/>
  <c r="AE286" i="7"/>
  <c r="AF286" i="7"/>
  <c r="AG286" i="7"/>
  <c r="AH286" i="7"/>
  <c r="AI286" i="7"/>
  <c r="K287" i="7"/>
  <c r="L287" i="7"/>
  <c r="M287" i="7"/>
  <c r="N287" i="7"/>
  <c r="O287" i="7"/>
  <c r="P287" i="7"/>
  <c r="Q287" i="7"/>
  <c r="AB287" i="7"/>
  <c r="AC287" i="7"/>
  <c r="AD287" i="7"/>
  <c r="AE287" i="7"/>
  <c r="AF287" i="7"/>
  <c r="AG287" i="7"/>
  <c r="AH287" i="7"/>
  <c r="AI287" i="7"/>
  <c r="K288" i="7"/>
  <c r="L288" i="7"/>
  <c r="M288" i="7"/>
  <c r="N288" i="7"/>
  <c r="O288" i="7"/>
  <c r="AB288" i="7"/>
  <c r="AC288" i="7"/>
  <c r="AD288" i="7"/>
  <c r="AE288" i="7"/>
  <c r="AF288" i="7"/>
  <c r="AG288" i="7"/>
  <c r="AH288" i="7"/>
  <c r="AI288" i="7"/>
  <c r="K289" i="7"/>
  <c r="L289" i="7"/>
  <c r="M289" i="7"/>
  <c r="N289" i="7"/>
  <c r="O289" i="7"/>
  <c r="P289" i="7"/>
  <c r="Q289" i="7"/>
  <c r="AB289" i="7"/>
  <c r="AC289" i="7"/>
  <c r="AD289" i="7"/>
  <c r="AE289" i="7"/>
  <c r="AF289" i="7"/>
  <c r="AG289" i="7"/>
  <c r="AH289" i="7"/>
  <c r="AI289" i="7"/>
  <c r="K290" i="7"/>
  <c r="L290" i="7"/>
  <c r="M290" i="7"/>
  <c r="N290" i="7"/>
  <c r="O290" i="7"/>
  <c r="P290" i="7"/>
  <c r="Q290" i="7"/>
  <c r="R290" i="7"/>
  <c r="AB290" i="7"/>
  <c r="AC290" i="7"/>
  <c r="AD290" i="7"/>
  <c r="AE290" i="7"/>
  <c r="AF290" i="7"/>
  <c r="AG290" i="7"/>
  <c r="AH290" i="7"/>
  <c r="AI290" i="7"/>
  <c r="K291" i="7"/>
  <c r="L291" i="7"/>
  <c r="M291" i="7"/>
  <c r="N291" i="7"/>
  <c r="O291" i="7"/>
  <c r="P291" i="7"/>
  <c r="Q291" i="7"/>
  <c r="R291" i="7"/>
  <c r="AB291" i="7"/>
  <c r="AC291" i="7"/>
  <c r="AD291" i="7"/>
  <c r="AE291" i="7"/>
  <c r="AF291" i="7"/>
  <c r="AG291" i="7"/>
  <c r="AH291" i="7"/>
  <c r="AI291" i="7"/>
  <c r="E309" i="7"/>
  <c r="F309" i="7"/>
  <c r="J310" i="7" s="1"/>
  <c r="G309" i="7"/>
  <c r="H309" i="7"/>
  <c r="I309" i="7"/>
  <c r="J309" i="7"/>
  <c r="K309" i="7"/>
  <c r="L309" i="7"/>
  <c r="M309" i="7"/>
  <c r="N309" i="7"/>
  <c r="O309" i="7"/>
  <c r="P309" i="7"/>
  <c r="Q309" i="7"/>
  <c r="AK316" i="7"/>
  <c r="AL316" i="7"/>
  <c r="AM316" i="7"/>
  <c r="AN316" i="7"/>
  <c r="AO316" i="7"/>
  <c r="AP316" i="7"/>
  <c r="AK317" i="7"/>
  <c r="AL317" i="7"/>
  <c r="AM317" i="7"/>
  <c r="AN317" i="7"/>
  <c r="AO317" i="7"/>
  <c r="AP317" i="7"/>
  <c r="AK318" i="7"/>
  <c r="AL318" i="7"/>
  <c r="AM318" i="7"/>
  <c r="AN318" i="7"/>
  <c r="AO318" i="7"/>
  <c r="AP318" i="7"/>
  <c r="AK319" i="7"/>
  <c r="AL319" i="7"/>
  <c r="AM319" i="7"/>
  <c r="AN319" i="7"/>
  <c r="AO319" i="7"/>
  <c r="AP319" i="7"/>
  <c r="AK320" i="7"/>
  <c r="AL320" i="7"/>
  <c r="AM320" i="7"/>
  <c r="AN320" i="7"/>
  <c r="AO320" i="7"/>
  <c r="AP320" i="7"/>
  <c r="AK321" i="7"/>
  <c r="AL321" i="7"/>
  <c r="AM321" i="7"/>
  <c r="AN321" i="7"/>
  <c r="AO321" i="7"/>
  <c r="AP321" i="7"/>
  <c r="AK322" i="7"/>
  <c r="AL322" i="7"/>
  <c r="AM322" i="7"/>
  <c r="AN322" i="7"/>
  <c r="AO322" i="7"/>
  <c r="AP322" i="7"/>
  <c r="AK323" i="7"/>
  <c r="AL323" i="7"/>
  <c r="AM323" i="7"/>
  <c r="AN323" i="7"/>
  <c r="AO323" i="7"/>
  <c r="AP323" i="7"/>
  <c r="AK324" i="7"/>
  <c r="AL324" i="7"/>
  <c r="AM324" i="7"/>
  <c r="AN324" i="7"/>
  <c r="AO324" i="7"/>
  <c r="AP324" i="7"/>
  <c r="AK325" i="7"/>
  <c r="AL325" i="7"/>
  <c r="AM325" i="7"/>
  <c r="AN325" i="7"/>
  <c r="AO325" i="7"/>
  <c r="AP325" i="7"/>
  <c r="E326" i="7"/>
  <c r="F326" i="7"/>
  <c r="G326" i="7"/>
  <c r="H326" i="7"/>
  <c r="I326" i="7"/>
  <c r="J326" i="7"/>
  <c r="K326" i="7"/>
  <c r="L326" i="7"/>
  <c r="M326" i="7"/>
  <c r="N326" i="7"/>
  <c r="N328" i="7" s="1"/>
  <c r="O326" i="7"/>
  <c r="O328" i="7" s="1"/>
  <c r="O329" i="7" s="1"/>
  <c r="P326" i="7"/>
  <c r="Q326" i="7"/>
  <c r="AB326" i="7"/>
  <c r="AC326" i="7"/>
  <c r="AD326" i="7"/>
  <c r="AE326" i="7"/>
  <c r="AF326" i="7"/>
  <c r="AG326" i="7"/>
  <c r="AH326" i="7"/>
  <c r="AI326" i="7"/>
  <c r="G328" i="7"/>
  <c r="G329" i="7" s="1"/>
  <c r="O333" i="7"/>
  <c r="N333" i="7" s="1"/>
  <c r="M333" i="7" s="1"/>
  <c r="P333" i="7"/>
  <c r="N335" i="7"/>
  <c r="N336" i="7" s="1"/>
  <c r="P335" i="7"/>
  <c r="P336" i="7" s="1"/>
  <c r="N337" i="7"/>
  <c r="O337" i="7"/>
  <c r="M339" i="7"/>
  <c r="N339" i="7"/>
  <c r="O339" i="7"/>
  <c r="P339" i="7"/>
  <c r="Q339" i="7"/>
  <c r="H344" i="7"/>
  <c r="H345" i="7"/>
  <c r="H346" i="7"/>
  <c r="H347" i="7"/>
  <c r="H348" i="7"/>
  <c r="H349" i="7"/>
  <c r="H350" i="7"/>
  <c r="H351" i="7"/>
  <c r="H352" i="7"/>
  <c r="H353" i="7"/>
  <c r="J360" i="7"/>
  <c r="Y129" i="7"/>
  <c r="Y265" i="7"/>
  <c r="Y174" i="7"/>
  <c r="Y83" i="7"/>
  <c r="B174" i="7"/>
  <c r="B99" i="7"/>
  <c r="Y249" i="7"/>
  <c r="Y314" i="7"/>
  <c r="B144" i="7"/>
  <c r="B83" i="7"/>
  <c r="B189" i="7"/>
  <c r="B265" i="7"/>
  <c r="B234" i="7"/>
  <c r="B249" i="7"/>
  <c r="Y189" i="7"/>
  <c r="Y219" i="7"/>
  <c r="Y234" i="7"/>
  <c r="B114" i="7"/>
  <c r="B296" i="7"/>
  <c r="Y159" i="7"/>
  <c r="B219" i="7"/>
  <c r="B204" i="7"/>
  <c r="B159" i="7"/>
  <c r="B314" i="7"/>
  <c r="E360" i="7"/>
  <c r="Y204" i="7"/>
  <c r="Y114" i="7"/>
  <c r="Y144" i="7"/>
  <c r="Y99" i="7"/>
  <c r="B129" i="7"/>
  <c r="AJ26" i="7" l="1"/>
  <c r="AJ33" i="7" s="1"/>
  <c r="AJ39" i="7"/>
  <c r="AJ31" i="7"/>
  <c r="AL9" i="7"/>
  <c r="AM9" i="7"/>
  <c r="AN9" i="7"/>
  <c r="J328" i="7"/>
  <c r="J329" i="7" s="1"/>
  <c r="R325" i="7"/>
  <c r="N310" i="7"/>
  <c r="R257" i="7"/>
  <c r="V374" i="7"/>
  <c r="Q335" i="7"/>
  <c r="Q336" i="7" s="1"/>
  <c r="AK247" i="7"/>
  <c r="AN278" i="7"/>
  <c r="K328" i="7"/>
  <c r="K329" i="7" s="1"/>
  <c r="M335" i="7"/>
  <c r="M336" i="7" s="1"/>
  <c r="R334" i="7" s="1"/>
  <c r="AB278" i="7"/>
  <c r="AK217" i="7"/>
  <c r="AI278" i="7"/>
  <c r="R322" i="7"/>
  <c r="K310" i="7"/>
  <c r="AH278" i="7"/>
  <c r="R229" i="7"/>
  <c r="R221" i="7"/>
  <c r="AM217" i="7"/>
  <c r="R319" i="7"/>
  <c r="R318" i="7"/>
  <c r="R237" i="7"/>
  <c r="H328" i="7"/>
  <c r="H329" i="7" s="1"/>
  <c r="R210" i="7"/>
  <c r="AN232" i="7"/>
  <c r="Q310" i="7"/>
  <c r="M310" i="7"/>
  <c r="R253" i="7"/>
  <c r="R243" i="7"/>
  <c r="R239" i="7"/>
  <c r="R112" i="7"/>
  <c r="AK23" i="7" s="1"/>
  <c r="P310" i="7"/>
  <c r="L310" i="7"/>
  <c r="AM278" i="7"/>
  <c r="R212" i="7"/>
  <c r="AK278" i="7"/>
  <c r="AN217" i="7"/>
  <c r="R202" i="7"/>
  <c r="AK32" i="7" s="1"/>
  <c r="R142" i="7"/>
  <c r="AK27" i="7" s="1"/>
  <c r="AN247" i="7"/>
  <c r="I328" i="7"/>
  <c r="I329" i="7" s="1"/>
  <c r="R320" i="7"/>
  <c r="AE278" i="7"/>
  <c r="M278" i="7"/>
  <c r="AN262" i="7"/>
  <c r="R224" i="7"/>
  <c r="R209" i="7"/>
  <c r="Q328" i="7"/>
  <c r="Q329" i="7" s="1"/>
  <c r="AG278" i="7"/>
  <c r="AF278" i="7"/>
  <c r="AD278" i="7"/>
  <c r="L278" i="7"/>
  <c r="R256" i="7"/>
  <c r="AL232" i="7"/>
  <c r="R324" i="7"/>
  <c r="P278" i="7"/>
  <c r="O278" i="7"/>
  <c r="P328" i="7"/>
  <c r="P329" i="7" s="1"/>
  <c r="R316" i="7"/>
  <c r="I310" i="7"/>
  <c r="AC278" i="7"/>
  <c r="K278" i="7"/>
  <c r="R255" i="7"/>
  <c r="R245" i="7"/>
  <c r="AL247" i="7"/>
  <c r="R238" i="7"/>
  <c r="R228" i="7"/>
  <c r="R211" i="7"/>
  <c r="R127" i="7"/>
  <c r="AK25" i="7" s="1"/>
  <c r="R96" i="7"/>
  <c r="AK22" i="7" s="1"/>
  <c r="R317" i="7"/>
  <c r="R258" i="7"/>
  <c r="R213" i="7"/>
  <c r="R323" i="7"/>
  <c r="Q278" i="7"/>
  <c r="AL278" i="7"/>
  <c r="R254" i="7"/>
  <c r="R244" i="7"/>
  <c r="R240" i="7"/>
  <c r="R236" i="7"/>
  <c r="R230" i="7"/>
  <c r="R226" i="7"/>
  <c r="R214" i="7"/>
  <c r="R206" i="7"/>
  <c r="R157" i="7"/>
  <c r="AK28" i="7" s="1"/>
  <c r="AM232" i="7"/>
  <c r="R260" i="7"/>
  <c r="R259" i="7"/>
  <c r="R227" i="7"/>
  <c r="AK232" i="7"/>
  <c r="R215" i="7"/>
  <c r="R207" i="7"/>
  <c r="R225" i="7"/>
  <c r="N278" i="7"/>
  <c r="AM262" i="7"/>
  <c r="AL262" i="7"/>
  <c r="AM247" i="7"/>
  <c r="R241" i="7"/>
  <c r="R223" i="7"/>
  <c r="R208" i="7"/>
  <c r="O187" i="7"/>
  <c r="AK30" i="7" s="1"/>
  <c r="AK53" i="7" s="1"/>
  <c r="R172" i="7"/>
  <c r="AK29" i="7" s="1"/>
  <c r="R222" i="7"/>
  <c r="F328" i="7"/>
  <c r="F329" i="7" s="1"/>
  <c r="M328" i="7"/>
  <c r="M329" i="7" s="1"/>
  <c r="E328" i="7"/>
  <c r="E329" i="7" s="1"/>
  <c r="O310" i="7"/>
  <c r="R251" i="7"/>
  <c r="N329" i="7"/>
  <c r="L328" i="7"/>
  <c r="L329" i="7" s="1"/>
  <c r="R242" i="7"/>
  <c r="AK262" i="7"/>
  <c r="AL217" i="7"/>
  <c r="AK51" i="7" l="1"/>
  <c r="AK40" i="7"/>
  <c r="AK62" i="7"/>
  <c r="AO67" i="7" s="1"/>
  <c r="AK31" i="7"/>
  <c r="AK50" i="7"/>
  <c r="AK24" i="7"/>
  <c r="AK36" i="7"/>
  <c r="AK61" i="7" s="1"/>
  <c r="AN66" i="7" s="1"/>
  <c r="R262" i="7"/>
  <c r="AK37" i="7" s="1"/>
  <c r="AK42" i="7" s="1"/>
  <c r="R232" i="7"/>
  <c r="AO9" i="7" s="1"/>
  <c r="R217" i="7"/>
  <c r="AK35" i="7" s="1"/>
  <c r="R278" i="7"/>
  <c r="R326" i="7"/>
  <c r="R247" i="7"/>
  <c r="AK38" i="7" s="1"/>
  <c r="AK41" i="7" s="1"/>
  <c r="R337" i="7"/>
  <c r="AK60" i="7" l="1"/>
  <c r="AN65" i="7" s="1"/>
  <c r="AK43" i="7"/>
  <c r="AK47" i="7"/>
  <c r="AK52" i="7"/>
  <c r="AK26" i="7"/>
  <c r="AK33" i="7" s="1"/>
  <c r="AK39" i="7"/>
  <c r="AK44" i="7" s="1"/>
  <c r="R335" i="7"/>
  <c r="R336" i="7" s="1"/>
  <c r="S334" i="7" s="1"/>
  <c r="R328" i="7"/>
  <c r="R329" i="7" s="1"/>
  <c r="AL36" i="7" l="1"/>
  <c r="AN67" i="7"/>
  <c r="AO66" i="7" s="1"/>
  <c r="AP66" i="7" s="1"/>
  <c r="AQ66" i="7" s="1"/>
  <c r="AR66" i="7" s="1"/>
  <c r="AO65" i="7"/>
  <c r="AP65" i="7" s="1"/>
  <c r="AQ65" i="7" s="1"/>
  <c r="AR65" i="7" s="1"/>
  <c r="AR67" i="7" s="1"/>
  <c r="AR68" i="7" s="1"/>
  <c r="AK65" i="7" s="1"/>
  <c r="AK66" i="7" s="1"/>
  <c r="E26" i="11" l="1"/>
  <c r="E15" i="11"/>
  <c r="F26" i="11" l="1"/>
  <c r="M12" i="7" l="1"/>
  <c r="B19" i="7"/>
  <c r="C19" i="7"/>
  <c r="D19" i="7"/>
  <c r="E19" i="7"/>
  <c r="F19" i="7"/>
  <c r="G19" i="7"/>
  <c r="H19" i="7"/>
  <c r="I19" i="7"/>
  <c r="J19" i="7"/>
  <c r="K19" i="7"/>
  <c r="B20" i="7"/>
  <c r="C20" i="7"/>
  <c r="D20" i="7"/>
  <c r="E20" i="7"/>
  <c r="F20" i="7"/>
  <c r="G20" i="7"/>
  <c r="H20" i="7"/>
  <c r="I20" i="7"/>
  <c r="J20" i="7"/>
  <c r="K20" i="7"/>
  <c r="B17" i="7"/>
  <c r="C17" i="7"/>
  <c r="D17" i="7"/>
  <c r="E17" i="7"/>
  <c r="F17" i="7"/>
  <c r="G17" i="7"/>
  <c r="H17" i="7"/>
  <c r="I17" i="7"/>
  <c r="J17" i="7"/>
  <c r="K17" i="7"/>
  <c r="B14" i="7"/>
  <c r="C14" i="7"/>
  <c r="D14" i="7"/>
  <c r="E14" i="7"/>
  <c r="F14" i="7"/>
  <c r="G14" i="7"/>
  <c r="H14" i="7"/>
  <c r="AJ5" i="7" s="1"/>
  <c r="I14" i="7"/>
  <c r="AK5" i="7" s="1"/>
  <c r="J14" i="7"/>
  <c r="AL5" i="7" s="1"/>
  <c r="K14" i="7"/>
  <c r="AM5" i="7" s="1"/>
  <c r="B12" i="7"/>
  <c r="C12" i="7"/>
  <c r="D12" i="7"/>
  <c r="E12" i="7"/>
  <c r="F12" i="7"/>
  <c r="B11" i="7"/>
  <c r="C11" i="7"/>
  <c r="D11" i="7"/>
  <c r="E11" i="7"/>
  <c r="F11" i="7"/>
  <c r="G11" i="7"/>
  <c r="H11" i="7"/>
  <c r="I11" i="7"/>
  <c r="J11" i="7"/>
  <c r="K11" i="7"/>
  <c r="B10" i="7"/>
  <c r="C10" i="7"/>
  <c r="D10" i="7"/>
  <c r="E10" i="7"/>
  <c r="F10" i="7"/>
  <c r="G10" i="7"/>
  <c r="H10" i="7"/>
  <c r="I10" i="7"/>
  <c r="J10" i="7"/>
  <c r="K10" i="7"/>
  <c r="B9" i="7"/>
  <c r="C9" i="7"/>
  <c r="D9" i="7"/>
  <c r="E9" i="7"/>
  <c r="F9" i="7"/>
  <c r="G9" i="7"/>
  <c r="H9" i="7"/>
  <c r="I9" i="7"/>
  <c r="J9" i="7"/>
  <c r="K9" i="7"/>
  <c r="B7" i="7"/>
  <c r="C7" i="7"/>
  <c r="D7" i="7"/>
  <c r="E7" i="7"/>
  <c r="F7" i="7"/>
  <c r="G7" i="7"/>
  <c r="H7" i="7"/>
  <c r="I7" i="7"/>
  <c r="J7" i="7"/>
  <c r="K7" i="7"/>
  <c r="B5" i="7"/>
  <c r="C5" i="7"/>
  <c r="D5" i="7"/>
  <c r="E5" i="7"/>
  <c r="F5" i="7"/>
  <c r="G5" i="7"/>
  <c r="H5" i="7"/>
  <c r="I5" i="7"/>
  <c r="J5" i="7"/>
  <c r="K5" i="7"/>
  <c r="B4" i="7"/>
  <c r="C4" i="7"/>
  <c r="D4" i="7"/>
  <c r="E4" i="7"/>
  <c r="F4" i="7"/>
  <c r="G4" i="7"/>
  <c r="H4" i="7"/>
  <c r="I4" i="7"/>
  <c r="J4" i="7"/>
  <c r="K4" i="7"/>
  <c r="L7" i="7" l="1"/>
  <c r="L14" i="7"/>
  <c r="AN5" i="7" s="1"/>
  <c r="F18" i="7"/>
  <c r="M7" i="7"/>
  <c r="M11" i="7"/>
  <c r="E18" i="7"/>
  <c r="L10" i="7"/>
  <c r="L18" i="7"/>
  <c r="D18" i="7"/>
  <c r="M9" i="7"/>
  <c r="M4" i="7"/>
  <c r="M5" i="7"/>
  <c r="L5" i="7"/>
  <c r="K18" i="7"/>
  <c r="C18" i="7"/>
  <c r="J18" i="7"/>
  <c r="B18" i="7"/>
  <c r="L19" i="7"/>
  <c r="M10" i="7"/>
  <c r="L9" i="7"/>
  <c r="L17" i="7"/>
  <c r="I18" i="7"/>
  <c r="M14" i="7"/>
  <c r="AO5" i="7" s="1"/>
  <c r="L4" i="7"/>
  <c r="H18" i="7"/>
  <c r="L11" i="7"/>
  <c r="G18" i="7"/>
  <c r="L20" i="7"/>
  <c r="C24" i="7"/>
  <c r="M6" i="7"/>
  <c r="M21" i="7" s="1"/>
  <c r="M13" i="7"/>
  <c r="H6" i="7"/>
  <c r="J6" i="7"/>
  <c r="G13" i="7"/>
  <c r="K6" i="7"/>
  <c r="E6" i="7"/>
  <c r="L12" i="7"/>
  <c r="L13" i="7" s="1"/>
  <c r="J12" i="7"/>
  <c r="J13" i="7" s="1"/>
  <c r="C13" i="7"/>
  <c r="K12" i="7"/>
  <c r="K13" i="7" s="1"/>
  <c r="C6" i="7"/>
  <c r="H13" i="7"/>
  <c r="E13" i="7"/>
  <c r="F6" i="7"/>
  <c r="D6" i="7"/>
  <c r="I13" i="7"/>
  <c r="F13" i="7"/>
  <c r="D13" i="7"/>
  <c r="I6" i="7"/>
  <c r="G6" i="7"/>
  <c r="Q54" i="7"/>
  <c r="S54" i="7"/>
  <c r="L6" i="7" l="1"/>
  <c r="M20" i="7"/>
  <c r="M17" i="7"/>
  <c r="M18" i="7"/>
  <c r="M19" i="7"/>
  <c r="M8" i="7"/>
  <c r="G8" i="7"/>
  <c r="G21" i="7"/>
  <c r="I8" i="7"/>
  <c r="I21" i="7"/>
  <c r="K8" i="7"/>
  <c r="K21" i="7"/>
  <c r="C8" i="7"/>
  <c r="C21" i="7"/>
  <c r="D8" i="7"/>
  <c r="D21" i="7"/>
  <c r="E8" i="7"/>
  <c r="E21" i="7"/>
  <c r="F8" i="7"/>
  <c r="F21" i="7"/>
  <c r="J8" i="7"/>
  <c r="J21" i="7"/>
  <c r="H8" i="7"/>
  <c r="H21" i="7"/>
  <c r="L8" i="7"/>
  <c r="L21" i="7"/>
  <c r="Q42" i="7"/>
  <c r="S42" i="7"/>
  <c r="Q36" i="7"/>
  <c r="S36" i="7"/>
  <c r="V51" i="7" l="1"/>
  <c r="Y51" i="7" s="1"/>
  <c r="M29" i="7"/>
  <c r="L29" i="7"/>
  <c r="K29" i="7"/>
  <c r="J29" i="7"/>
  <c r="H29" i="7"/>
  <c r="G29" i="7"/>
  <c r="F29" i="7"/>
  <c r="E29" i="7"/>
  <c r="D29" i="7"/>
  <c r="C29" i="7"/>
  <c r="B29" i="7"/>
  <c r="F58" i="7"/>
  <c r="S51" i="7"/>
  <c r="Q51" i="7"/>
  <c r="S48" i="7"/>
  <c r="Q48" i="7"/>
  <c r="S44" i="7"/>
  <c r="Q44" i="7"/>
  <c r="S43" i="7"/>
  <c r="Q43" i="7"/>
  <c r="S40" i="7"/>
  <c r="Q40" i="7"/>
  <c r="S38" i="7"/>
  <c r="Q38" i="7"/>
  <c r="S37" i="7"/>
  <c r="Q37" i="7"/>
  <c r="H42" i="7" l="1"/>
  <c r="C54" i="7"/>
  <c r="U4" i="7"/>
  <c r="I29" i="7"/>
  <c r="J54" i="7" s="1"/>
  <c r="U17" i="7"/>
  <c r="V54" i="7"/>
  <c r="Y54" i="7" s="1"/>
  <c r="W54" i="7"/>
  <c r="Z54" i="7" s="1"/>
  <c r="U54" i="7"/>
  <c r="X54" i="7" s="1"/>
  <c r="D54" i="7"/>
  <c r="H54" i="7"/>
  <c r="L54" i="7"/>
  <c r="W51" i="7"/>
  <c r="Z51" i="7" s="1"/>
  <c r="L26" i="7"/>
  <c r="K54" i="7"/>
  <c r="G54" i="7"/>
  <c r="E54" i="7"/>
  <c r="K23" i="7"/>
  <c r="C23" i="7"/>
  <c r="F54" i="7"/>
  <c r="J38" i="7"/>
  <c r="F38" i="7"/>
  <c r="Y4" i="7"/>
  <c r="R20" i="7"/>
  <c r="V20" i="7"/>
  <c r="Z20" i="7"/>
  <c r="X18" i="7"/>
  <c r="J49" i="7"/>
  <c r="U35" i="7"/>
  <c r="U48" i="7" s="1"/>
  <c r="X48" i="7" s="1"/>
  <c r="M54" i="7"/>
  <c r="V35" i="7"/>
  <c r="V40" i="7" s="1"/>
  <c r="Y40" i="7" s="1"/>
  <c r="Q4" i="7"/>
  <c r="V7" i="7"/>
  <c r="H49" i="7"/>
  <c r="L49" i="7"/>
  <c r="G58" i="7"/>
  <c r="N17" i="7" s="1"/>
  <c r="AL35" i="7" s="1"/>
  <c r="AL43" i="7" s="1"/>
  <c r="M40" i="7"/>
  <c r="E40" i="7"/>
  <c r="Q20" i="7"/>
  <c r="I23" i="7"/>
  <c r="E23" i="7"/>
  <c r="C49" i="7"/>
  <c r="J25" i="7"/>
  <c r="F25" i="7"/>
  <c r="Z7" i="7"/>
  <c r="J40" i="7"/>
  <c r="F40" i="7"/>
  <c r="D49" i="7"/>
  <c r="F23" i="7"/>
  <c r="J23" i="7"/>
  <c r="C22" i="7"/>
  <c r="K25" i="7"/>
  <c r="G25" i="7"/>
  <c r="C53" i="7"/>
  <c r="L22" i="7"/>
  <c r="H22" i="7"/>
  <c r="D22" i="7"/>
  <c r="B6" i="7"/>
  <c r="B21" i="7" s="1"/>
  <c r="M24" i="7"/>
  <c r="AO6" i="7" s="1"/>
  <c r="I24" i="7"/>
  <c r="AK6" i="7" s="1"/>
  <c r="E24" i="7"/>
  <c r="C51" i="7"/>
  <c r="M25" i="7"/>
  <c r="I25" i="7"/>
  <c r="E25" i="7"/>
  <c r="L25" i="7"/>
  <c r="H25" i="7"/>
  <c r="D25" i="7"/>
  <c r="I40" i="7"/>
  <c r="V5" i="7"/>
  <c r="B13" i="7"/>
  <c r="C46" i="7"/>
  <c r="K22" i="7"/>
  <c r="G22" i="7"/>
  <c r="C40" i="7"/>
  <c r="C35" i="7"/>
  <c r="M23" i="7"/>
  <c r="L24" i="7"/>
  <c r="AN6" i="7" s="1"/>
  <c r="D24" i="7"/>
  <c r="C38" i="7"/>
  <c r="M22" i="7"/>
  <c r="I22" i="7"/>
  <c r="E22" i="7"/>
  <c r="L23" i="7"/>
  <c r="H23" i="7"/>
  <c r="D23" i="7"/>
  <c r="K24" i="7"/>
  <c r="AM6" i="7" s="1"/>
  <c r="G24" i="7"/>
  <c r="C25" i="7"/>
  <c r="C52" i="7"/>
  <c r="C48" i="7"/>
  <c r="C37" i="7"/>
  <c r="L40" i="7"/>
  <c r="H40" i="7"/>
  <c r="D40" i="7"/>
  <c r="F22" i="7"/>
  <c r="G23" i="7"/>
  <c r="J24" i="7"/>
  <c r="AL6" i="7" s="1"/>
  <c r="F24" i="7"/>
  <c r="C47" i="7"/>
  <c r="C36" i="7"/>
  <c r="K40" i="7"/>
  <c r="G40" i="7"/>
  <c r="J22" i="7"/>
  <c r="H24" i="7"/>
  <c r="AJ6" i="7" s="1"/>
  <c r="L52" i="7"/>
  <c r="AN8" i="7" s="1"/>
  <c r="C50" i="7"/>
  <c r="Z5" i="7"/>
  <c r="T11" i="7"/>
  <c r="Z14" i="7"/>
  <c r="K38" i="7"/>
  <c r="X11" i="7"/>
  <c r="J46" i="7"/>
  <c r="I51" i="7"/>
  <c r="D38" i="7"/>
  <c r="R14" i="7"/>
  <c r="F51" i="7"/>
  <c r="J51" i="7"/>
  <c r="H52" i="7"/>
  <c r="AJ8" i="7" s="1"/>
  <c r="G38" i="7"/>
  <c r="F46" i="7"/>
  <c r="H46" i="7"/>
  <c r="L46" i="7"/>
  <c r="F49" i="7"/>
  <c r="P35" i="7"/>
  <c r="T4" i="7"/>
  <c r="X4" i="7"/>
  <c r="S5" i="7"/>
  <c r="X5" i="7"/>
  <c r="U7" i="7"/>
  <c r="E52" i="7"/>
  <c r="E53" i="7"/>
  <c r="Y14" i="7"/>
  <c r="E47" i="7"/>
  <c r="I52" i="7"/>
  <c r="AK8" i="7" s="1"/>
  <c r="I53" i="7"/>
  <c r="I47" i="7"/>
  <c r="U14" i="7"/>
  <c r="M52" i="7"/>
  <c r="AO8" i="7" s="1"/>
  <c r="M53" i="7"/>
  <c r="M47" i="7"/>
  <c r="Q14" i="7"/>
  <c r="F50" i="7"/>
  <c r="F48" i="7"/>
  <c r="G35" i="7"/>
  <c r="F35" i="7"/>
  <c r="X17" i="7"/>
  <c r="J50" i="7"/>
  <c r="J48" i="7"/>
  <c r="K35" i="7"/>
  <c r="J35" i="7"/>
  <c r="T17" i="7"/>
  <c r="S17" i="7"/>
  <c r="Z18" i="7"/>
  <c r="G49" i="7"/>
  <c r="W18" i="7"/>
  <c r="G36" i="7"/>
  <c r="K49" i="7"/>
  <c r="S18" i="7"/>
  <c r="K50" i="7"/>
  <c r="K36" i="7"/>
  <c r="V18" i="7"/>
  <c r="G37" i="7"/>
  <c r="D37" i="7"/>
  <c r="H37" i="7"/>
  <c r="L37" i="7"/>
  <c r="E38" i="7"/>
  <c r="Y5" i="7"/>
  <c r="I38" i="7"/>
  <c r="U5" i="7"/>
  <c r="M38" i="7"/>
  <c r="Q5" i="7"/>
  <c r="T5" i="7"/>
  <c r="Q7" i="7"/>
  <c r="W11" i="7"/>
  <c r="S11" i="7"/>
  <c r="V11" i="7"/>
  <c r="D46" i="7"/>
  <c r="T14" i="7"/>
  <c r="U36" i="7"/>
  <c r="X36" i="7" s="1"/>
  <c r="K37" i="7"/>
  <c r="I37" i="7"/>
  <c r="V4" i="7"/>
  <c r="W7" i="7"/>
  <c r="S7" i="7"/>
  <c r="R7" i="7"/>
  <c r="X7" i="7"/>
  <c r="G47" i="7"/>
  <c r="G53" i="7"/>
  <c r="G52" i="7"/>
  <c r="W14" i="7"/>
  <c r="K47" i="7"/>
  <c r="K53" i="7"/>
  <c r="K52" i="7"/>
  <c r="AM8" i="7" s="1"/>
  <c r="S14" i="7"/>
  <c r="V14" i="7"/>
  <c r="D48" i="7"/>
  <c r="D50" i="7"/>
  <c r="E35" i="7"/>
  <c r="D35" i="7"/>
  <c r="Z17" i="7"/>
  <c r="H48" i="7"/>
  <c r="H50" i="7"/>
  <c r="I35" i="7"/>
  <c r="H35" i="7"/>
  <c r="V17" i="7"/>
  <c r="L48" i="7"/>
  <c r="L50" i="7"/>
  <c r="M35" i="7"/>
  <c r="L35" i="7"/>
  <c r="R17" i="7"/>
  <c r="W17" i="7"/>
  <c r="E49" i="7"/>
  <c r="E36" i="7"/>
  <c r="Y18" i="7"/>
  <c r="I49" i="7"/>
  <c r="I36" i="7"/>
  <c r="U18" i="7"/>
  <c r="M49" i="7"/>
  <c r="V36" i="7"/>
  <c r="P36" i="7"/>
  <c r="M36" i="7"/>
  <c r="Q18" i="7"/>
  <c r="R18" i="7"/>
  <c r="W36" i="7"/>
  <c r="Z36" i="7" s="1"/>
  <c r="E37" i="7"/>
  <c r="M37" i="7"/>
  <c r="R4" i="7"/>
  <c r="Z4" i="7"/>
  <c r="F37" i="7"/>
  <c r="J37" i="7"/>
  <c r="S4" i="7"/>
  <c r="W4" i="7"/>
  <c r="R5" i="7"/>
  <c r="W5" i="7"/>
  <c r="T7" i="7"/>
  <c r="Y7" i="7"/>
  <c r="Y11" i="7"/>
  <c r="U11" i="7"/>
  <c r="Q11" i="7"/>
  <c r="R11" i="7"/>
  <c r="Z11" i="7"/>
  <c r="X14" i="7"/>
  <c r="Q17" i="7"/>
  <c r="Y17" i="7"/>
  <c r="J36" i="7"/>
  <c r="T18" i="7"/>
  <c r="D51" i="7"/>
  <c r="E51" i="7"/>
  <c r="Y19" i="7"/>
  <c r="Z19" i="7"/>
  <c r="H51" i="7"/>
  <c r="U19" i="7"/>
  <c r="V19" i="7"/>
  <c r="L51" i="7"/>
  <c r="Q19" i="7"/>
  <c r="M51" i="7"/>
  <c r="R19" i="7"/>
  <c r="H38" i="7"/>
  <c r="L38" i="7"/>
  <c r="G46" i="7"/>
  <c r="K46" i="7"/>
  <c r="F52" i="7"/>
  <c r="F47" i="7"/>
  <c r="J52" i="7"/>
  <c r="AL8" i="7" s="1"/>
  <c r="J47" i="7"/>
  <c r="G48" i="7"/>
  <c r="K48" i="7"/>
  <c r="S20" i="7"/>
  <c r="W20" i="7"/>
  <c r="F36" i="7"/>
  <c r="G50" i="7"/>
  <c r="S19" i="7"/>
  <c r="W19" i="7"/>
  <c r="T20" i="7"/>
  <c r="X20" i="7"/>
  <c r="E46" i="7"/>
  <c r="I46" i="7"/>
  <c r="M46" i="7"/>
  <c r="D53" i="7"/>
  <c r="D47" i="7"/>
  <c r="H53" i="7"/>
  <c r="H47" i="7"/>
  <c r="L53" i="7"/>
  <c r="L47" i="7"/>
  <c r="E50" i="7"/>
  <c r="E48" i="7"/>
  <c r="I50" i="7"/>
  <c r="I48" i="7"/>
  <c r="M50" i="7"/>
  <c r="M48" i="7"/>
  <c r="G51" i="7"/>
  <c r="K51" i="7"/>
  <c r="T19" i="7"/>
  <c r="X19" i="7"/>
  <c r="U20" i="7"/>
  <c r="Y20" i="7"/>
  <c r="W35" i="7"/>
  <c r="D36" i="7"/>
  <c r="H36" i="7"/>
  <c r="L36" i="7"/>
  <c r="P51" i="7"/>
  <c r="D52" i="7"/>
  <c r="F53" i="7"/>
  <c r="J53" i="7"/>
  <c r="U51" i="7"/>
  <c r="X51" i="7" s="1"/>
  <c r="N35" i="7" l="1"/>
  <c r="P46" i="7"/>
  <c r="F70" i="7"/>
  <c r="G70" i="7" s="1"/>
  <c r="N19" i="7" s="1"/>
  <c r="AL37" i="7" s="1"/>
  <c r="J26" i="7"/>
  <c r="U37" i="7"/>
  <c r="U42" i="7" s="1"/>
  <c r="P17" i="7"/>
  <c r="D42" i="7"/>
  <c r="J39" i="7"/>
  <c r="J27" i="7" s="1"/>
  <c r="AL7" i="7" s="1"/>
  <c r="I54" i="7"/>
  <c r="P54" i="7" s="1"/>
  <c r="X35" i="7"/>
  <c r="M39" i="7"/>
  <c r="AK45" i="7" s="1"/>
  <c r="M26" i="7"/>
  <c r="U40" i="7"/>
  <c r="X40" i="7" s="1"/>
  <c r="C43" i="7"/>
  <c r="C39" i="7"/>
  <c r="C27" i="7" s="1"/>
  <c r="F71" i="7"/>
  <c r="G71" i="7" s="1"/>
  <c r="N29" i="7" s="1"/>
  <c r="N28" i="7" s="1"/>
  <c r="AL46" i="7" s="1"/>
  <c r="AL47" i="7" s="1"/>
  <c r="F39" i="7"/>
  <c r="F27" i="7" s="1"/>
  <c r="X6" i="7"/>
  <c r="V48" i="7"/>
  <c r="Y48" i="7" s="1"/>
  <c r="B8" i="7"/>
  <c r="Y35" i="7"/>
  <c r="V37" i="7"/>
  <c r="F42" i="7"/>
  <c r="X21" i="7"/>
  <c r="F45" i="7"/>
  <c r="F26" i="7"/>
  <c r="E42" i="7"/>
  <c r="E45" i="7"/>
  <c r="I42" i="7"/>
  <c r="I45" i="7"/>
  <c r="H45" i="7"/>
  <c r="G42" i="7"/>
  <c r="E26" i="7"/>
  <c r="P49" i="7"/>
  <c r="K42" i="7"/>
  <c r="U38" i="7"/>
  <c r="X38" i="7" s="1"/>
  <c r="W38" i="7"/>
  <c r="Z38" i="7" s="1"/>
  <c r="I26" i="7"/>
  <c r="U21" i="7"/>
  <c r="H26" i="7"/>
  <c r="L45" i="7"/>
  <c r="L42" i="7"/>
  <c r="I39" i="7"/>
  <c r="I27" i="7" s="1"/>
  <c r="AK7" i="7" s="1"/>
  <c r="G39" i="7"/>
  <c r="G27" i="7" s="1"/>
  <c r="P52" i="7"/>
  <c r="K39" i="7"/>
  <c r="K27" i="7" s="1"/>
  <c r="AM7" i="7" s="1"/>
  <c r="P38" i="7"/>
  <c r="E39" i="7"/>
  <c r="W48" i="7"/>
  <c r="Z48" i="7" s="1"/>
  <c r="W40" i="7"/>
  <c r="Z40" i="7" s="1"/>
  <c r="Z35" i="7"/>
  <c r="H43" i="7"/>
  <c r="T6" i="7"/>
  <c r="Q6" i="7"/>
  <c r="V6" i="7"/>
  <c r="P47" i="7"/>
  <c r="Z9" i="7"/>
  <c r="Z6" i="7"/>
  <c r="P50" i="7"/>
  <c r="H39" i="7"/>
  <c r="H27" i="7" s="1"/>
  <c r="AJ7" i="7" s="1"/>
  <c r="P53" i="7"/>
  <c r="V38" i="7"/>
  <c r="Y38" i="7" s="1"/>
  <c r="Y36" i="7"/>
  <c r="F59" i="7" s="1"/>
  <c r="G59" i="7" s="1"/>
  <c r="N18" i="7" s="1"/>
  <c r="P48" i="7"/>
  <c r="U6" i="7"/>
  <c r="R6" i="7"/>
  <c r="S6" i="7"/>
  <c r="F43" i="7"/>
  <c r="L43" i="7"/>
  <c r="R9" i="7"/>
  <c r="P40" i="7"/>
  <c r="Y6" i="7"/>
  <c r="W6" i="7"/>
  <c r="V9" i="7"/>
  <c r="L39" i="7"/>
  <c r="L27" i="7" s="1"/>
  <c r="AN7" i="7" s="1"/>
  <c r="D39" i="7"/>
  <c r="D27" i="7" s="1"/>
  <c r="P37" i="7"/>
  <c r="W37" i="7"/>
  <c r="W42" i="7" s="1"/>
  <c r="S9" i="7"/>
  <c r="AQ9" i="7" l="1"/>
  <c r="AP9" i="7"/>
  <c r="S335" i="7"/>
  <c r="S337" i="7"/>
  <c r="S336" i="7"/>
  <c r="P19" i="7"/>
  <c r="M27" i="7"/>
  <c r="AO7" i="7" s="1"/>
  <c r="J42" i="7"/>
  <c r="T21" i="7"/>
  <c r="N51" i="7"/>
  <c r="F63" i="7"/>
  <c r="G63" i="7" s="1"/>
  <c r="N7" i="7" s="1"/>
  <c r="AL25" i="7" s="1"/>
  <c r="D26" i="7"/>
  <c r="D45" i="7"/>
  <c r="Y21" i="7"/>
  <c r="J45" i="7"/>
  <c r="Z21" i="7"/>
  <c r="X37" i="7"/>
  <c r="D43" i="7"/>
  <c r="X8" i="7"/>
  <c r="C41" i="7"/>
  <c r="C44" i="7"/>
  <c r="J41" i="7"/>
  <c r="F69" i="7"/>
  <c r="G69" i="7" s="1"/>
  <c r="N20" i="7" s="1"/>
  <c r="AL38" i="7" s="1"/>
  <c r="Z42" i="7"/>
  <c r="Q21" i="7"/>
  <c r="M42" i="7"/>
  <c r="M41" i="7"/>
  <c r="M45" i="7"/>
  <c r="X42" i="7"/>
  <c r="C26" i="7"/>
  <c r="C42" i="7"/>
  <c r="C45" i="7"/>
  <c r="G26" i="7"/>
  <c r="F41" i="7"/>
  <c r="K41" i="7"/>
  <c r="Y37" i="7"/>
  <c r="V42" i="7"/>
  <c r="Y42" i="7" s="1"/>
  <c r="G41" i="7"/>
  <c r="W21" i="7"/>
  <c r="G45" i="7"/>
  <c r="K43" i="7"/>
  <c r="V21" i="7"/>
  <c r="K26" i="7"/>
  <c r="S21" i="7"/>
  <c r="K45" i="7"/>
  <c r="R21" i="7"/>
  <c r="F61" i="7"/>
  <c r="G61" i="7" s="1"/>
  <c r="N5" i="7" s="1"/>
  <c r="AL23" i="7" s="1"/>
  <c r="AL51" i="7" s="1"/>
  <c r="AK15" i="7" s="1"/>
  <c r="E41" i="7"/>
  <c r="E27" i="7"/>
  <c r="I41" i="7"/>
  <c r="N36" i="7"/>
  <c r="P18" i="7"/>
  <c r="N50" i="7"/>
  <c r="N25" i="7"/>
  <c r="D41" i="7"/>
  <c r="P39" i="7"/>
  <c r="E43" i="7"/>
  <c r="Y9" i="7"/>
  <c r="L41" i="7"/>
  <c r="I43" i="7"/>
  <c r="U9" i="7"/>
  <c r="T8" i="7"/>
  <c r="Z37" i="7"/>
  <c r="G43" i="7"/>
  <c r="W9" i="7"/>
  <c r="X9" i="7"/>
  <c r="S8" i="7"/>
  <c r="Q8" i="7"/>
  <c r="J43" i="7"/>
  <c r="T9" i="7"/>
  <c r="U8" i="7"/>
  <c r="U44" i="7"/>
  <c r="U43" i="7"/>
  <c r="X43" i="7" s="1"/>
  <c r="H41" i="7"/>
  <c r="Z8" i="7"/>
  <c r="V8" i="7"/>
  <c r="X10" i="7"/>
  <c r="Y8" i="7"/>
  <c r="R8" i="7"/>
  <c r="F44" i="7"/>
  <c r="K44" i="7"/>
  <c r="S10" i="7"/>
  <c r="M43" i="7"/>
  <c r="Q9" i="7"/>
  <c r="W8" i="7"/>
  <c r="AL52" i="7" l="1"/>
  <c r="AK16" i="7" s="1"/>
  <c r="AL40" i="7"/>
  <c r="N54" i="7"/>
  <c r="P5" i="7"/>
  <c r="E18" i="11"/>
  <c r="F18" i="11" s="1"/>
  <c r="N48" i="7"/>
  <c r="P42" i="7"/>
  <c r="P7" i="7"/>
  <c r="N40" i="7"/>
  <c r="N22" i="7"/>
  <c r="P20" i="7"/>
  <c r="N49" i="7"/>
  <c r="G60" i="7"/>
  <c r="G62" i="7" s="1"/>
  <c r="N6" i="7" s="1"/>
  <c r="V43" i="7"/>
  <c r="Y43" i="7" s="1"/>
  <c r="V44" i="7"/>
  <c r="Y44" i="7" s="1"/>
  <c r="P45" i="7"/>
  <c r="N38" i="7"/>
  <c r="P43" i="7"/>
  <c r="M44" i="7"/>
  <c r="Q10" i="7"/>
  <c r="J44" i="7"/>
  <c r="T10" i="7"/>
  <c r="P41" i="7"/>
  <c r="L44" i="7"/>
  <c r="R10" i="7"/>
  <c r="D44" i="7"/>
  <c r="Z10" i="7"/>
  <c r="G44" i="7"/>
  <c r="W10" i="7"/>
  <c r="H44" i="7"/>
  <c r="V10" i="7"/>
  <c r="X44" i="7"/>
  <c r="I44" i="7"/>
  <c r="U10" i="7"/>
  <c r="W43" i="7"/>
  <c r="Z43" i="7" s="1"/>
  <c r="W44" i="7"/>
  <c r="Z44" i="7" s="1"/>
  <c r="E44" i="7"/>
  <c r="Y10" i="7"/>
  <c r="F64" i="7" l="1"/>
  <c r="G64" i="7" s="1"/>
  <c r="N9" i="7" s="1"/>
  <c r="AL27" i="7" s="1"/>
  <c r="N4" i="7"/>
  <c r="AL22" i="7" s="1"/>
  <c r="F65" i="7"/>
  <c r="G65" i="7" s="1"/>
  <c r="N10" i="7" s="1"/>
  <c r="AL28" i="7" s="1"/>
  <c r="P6" i="7"/>
  <c r="N8" i="7"/>
  <c r="P44" i="7"/>
  <c r="AL50" i="7" l="1"/>
  <c r="AK14" i="7" s="1"/>
  <c r="AL24" i="7"/>
  <c r="AL26" i="7" s="1"/>
  <c r="E23" i="11"/>
  <c r="E20" i="11"/>
  <c r="F20" i="11" s="1"/>
  <c r="N37" i="7"/>
  <c r="N39" i="7" s="1"/>
  <c r="AL45" i="7" s="1"/>
  <c r="P9" i="7"/>
  <c r="E22" i="11"/>
  <c r="F22" i="11" s="1"/>
  <c r="P4" i="7"/>
  <c r="N21" i="7"/>
  <c r="AL39" i="7" s="1"/>
  <c r="AL44" i="7" s="1"/>
  <c r="N11" i="7"/>
  <c r="AL29" i="7" s="1"/>
  <c r="P8" i="7"/>
  <c r="P10" i="7"/>
  <c r="N41" i="7" l="1"/>
  <c r="N27" i="7"/>
  <c r="AP7" i="7" s="1"/>
  <c r="F23" i="11"/>
  <c r="E17" i="11"/>
  <c r="E35" i="11"/>
  <c r="N12" i="7"/>
  <c r="AL30" i="7" s="1"/>
  <c r="AL53" i="7" s="1"/>
  <c r="AK17" i="7" s="1"/>
  <c r="N26" i="7"/>
  <c r="N42" i="7"/>
  <c r="N44" i="7"/>
  <c r="N43" i="7"/>
  <c r="P21" i="7"/>
  <c r="N45" i="7"/>
  <c r="P11" i="7"/>
  <c r="E34" i="11" l="1"/>
  <c r="F17" i="11"/>
  <c r="F19" i="11" s="1"/>
  <c r="F21" i="11" s="1"/>
  <c r="E19" i="11"/>
  <c r="F35" i="11"/>
  <c r="AQ7" i="7" s="1"/>
  <c r="N46" i="7"/>
  <c r="N14" i="7"/>
  <c r="AP5" i="7" l="1"/>
  <c r="AL32" i="7"/>
  <c r="H35" i="11"/>
  <c r="E21" i="11"/>
  <c r="E24" i="11" s="1"/>
  <c r="F34" i="11"/>
  <c r="H34" i="11" s="1"/>
  <c r="N52" i="7"/>
  <c r="AP8" i="7" s="1"/>
  <c r="N47" i="7"/>
  <c r="N23" i="7"/>
  <c r="N53" i="7"/>
  <c r="N24" i="7"/>
  <c r="AP6" i="7" s="1"/>
  <c r="P14" i="7"/>
  <c r="AL42" i="7" l="1"/>
  <c r="AL33" i="7"/>
  <c r="AL41" i="7"/>
  <c r="F24" i="11"/>
  <c r="E25" i="11"/>
  <c r="F25" i="11" s="1"/>
  <c r="E37" i="11"/>
  <c r="E36" i="11"/>
  <c r="E38" i="11"/>
  <c r="E27" i="11" l="1"/>
  <c r="AQ5" i="7" s="1"/>
  <c r="F36" i="11" l="1"/>
  <c r="H36" i="11" s="1"/>
  <c r="F38" i="11"/>
  <c r="AQ8" i="7" s="1"/>
  <c r="E28" i="11"/>
  <c r="F37" i="11"/>
  <c r="AQ6" i="7" s="1"/>
  <c r="F27" i="11"/>
  <c r="F29" i="11" s="1"/>
  <c r="H37" i="11" l="1"/>
  <c r="H38" i="11"/>
  <c r="F30" i="11"/>
  <c r="F28" i="11"/>
</calcChain>
</file>

<file path=xl/comments1.xml><?xml version="1.0" encoding="utf-8"?>
<comments xmlns="http://schemas.openxmlformats.org/spreadsheetml/2006/main">
  <authors>
    <author>Marmore</author>
    <author>JaanakiS</author>
  </authors>
  <commentList>
    <comment ref="R252" authorId="0" shapeId="0">
      <text>
        <r>
          <rPr>
            <b/>
            <sz val="9"/>
            <color indexed="81"/>
            <rFont val="Tahoma"/>
            <family val="2"/>
          </rPr>
          <t>Marmore:</t>
        </r>
        <r>
          <rPr>
            <sz val="9"/>
            <color indexed="81"/>
            <rFont val="Tahoma"/>
            <family val="2"/>
          </rPr>
          <t xml:space="preserve">
Assuming same as Q3</t>
        </r>
      </text>
    </comment>
    <comment ref="J334" authorId="1" shapeId="0">
      <text>
        <r>
          <rPr>
            <b/>
            <sz val="9"/>
            <color indexed="81"/>
            <rFont val="Tahoma"/>
            <family val="2"/>
          </rPr>
          <t>JaanakiS:</t>
        </r>
        <r>
          <rPr>
            <sz val="9"/>
            <color indexed="81"/>
            <rFont val="Tahoma"/>
            <family val="2"/>
          </rPr>
          <t xml:space="preserve">
Pg 103/178 of SAMA Annual report
https://www.sama.gov.sa/en-US/EconomicReports/AnnualReport/ANNUAL_Report_57th_2021.pdf</t>
        </r>
      </text>
    </comment>
  </commentList>
</comments>
</file>

<file path=xl/sharedStrings.xml><?xml version="1.0" encoding="utf-8"?>
<sst xmlns="http://schemas.openxmlformats.org/spreadsheetml/2006/main" count="1071" uniqueCount="228">
  <si>
    <t>Net Loans</t>
  </si>
  <si>
    <t>Total Deposits</t>
  </si>
  <si>
    <t>NULL</t>
  </si>
  <si>
    <t>Total Equity</t>
  </si>
  <si>
    <t>Interest Income</t>
  </si>
  <si>
    <t>Interest Expense</t>
  </si>
  <si>
    <t>RoE</t>
  </si>
  <si>
    <t>RoA</t>
  </si>
  <si>
    <t>Loan Loss Provision</t>
  </si>
  <si>
    <t xml:space="preserve">Income Statement </t>
  </si>
  <si>
    <t>Net Interest Income</t>
  </si>
  <si>
    <t>Net Interest Income after LLP</t>
  </si>
  <si>
    <t>Non-Interest Income</t>
  </si>
  <si>
    <t>Non-Interest Expense</t>
  </si>
  <si>
    <t>Profit Before Tax</t>
  </si>
  <si>
    <t>Tax</t>
  </si>
  <si>
    <t>Extraordinary Items</t>
  </si>
  <si>
    <t>Profit After Tax</t>
  </si>
  <si>
    <t>Loans</t>
  </si>
  <si>
    <t>Deposits</t>
  </si>
  <si>
    <t>Equity</t>
  </si>
  <si>
    <t>Assets</t>
  </si>
  <si>
    <t>Total Revenues of Bank</t>
  </si>
  <si>
    <t>Provisions to loans %</t>
  </si>
  <si>
    <t>RoA %</t>
  </si>
  <si>
    <t>RoE %</t>
  </si>
  <si>
    <t>L/D</t>
  </si>
  <si>
    <t>Cost-to-income ratio</t>
  </si>
  <si>
    <t>Net Interest Spread</t>
  </si>
  <si>
    <t>Banking Variables</t>
  </si>
  <si>
    <t>(Loan Loss Provision)</t>
  </si>
  <si>
    <t>(Non-Interest Expense)</t>
  </si>
  <si>
    <t>(Tax)</t>
  </si>
  <si>
    <t>Loan Growth</t>
  </si>
  <si>
    <t>Deposit Growth</t>
  </si>
  <si>
    <t>Interest Income % of Loans</t>
  </si>
  <si>
    <t>Interest Expense % of Deposits</t>
  </si>
  <si>
    <t>Loan Loss Provision % of Loans</t>
  </si>
  <si>
    <t>Interest Income % of Total Revenues</t>
  </si>
  <si>
    <t>Non-Interest Income % of Total Revenues</t>
  </si>
  <si>
    <t>Non-Interest Expense % of Total Revenues</t>
  </si>
  <si>
    <t>PBT as a % of Revenue</t>
  </si>
  <si>
    <t>Tax % of PBT</t>
  </si>
  <si>
    <t>Profit After Tax % of PBT</t>
  </si>
  <si>
    <t>Loans % of Assets</t>
  </si>
  <si>
    <t>Equity Growth</t>
  </si>
  <si>
    <t xml:space="preserve"> Variables for Projection</t>
  </si>
  <si>
    <t>Deposits to Assets</t>
  </si>
  <si>
    <t>Loans to Deposit</t>
  </si>
  <si>
    <t>Bull Case</t>
  </si>
  <si>
    <t>Base Case</t>
  </si>
  <si>
    <t>Bear Case</t>
  </si>
  <si>
    <t>Weights</t>
  </si>
  <si>
    <t>PBT</t>
  </si>
  <si>
    <t>CAGR/ Avg</t>
  </si>
  <si>
    <r>
      <rPr>
        <b/>
        <sz val="11"/>
        <color theme="1"/>
        <rFont val="Calibri"/>
        <family val="2"/>
        <scheme val="minor"/>
      </rPr>
      <t>Assets</t>
    </r>
    <r>
      <rPr>
        <sz val="11"/>
        <color theme="1"/>
        <rFont val="Calibri"/>
        <family val="2"/>
        <scheme val="minor"/>
      </rPr>
      <t xml:space="preserve"> from Loans % of Assets</t>
    </r>
  </si>
  <si>
    <t>Interest Income, Bank</t>
  </si>
  <si>
    <t>Total Interest Expenses</t>
  </si>
  <si>
    <t>Non-Interest Income, Bank</t>
  </si>
  <si>
    <t>Non-Interest Expense, Bank</t>
  </si>
  <si>
    <t>Net Income Before Taxes</t>
  </si>
  <si>
    <t>Provision for Income Taxes</t>
  </si>
  <si>
    <t>Net Income Incl Extra Before Distributions</t>
  </si>
  <si>
    <t>Total Assets, Reported</t>
  </si>
  <si>
    <t>Profit After Tax/Net Income</t>
  </si>
  <si>
    <t>Nonperforming Loans (% of Loans)</t>
  </si>
  <si>
    <t>Gross NPL</t>
  </si>
  <si>
    <t>LLP/ gross NPL</t>
  </si>
  <si>
    <t>TIMESTAMP</t>
  </si>
  <si>
    <t>VALUE</t>
  </si>
  <si>
    <t>Money Supply</t>
  </si>
  <si>
    <t>Private Sector Credit Growth, YoY</t>
  </si>
  <si>
    <t>Money Supply M2, YoY</t>
  </si>
  <si>
    <t>Investment, % of GDP</t>
  </si>
  <si>
    <t>Real GDP, YoY</t>
  </si>
  <si>
    <t>Investments</t>
  </si>
  <si>
    <t>Real GDP</t>
  </si>
  <si>
    <t>Private Credit growth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</si>
  <si>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</si>
  <si>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</si>
  <si>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</si>
  <si>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</si>
  <si>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</si>
  <si>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</si>
  <si>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</si>
  <si>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</si>
  <si>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</si>
  <si>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</si>
  <si>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</si>
  <si>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</si>
  <si>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</si>
  <si>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</si>
  <si>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</si>
  <si>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</si>
  <si>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</si>
  <si>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</si>
  <si>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</si>
  <si>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</si>
  <si>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</si>
  <si>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</si>
  <si>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</si>
  <si>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</si>
  <si>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</si>
  <si>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</si>
  <si>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</si>
  <si>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Predicted Private Credit growth</t>
  </si>
  <si>
    <t>Out of money supply, economic growth -real GDP &amp; investments; investments exhibit statistically significant relationship. It is used to forecast the credit growth</t>
  </si>
  <si>
    <t>Loans expected to reprice faster in falling interest rate environment</t>
  </si>
  <si>
    <t>Deposits to reprice at a slower rate</t>
  </si>
  <si>
    <t>Interest spread to diminsh by 50bps folowing CBK rate cut of 125bps</t>
  </si>
  <si>
    <t>Based on Q2 2020 trends, increase in LLP has been calculated</t>
  </si>
  <si>
    <t xml:space="preserve">Interest Income </t>
  </si>
  <si>
    <t>Total Revenues</t>
  </si>
  <si>
    <t>Company Name</t>
  </si>
  <si>
    <t>Country of Exchange</t>
  </si>
  <si>
    <t>1120.SE</t>
  </si>
  <si>
    <t>Al Rajhi Banking &amp; Investment Corporation SJSC</t>
  </si>
  <si>
    <t>Saudi Arabia</t>
  </si>
  <si>
    <t>1180.SE</t>
  </si>
  <si>
    <t>Saudi National Bank</t>
  </si>
  <si>
    <t>1010.SE</t>
  </si>
  <si>
    <t>Riyad Bank SJSC</t>
  </si>
  <si>
    <t>1060.SE</t>
  </si>
  <si>
    <t>Saudi British Bank SJSC</t>
  </si>
  <si>
    <t>1050.SE</t>
  </si>
  <si>
    <t>Banque Saudi Fransi SJSC</t>
  </si>
  <si>
    <t>1150.SE</t>
  </si>
  <si>
    <t>Alinma Bank SJSC</t>
  </si>
  <si>
    <t>1080.SE</t>
  </si>
  <si>
    <t>Arab National Bank</t>
  </si>
  <si>
    <t>1140.SE</t>
  </si>
  <si>
    <t>Bank Albilad Sjsc</t>
  </si>
  <si>
    <t>1020.SE</t>
  </si>
  <si>
    <t>Bank Aljazira JSC</t>
  </si>
  <si>
    <t>1030.SE</t>
  </si>
  <si>
    <t>Saudi Investment Bank SJSC</t>
  </si>
  <si>
    <t>Values in SAR million</t>
  </si>
  <si>
    <t>SAR mn</t>
  </si>
  <si>
    <t>Note: All figures in SAR millions</t>
  </si>
  <si>
    <t>aSACMS2YB/A</t>
  </si>
  <si>
    <t>aSALOARA</t>
  </si>
  <si>
    <t>aSAWONIDR</t>
  </si>
  <si>
    <t>aSAWOGDPR</t>
  </si>
  <si>
    <t>Identifier</t>
  </si>
  <si>
    <t>TRBC Economic Sector Name</t>
  </si>
  <si>
    <t>TRBC Industry Name</t>
  </si>
  <si>
    <t>Financials</t>
  </si>
  <si>
    <t>Banks</t>
  </si>
  <si>
    <t>Company Market Cap (USD)</t>
  </si>
  <si>
    <t>2022f</t>
  </si>
  <si>
    <t>2021e</t>
  </si>
  <si>
    <t>Gross NPL/Total Loans (IMF, Article IV)</t>
  </si>
  <si>
    <t>2022F Growth</t>
  </si>
  <si>
    <t>2022F</t>
  </si>
  <si>
    <t>2022 F</t>
  </si>
  <si>
    <t>2022 Scenarios</t>
  </si>
  <si>
    <t>2022 F Growth YOY</t>
  </si>
  <si>
    <t>2021E</t>
  </si>
  <si>
    <t>Tax as a % of PBT</t>
  </si>
  <si>
    <t>% of Impact in Profit After Tax/Net Income</t>
  </si>
  <si>
    <t>Income Statement - Interest rate sensitivity analysis</t>
  </si>
  <si>
    <t>Figure 3 Impact on banks and non-financials</t>
  </si>
  <si>
    <t xml:space="preserve">Total bank debt </t>
  </si>
  <si>
    <t xml:space="preserve">Interest bearing deposits </t>
  </si>
  <si>
    <t xml:space="preserve">Banks Net income (2020) </t>
  </si>
  <si>
    <t xml:space="preserve">Expected increase </t>
  </si>
  <si>
    <t>Pass through %</t>
  </si>
  <si>
    <t>Incremental benefit for banks</t>
  </si>
  <si>
    <t>% of 2020 net income</t>
  </si>
  <si>
    <t>Burden on listed corporates (other than banks)</t>
  </si>
  <si>
    <t>% net income</t>
  </si>
  <si>
    <t>ROE</t>
  </si>
  <si>
    <t>Interest Bearing Deposits</t>
  </si>
  <si>
    <t>Time &amp; savings deposits</t>
  </si>
  <si>
    <t>Total deposits</t>
  </si>
  <si>
    <t>% of Time &amp; savings dep[osit to total deposits</t>
  </si>
  <si>
    <t>Change in ROE</t>
  </si>
  <si>
    <t>Total deposits as per SAMA AR</t>
  </si>
  <si>
    <t>Change</t>
  </si>
  <si>
    <t>Net income ratio (Net income/Total revenues)</t>
  </si>
  <si>
    <t>Revised ratios used for computation of interest rate sensitivity:</t>
  </si>
  <si>
    <t>BPS</t>
  </si>
  <si>
    <t>Pass through</t>
  </si>
  <si>
    <t></t>
  </si>
  <si>
    <t>Change in interest rate - Int on loans (in BPS)</t>
  </si>
  <si>
    <t>Pass through rate (in %)</t>
  </si>
  <si>
    <t>Change in interest rate - int on deposits (in BPS)</t>
  </si>
  <si>
    <t>Comparison with Al Rahji's interest rate sensitivity:</t>
  </si>
  <si>
    <t>Net Income</t>
  </si>
  <si>
    <t>Net income Spread</t>
  </si>
  <si>
    <t>ROA</t>
  </si>
  <si>
    <t>Ratios</t>
  </si>
  <si>
    <t>Change in 2022f</t>
  </si>
  <si>
    <t>Non-Interest Bearing deposits</t>
  </si>
  <si>
    <t>Interest to non-interest bearing deposits</t>
  </si>
  <si>
    <t>2022E</t>
  </si>
  <si>
    <t>Interest to non-interest Bearing deposits</t>
  </si>
  <si>
    <t>Pre-Hike</t>
  </si>
  <si>
    <t>Post-Hike</t>
  </si>
  <si>
    <r>
      <rPr>
        <b/>
        <sz val="16"/>
        <color theme="1"/>
        <rFont val="Calibri"/>
        <family val="2"/>
        <scheme val="minor"/>
      </rPr>
      <t>Disclaimer</t>
    </r>
    <r>
      <rPr>
        <sz val="16"/>
        <color theme="1"/>
        <rFont val="Calibri"/>
        <family val="2"/>
        <scheme val="minor"/>
      </rPr>
      <t xml:space="preserve">
Markaz may seek to do business, including investment banking deals, with companies covered in its research reports. Markaz may have interests in the areas covered in this research report. Markaz, Markaz managed entities, its clients, or its employees may have from time to time long or short positions in any security, derivative or other types of assets referred to in this research report. As a result, investors should be aware that Markaz may have a conflict of interest that could affect the objectivity of this report. 
This report may provide the addresses of or contain hyperlinks to websites. Except to the extent to which the report refers to website material of Markaz and Marmore, Markaz has not reviewed the linked site and takes no responsibility for the content contained therein. Such address or hyperlink (including addresses or hyperlinks to Markaz’s or Marmore’s own website material) is provided solely for your convenience and information, and the content of the linked site does not in any way form part of this document. Accessing such website or following such link through this report or Markaz’s or Marmore’s website shall be at your own risk.
For further information, please contact ‘Markaz’ at P.O. Box 23444, Safat 13095, Kuwait; Email: info@e-marmore.com; Tel: 00965 22248280; Fax: 00965 22495741.
</t>
    </r>
  </si>
  <si>
    <t>This report has been prepared and issued by Marmore MENA Intelligence Ltd (Marmore), a fully owned research subsidiary of Kuwait Financial Centre “Markaz” K.P.S.C. Marmore is a private limited company registered with the Registrar of Companies in India.</t>
  </si>
  <si>
    <t xml:space="preserve">This Report is owned by Marmore and is privileged and proprietary and is subject to copyrights. Sale of any copies of this Report is strictly prohibited. This Report cannot be quoted without the prior written consent of Marmore. Any user after obtaining Marmore's permission to use this Report must clearly mention the source as “Marmore."  The Report is intended to be circulated for general information only and should not to be construed as an offer to buy or sell or a solicitation of an offer to buy or sell any financial instruments or to participate in any particular trading strategy in any jurisdiction. The valuation arrived in the model is only an indicative value and should not be construed as valuation recommendation by Marmore. </t>
  </si>
  <si>
    <t>The information and statistical data herein have been obtained from sources we believe to be reliable, but no representation or warranty, expressed or implied, is made that such information and data is accurate or complete, and therefore should not be relied upon as such. Opinions, interpretations, estimates, and projections in this report constitute the current judgment of the author as of the date of this Report. They do not necessarily reflect the opinion of Markaz or Marmore or other identified parties and are subject to change without prior notice. Neither Marmore nor Markaz have an obligation to update, modify, or amend this report or to otherwise notify a reader thereof in the event that any matter stated herein, or any opinion, projection, forecast, or estimate set forth herein, changes or subsequently becomes inaccurate, or if research on the subject company is withdrawn.</t>
  </si>
  <si>
    <t>This Report may not consider the specific investment objectives, financial situation, and the particular needs of any specific person who may receive this report. Investors are urged to seek financial advice regarding the appropriateness of investing in any security or investment strategy discussed or recommended in this report and to understand that statements regarding future prospects may not be realized. Investors should note that income from such securities, if any, may fluctuate and that each security’s price or value may rise or fall. Investors should be able and willing to accept a total or partial loss of their investment. Accordingly, investors may receive back less than originally invested. Past performance is not necessarily indicative of future performance.</t>
  </si>
  <si>
    <t xml:space="preserve">Markaz may seek to do business, including investment banking deals, with companies covered in its research reports. Markaz may have interests in the areas covered in this research report. Markaz, Markaz managed entities, its clients, or its employees may have from time to time long or short positions in any security, derivative or other types of assets referred to in this research report. As a result, investors should be aware that Markaz may have a conflict of interest that could affect the objectivity of this report. </t>
  </si>
  <si>
    <t>This report may provide the addresses of or contain hyperlinks to websites. Except to the extent to which the report refers to website material of Markaz and Marmore, Markaz has not reviewed the linked site and takes no responsibility for the content contained therein. Such address or hyperlink (including addresses or hyperlinks to Markaz’s or Marmore’s own website material) is provided solely for your convenience and information, and the content of the linked site does not in any way form part of this document. Accessing such website or following such link through this report or Markaz’s or Marmore’s website shall be at your own risk.</t>
  </si>
  <si>
    <t>For further information, please contact ‘Markaz’ at P.O. Box 23444, Safat 13095, Kuwait; Email: info@e-marmore.com; Tel: 00965 22248280; Fax: 00965 22495741.</t>
  </si>
  <si>
    <t>Table of Contents</t>
  </si>
  <si>
    <t>Please use hyperlink to go to concerned "Worksheet"</t>
  </si>
  <si>
    <t>(Table of Contents)</t>
  </si>
  <si>
    <t>Please Use " Home" Link to return to TOC</t>
  </si>
  <si>
    <t>Disclaimer</t>
  </si>
  <si>
    <t>Dash Board</t>
  </si>
  <si>
    <t>KSA Banks - Interest Rate Sensitivity Analysis</t>
  </si>
  <si>
    <t>Interactive Rate Sensitivity Dashboard</t>
  </si>
  <si>
    <t>2022E Pre-Hike</t>
  </si>
  <si>
    <t>2022E Post-hike</t>
  </si>
  <si>
    <t>Particulars</t>
  </si>
  <si>
    <t>Interest Rate Sensitivity Dashboard</t>
  </si>
  <si>
    <t>Data From Refinitive</t>
  </si>
  <si>
    <t>KSA Credit Growth Estimation</t>
  </si>
  <si>
    <t>Change in Ratios for 2022E</t>
  </si>
  <si>
    <t>Assumptions</t>
  </si>
  <si>
    <t>Assumptions to the Interest rate sensitivity model:</t>
  </si>
  <si>
    <t>Total metrics for KSA has been arrived at by summation of data of the following banks:</t>
  </si>
  <si>
    <t>Financial metrics for 2021e has been projected with reported numbers of 9 months 2021 and estimate for Q4 2021.</t>
  </si>
  <si>
    <t>Financial metrics for 2022e has been forecasted based on assumed base case, bull case &amp; bear case.</t>
  </si>
  <si>
    <t>TOC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</si>
</sst>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 #,##0_ ;_ * \-#,##0_ ;_ * &quot;-&quot;_ ;_ @_ "/>
    <numFmt numFmtId="165" formatCode="_(* #,##0_);_(* \(#,##0\);_(* &quot;-&quot;??_);_(@_)"/>
    <numFmt numFmtId="166" formatCode="0.0%"/>
    <numFmt numFmtId="167" formatCode="0.000%"/>
    <numFmt numFmtId="168" formatCode="_(* #,##0.0_);_(* \(#,##0.0\);_(* &quot;-&quot;??_);_(@_)"/>
    <numFmt numFmtId="169" formatCode="0.0"/>
    <numFmt numFmtId="170" formatCode="_(* #,##0.0_);_(* \(#,##0.0\);_(* &quot;-&quot;?_);_(@_)"/>
    <numFmt numFmtId="171" formatCode="_ * #,##0_ ;_ * \-#,##0_ ;_ * &quot;-&quot;??_ ;_ @_ "/>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0"/>
      <name val="Tahoma"/>
      <family val="2"/>
    </font>
    <font>
      <b/>
      <sz val="10"/>
      <color theme="0"/>
      <name val="Tahoma"/>
      <family val="2"/>
    </font>
    <font>
      <b/>
      <i/>
      <sz val="11"/>
      <color theme="0"/>
      <name val="Calibri"/>
      <family val="2"/>
      <scheme val="minor"/>
    </font>
    <font>
      <sz val="11"/>
      <name val="Calibri"/>
      <family val="2"/>
      <scheme val="minor"/>
    </font>
    <font>
      <sz val="10"/>
      <name val="Tahoma"/>
      <family val="2"/>
    </font>
    <font>
      <sz val="8"/>
      <color theme="1"/>
      <name val="Calibri"/>
      <family val="2"/>
      <scheme val="minor"/>
    </font>
    <font>
      <sz val="9"/>
      <color rgb="FFCCCCCC"/>
      <name val="Arial"/>
      <family val="2"/>
    </font>
    <font>
      <i/>
      <sz val="11"/>
      <color theme="1"/>
      <name val="Calibri"/>
      <family val="2"/>
      <scheme val="minor"/>
    </font>
    <font>
      <b/>
      <sz val="11"/>
      <color theme="1"/>
      <name val="Calibri"/>
      <family val="2"/>
      <charset val="204"/>
      <scheme val="minor"/>
    </font>
    <font>
      <sz val="11"/>
      <color theme="1"/>
      <name val="Calibri"/>
      <family val="2"/>
      <charset val="204"/>
      <scheme val="minor"/>
    </font>
    <font>
      <sz val="11"/>
      <color rgb="FFFF0000"/>
      <name val="Calibri"/>
      <family val="2"/>
      <scheme val="minor"/>
    </font>
    <font>
      <b/>
      <sz val="9"/>
      <color indexed="81"/>
      <name val="Tahoma"/>
      <family val="2"/>
    </font>
    <font>
      <sz val="9"/>
      <color indexed="81"/>
      <name val="Tahoma"/>
      <family val="2"/>
    </font>
    <font>
      <sz val="11"/>
      <color theme="0" tint="-0.499984740745262"/>
      <name val="Wingdings 3"/>
      <family val="1"/>
      <charset val="2"/>
    </font>
    <font>
      <b/>
      <u/>
      <sz val="11"/>
      <color theme="1"/>
      <name val="Calibri"/>
      <family val="2"/>
      <scheme val="minor"/>
    </font>
    <font>
      <sz val="11"/>
      <color theme="0"/>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sz val="9"/>
      <color theme="1"/>
      <name val="Calibri"/>
      <family val="2"/>
      <scheme val="minor"/>
    </font>
    <font>
      <b/>
      <sz val="11"/>
      <color rgb="FF002060"/>
      <name val="Calibri"/>
      <family val="2"/>
      <scheme val="minor"/>
    </font>
    <font>
      <sz val="11"/>
      <color theme="10"/>
      <name val="Calibri"/>
      <family val="2"/>
      <scheme val="minor"/>
    </font>
  </fonts>
  <fills count="16">
    <fill>
      <patternFill patternType="none"/>
    </fill>
    <fill>
      <patternFill patternType="gray125"/>
    </fill>
    <fill>
      <patternFill patternType="solid">
        <fgColor theme="3"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2060"/>
        <bgColor indexed="64"/>
      </patternFill>
    </fill>
    <fill>
      <patternFill patternType="solid">
        <fgColor theme="3" tint="0.79998168889431442"/>
        <bgColor indexed="64"/>
      </patternFill>
    </fill>
  </fills>
  <borders count="30">
    <border>
      <left/>
      <right/>
      <top/>
      <bottom/>
      <diagonal/>
    </border>
    <border>
      <left/>
      <right/>
      <top style="thin">
        <color indexed="64"/>
      </top>
      <bottom/>
      <diagonal/>
    </border>
    <border>
      <left/>
      <right style="thin">
        <color indexed="64"/>
      </right>
      <top/>
      <bottom/>
      <diagonal/>
    </border>
    <border>
      <left/>
      <right/>
      <top style="thin">
        <color theme="0" tint="-0.249977111117893"/>
      </top>
      <bottom/>
      <diagonal/>
    </border>
    <border>
      <left/>
      <right/>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top/>
      <bottom style="thin">
        <color indexed="23"/>
      </bottom>
      <diagonal/>
    </border>
    <border>
      <left style="thin">
        <color theme="0"/>
      </left>
      <right/>
      <top/>
      <bottom style="thin">
        <color indexed="23"/>
      </bottom>
      <diagonal/>
    </border>
    <border>
      <left style="thin">
        <color theme="0"/>
      </left>
      <right/>
      <top style="thin">
        <color indexed="23"/>
      </top>
      <bottom style="thin">
        <color indexed="23"/>
      </bottom>
      <diagonal/>
    </border>
    <border>
      <left/>
      <right/>
      <top style="thin">
        <color indexed="23"/>
      </top>
      <bottom style="thin">
        <color indexed="23"/>
      </bottom>
      <diagonal/>
    </border>
    <border>
      <left/>
      <right/>
      <top/>
      <bottom style="medium">
        <color indexed="64"/>
      </bottom>
      <diagonal/>
    </border>
    <border>
      <left style="thin">
        <color indexed="64"/>
      </left>
      <right/>
      <top/>
      <bottom/>
      <diagonal/>
    </border>
    <border>
      <left/>
      <right/>
      <top style="medium">
        <color indexed="64"/>
      </top>
      <bottom style="thin">
        <color indexed="64"/>
      </bottom>
      <diagonal/>
    </border>
    <border>
      <left/>
      <right style="thin">
        <color theme="0" tint="-0.499984740745262"/>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theme="0" tint="-0.249977111117893"/>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indexed="64"/>
      </right>
      <top style="thin">
        <color theme="0" tint="-0.499984740745262"/>
      </top>
      <bottom style="thin">
        <color theme="0" tint="-0.499984740745262"/>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10" fillId="0" borderId="0"/>
    <xf numFmtId="0" fontId="23" fillId="0" borderId="0" applyNumberFormat="0" applyFill="0" applyBorder="0" applyAlignment="0" applyProtection="0"/>
  </cellStyleXfs>
  <cellXfs count="322">
    <xf numFmtId="0" fontId="0" fillId="0" borderId="0" xfId="0"/>
    <xf numFmtId="165" fontId="0" fillId="0" borderId="0" xfId="1" applyNumberFormat="1" applyFont="1"/>
    <xf numFmtId="165" fontId="0" fillId="0" borderId="0" xfId="0" applyNumberFormat="1"/>
    <xf numFmtId="0" fontId="3" fillId="0" borderId="0" xfId="0" applyFont="1"/>
    <xf numFmtId="0" fontId="7" fillId="2" borderId="0" xfId="0" applyFont="1" applyFill="1" applyAlignment="1">
      <alignment horizontal="center"/>
    </xf>
    <xf numFmtId="0" fontId="0" fillId="0" borderId="0" xfId="0" applyFill="1" applyBorder="1"/>
    <xf numFmtId="0" fontId="3" fillId="0" borderId="0" xfId="0" applyFont="1" applyFill="1" applyBorder="1"/>
    <xf numFmtId="0" fontId="8" fillId="0" borderId="0" xfId="0" applyFont="1" applyFill="1" applyBorder="1"/>
    <xf numFmtId="0" fontId="0" fillId="0" borderId="0" xfId="0" applyFont="1" applyFill="1" applyBorder="1"/>
    <xf numFmtId="0" fontId="0" fillId="0" borderId="3" xfId="0" applyFill="1" applyBorder="1"/>
    <xf numFmtId="0" fontId="0" fillId="0" borderId="4" xfId="0" applyFill="1" applyBorder="1"/>
    <xf numFmtId="0" fontId="0" fillId="3" borderId="0" xfId="0" applyFill="1"/>
    <xf numFmtId="0" fontId="0" fillId="3" borderId="0" xfId="0" applyFont="1" applyFill="1" applyBorder="1"/>
    <xf numFmtId="0" fontId="3" fillId="6" borderId="0" xfId="0" applyFont="1" applyFill="1"/>
    <xf numFmtId="0" fontId="3" fillId="7" borderId="0" xfId="0" applyFont="1" applyFill="1"/>
    <xf numFmtId="9" fontId="0" fillId="0" borderId="0" xfId="2" applyFont="1"/>
    <xf numFmtId="10" fontId="0" fillId="0" borderId="0" xfId="2" applyNumberFormat="1" applyFont="1"/>
    <xf numFmtId="167" fontId="0" fillId="0" borderId="0" xfId="2" applyNumberFormat="1" applyFont="1"/>
    <xf numFmtId="43" fontId="0" fillId="0" borderId="0" xfId="1" applyFont="1"/>
    <xf numFmtId="0" fontId="0" fillId="0" borderId="0" xfId="0" applyFill="1"/>
    <xf numFmtId="0" fontId="0" fillId="7" borderId="0" xfId="0" applyFill="1"/>
    <xf numFmtId="10" fontId="0" fillId="0" borderId="0" xfId="0" applyNumberFormat="1"/>
    <xf numFmtId="0" fontId="0" fillId="5" borderId="0" xfId="0" applyFill="1"/>
    <xf numFmtId="168" fontId="0" fillId="0" borderId="0" xfId="1" applyNumberFormat="1" applyFont="1"/>
    <xf numFmtId="0" fontId="2" fillId="9" borderId="8" xfId="0" applyFont="1" applyFill="1" applyBorder="1" applyAlignment="1">
      <alignment horizontal="left"/>
    </xf>
    <xf numFmtId="0" fontId="2" fillId="9" borderId="0" xfId="0" applyFont="1" applyFill="1" applyBorder="1" applyAlignment="1">
      <alignment horizontal="left"/>
    </xf>
    <xf numFmtId="10" fontId="0" fillId="0" borderId="0" xfId="0" applyNumberFormat="1" applyFill="1" applyBorder="1" applyAlignment="1">
      <alignment horizontal="left"/>
    </xf>
    <xf numFmtId="166" fontId="0" fillId="0" borderId="0" xfId="2" applyNumberFormat="1" applyFont="1" applyFill="1" applyBorder="1" applyAlignment="1">
      <alignment horizontal="left"/>
    </xf>
    <xf numFmtId="10" fontId="0" fillId="0" borderId="0" xfId="0" applyNumberFormat="1" applyFill="1" applyBorder="1" applyAlignment="1">
      <alignment horizontal="center"/>
    </xf>
    <xf numFmtId="1" fontId="0" fillId="0" borderId="0" xfId="0" applyNumberFormat="1" applyFill="1" applyBorder="1" applyAlignment="1">
      <alignment horizontal="center"/>
    </xf>
    <xf numFmtId="166" fontId="0" fillId="0" borderId="0" xfId="0" applyNumberFormat="1" applyFill="1" applyBorder="1" applyAlignment="1">
      <alignment horizontal="center"/>
    </xf>
    <xf numFmtId="0" fontId="2" fillId="9" borderId="0" xfId="0" applyFont="1" applyFill="1" applyBorder="1" applyAlignment="1">
      <alignment horizontal="center"/>
    </xf>
    <xf numFmtId="0" fontId="9" fillId="0" borderId="0" xfId="0" applyFont="1"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10" fontId="0" fillId="0" borderId="0" xfId="0" applyNumberFormat="1" applyFill="1" applyAlignment="1">
      <alignment vertical="center"/>
    </xf>
    <xf numFmtId="165" fontId="0" fillId="0" borderId="0" xfId="1" applyNumberFormat="1" applyFont="1" applyFill="1" applyAlignment="1">
      <alignment vertical="center"/>
    </xf>
    <xf numFmtId="1" fontId="0" fillId="0" borderId="0" xfId="0" applyNumberFormat="1" applyFill="1" applyAlignment="1">
      <alignment vertic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165" fontId="0" fillId="0" borderId="0" xfId="1" applyNumberFormat="1" applyFont="1" applyFill="1" applyBorder="1" applyAlignment="1">
      <alignment horizontal="left"/>
    </xf>
    <xf numFmtId="0" fontId="2" fillId="9" borderId="0" xfId="0" applyFont="1" applyFill="1" applyBorder="1" applyAlignment="1">
      <alignment horizontal="right"/>
    </xf>
    <xf numFmtId="0" fontId="2" fillId="9" borderId="0" xfId="0" applyFont="1" applyFill="1" applyAlignment="1">
      <alignment horizontal="right"/>
    </xf>
    <xf numFmtId="166" fontId="0" fillId="0" borderId="0" xfId="2" applyNumberFormat="1" applyFont="1" applyFill="1" applyBorder="1" applyAlignment="1">
      <alignment horizontal="right"/>
    </xf>
    <xf numFmtId="10" fontId="0" fillId="0" borderId="0" xfId="0" applyNumberFormat="1" applyFill="1" applyAlignment="1">
      <alignment horizontal="right"/>
    </xf>
    <xf numFmtId="9" fontId="0" fillId="0" borderId="0" xfId="2" applyFont="1" applyFill="1" applyAlignment="1">
      <alignment horizontal="right"/>
    </xf>
    <xf numFmtId="166" fontId="0" fillId="0" borderId="0" xfId="2" applyNumberFormat="1" applyFont="1"/>
    <xf numFmtId="166" fontId="0" fillId="0" borderId="14" xfId="0" applyNumberFormat="1" applyFill="1" applyBorder="1" applyAlignment="1">
      <alignment horizontal="center"/>
    </xf>
    <xf numFmtId="166" fontId="0" fillId="7" borderId="14" xfId="0" applyNumberFormat="1" applyFill="1" applyBorder="1" applyAlignment="1">
      <alignment horizontal="center"/>
    </xf>
    <xf numFmtId="166" fontId="0" fillId="0" borderId="2" xfId="0" applyNumberFormat="1" applyFill="1" applyBorder="1" applyAlignment="1">
      <alignment horizontal="center"/>
    </xf>
    <xf numFmtId="166" fontId="0" fillId="7" borderId="2" xfId="0" applyNumberFormat="1" applyFill="1" applyBorder="1" applyAlignment="1">
      <alignment horizontal="center"/>
    </xf>
    <xf numFmtId="165" fontId="0" fillId="0" borderId="0" xfId="1" applyNumberFormat="1" applyFont="1" applyFill="1" applyBorder="1" applyAlignment="1">
      <alignment vertical="center"/>
    </xf>
    <xf numFmtId="165" fontId="0" fillId="11" borderId="0" xfId="1" applyNumberFormat="1" applyFont="1" applyFill="1"/>
    <xf numFmtId="166" fontId="0" fillId="11" borderId="0" xfId="2" applyNumberFormat="1" applyFont="1" applyFill="1"/>
    <xf numFmtId="14" fontId="0" fillId="0" borderId="0" xfId="0" applyNumberFormat="1"/>
    <xf numFmtId="0" fontId="0" fillId="0" borderId="0" xfId="0" quotePrefix="1"/>
    <xf numFmtId="14" fontId="0" fillId="0" borderId="0" xfId="0" quotePrefix="1" applyNumberFormat="1"/>
    <xf numFmtId="0" fontId="11" fillId="0" borderId="0" xfId="0" applyFont="1"/>
    <xf numFmtId="165" fontId="0" fillId="0" borderId="1" xfId="0" applyNumberFormat="1" applyBorder="1"/>
    <xf numFmtId="165" fontId="0" fillId="0" borderId="0" xfId="1" applyNumberFormat="1" applyFont="1" applyFill="1" applyBorder="1"/>
    <xf numFmtId="165" fontId="3" fillId="0" borderId="0" xfId="1" applyNumberFormat="1" applyFont="1" applyFill="1" applyBorder="1"/>
    <xf numFmtId="165" fontId="8" fillId="0" borderId="0" xfId="1" applyNumberFormat="1" applyFont="1" applyFill="1" applyBorder="1"/>
    <xf numFmtId="0" fontId="2" fillId="2" borderId="0" xfId="0" applyFont="1" applyFill="1" applyAlignment="1">
      <alignment horizontal="center"/>
    </xf>
    <xf numFmtId="0" fontId="2" fillId="2" borderId="0" xfId="0" applyFont="1" applyFill="1" applyBorder="1" applyAlignment="1">
      <alignment horizontal="center"/>
    </xf>
    <xf numFmtId="166" fontId="0" fillId="0" borderId="0" xfId="2" applyNumberFormat="1" applyFont="1" applyFill="1" applyBorder="1"/>
    <xf numFmtId="166" fontId="0" fillId="0" borderId="0" xfId="0" applyNumberFormat="1"/>
    <xf numFmtId="9" fontId="0" fillId="0" borderId="0" xfId="0" applyNumberFormat="1" applyFill="1" applyAlignment="1">
      <alignment horizontal="center"/>
    </xf>
    <xf numFmtId="166" fontId="0" fillId="4" borderId="0" xfId="0" applyNumberFormat="1" applyFill="1" applyBorder="1" applyAlignment="1">
      <alignment horizontal="center"/>
    </xf>
    <xf numFmtId="166" fontId="0" fillId="11" borderId="0" xfId="0" applyNumberFormat="1" applyFill="1"/>
    <xf numFmtId="166" fontId="0" fillId="0" borderId="0" xfId="0" applyNumberFormat="1" applyFill="1" applyAlignment="1">
      <alignment vertical="center"/>
    </xf>
    <xf numFmtId="166" fontId="0" fillId="0" borderId="0" xfId="2" applyNumberFormat="1" applyFont="1" applyFill="1" applyAlignment="1">
      <alignment vertical="center"/>
    </xf>
    <xf numFmtId="166" fontId="0" fillId="0" borderId="0" xfId="0" applyNumberFormat="1" applyFill="1" applyBorder="1" applyAlignment="1">
      <alignment vertical="center"/>
    </xf>
    <xf numFmtId="165" fontId="3" fillId="11" borderId="0" xfId="1" applyNumberFormat="1" applyFont="1" applyFill="1"/>
    <xf numFmtId="9" fontId="0" fillId="11" borderId="0" xfId="2" applyNumberFormat="1" applyFont="1" applyFill="1" applyBorder="1" applyAlignment="1">
      <alignment horizontal="right"/>
    </xf>
    <xf numFmtId="9" fontId="0" fillId="0" borderId="0" xfId="0" applyNumberFormat="1" applyFill="1" applyAlignment="1">
      <alignment horizontal="right"/>
    </xf>
    <xf numFmtId="9" fontId="0" fillId="0" borderId="0" xfId="2" applyNumberFormat="1" applyFont="1" applyFill="1" applyAlignment="1">
      <alignment horizontal="right"/>
    </xf>
    <xf numFmtId="0" fontId="0" fillId="0" borderId="1" xfId="0" applyBorder="1"/>
    <xf numFmtId="43" fontId="0" fillId="0" borderId="1" xfId="1" applyFont="1" applyBorder="1"/>
    <xf numFmtId="165" fontId="0" fillId="0" borderId="1" xfId="1" applyNumberFormat="1" applyFont="1" applyBorder="1"/>
    <xf numFmtId="166" fontId="0" fillId="4" borderId="0" xfId="2" applyNumberFormat="1" applyFont="1" applyFill="1"/>
    <xf numFmtId="166" fontId="0" fillId="12" borderId="0" xfId="0" applyNumberFormat="1" applyFill="1"/>
    <xf numFmtId="169" fontId="0" fillId="0" borderId="0" xfId="0" applyNumberFormat="1"/>
    <xf numFmtId="0" fontId="0" fillId="0" borderId="0" xfId="0" applyFill="1" applyBorder="1" applyAlignment="1"/>
    <xf numFmtId="0" fontId="0" fillId="0" borderId="13" xfId="0" applyFill="1" applyBorder="1" applyAlignment="1"/>
    <xf numFmtId="0" fontId="12" fillId="0" borderId="15" xfId="0" applyFont="1" applyFill="1" applyBorder="1" applyAlignment="1">
      <alignment horizontal="center"/>
    </xf>
    <xf numFmtId="0" fontId="12" fillId="0" borderId="15" xfId="0" applyFont="1" applyFill="1" applyBorder="1" applyAlignment="1">
      <alignment horizontal="centerContinuous"/>
    </xf>
    <xf numFmtId="166" fontId="0" fillId="4" borderId="0" xfId="2" applyNumberFormat="1" applyFont="1" applyFill="1" applyBorder="1" applyAlignment="1">
      <alignment horizontal="center"/>
    </xf>
    <xf numFmtId="169" fontId="0" fillId="0" borderId="1" xfId="0" applyNumberFormat="1" applyBorder="1"/>
    <xf numFmtId="166" fontId="0" fillId="0" borderId="0" xfId="0" applyNumberFormat="1" applyFill="1" applyBorder="1" applyAlignment="1">
      <alignment horizontal="left"/>
    </xf>
    <xf numFmtId="166" fontId="0" fillId="7" borderId="0" xfId="0" applyNumberFormat="1" applyFill="1" applyBorder="1" applyAlignment="1">
      <alignment horizontal="left"/>
    </xf>
    <xf numFmtId="0" fontId="0" fillId="5" borderId="0" xfId="0" applyFill="1" applyBorder="1"/>
    <xf numFmtId="165" fontId="0" fillId="0" borderId="0" xfId="1" applyNumberFormat="1" applyFont="1" applyFill="1" applyBorder="1" applyAlignment="1">
      <alignment horizontal="center"/>
    </xf>
    <xf numFmtId="0" fontId="0" fillId="0" borderId="0" xfId="0" applyNumberFormat="1" applyFill="1" applyBorder="1" applyAlignment="1">
      <alignment horizontal="left"/>
    </xf>
    <xf numFmtId="0" fontId="2" fillId="8" borderId="0" xfId="0" applyFont="1" applyFill="1" applyBorder="1" applyAlignment="1">
      <alignment horizontal="center"/>
    </xf>
    <xf numFmtId="0" fontId="2" fillId="9" borderId="14" xfId="0" applyFont="1" applyFill="1" applyBorder="1" applyAlignment="1">
      <alignment horizontal="center"/>
    </xf>
    <xf numFmtId="10" fontId="0" fillId="0" borderId="14" xfId="0" applyNumberFormat="1" applyFill="1" applyBorder="1" applyAlignment="1">
      <alignment horizontal="center"/>
    </xf>
    <xf numFmtId="10" fontId="0" fillId="0" borderId="2" xfId="0" applyNumberFormat="1" applyFill="1" applyBorder="1" applyAlignment="1">
      <alignment horizontal="center"/>
    </xf>
    <xf numFmtId="165" fontId="0" fillId="0" borderId="2" xfId="1" applyNumberFormat="1" applyFont="1" applyFill="1" applyBorder="1" applyAlignment="1">
      <alignment horizontal="left"/>
    </xf>
    <xf numFmtId="165" fontId="0" fillId="0" borderId="2" xfId="1" applyNumberFormat="1" applyFont="1" applyFill="1" applyBorder="1" applyAlignment="1">
      <alignment horizontal="center"/>
    </xf>
    <xf numFmtId="1" fontId="0" fillId="0" borderId="2" xfId="0" applyNumberFormat="1" applyFill="1" applyBorder="1" applyAlignment="1">
      <alignment horizontal="center"/>
    </xf>
    <xf numFmtId="0" fontId="0" fillId="0" borderId="2" xfId="0" applyNumberFormat="1" applyFill="1" applyBorder="1" applyAlignment="1">
      <alignment horizontal="left"/>
    </xf>
    <xf numFmtId="165" fontId="0" fillId="0" borderId="14" xfId="1" applyNumberFormat="1" applyFont="1" applyFill="1" applyBorder="1" applyAlignment="1">
      <alignment horizontal="left"/>
    </xf>
    <xf numFmtId="165" fontId="0" fillId="0" borderId="14" xfId="1" applyNumberFormat="1" applyFont="1" applyFill="1" applyBorder="1" applyAlignment="1">
      <alignment horizontal="center"/>
    </xf>
    <xf numFmtId="1" fontId="0" fillId="0" borderId="14" xfId="0" applyNumberFormat="1" applyFill="1" applyBorder="1" applyAlignment="1">
      <alignment horizontal="center"/>
    </xf>
    <xf numFmtId="0" fontId="0" fillId="0" borderId="14" xfId="0" applyNumberFormat="1" applyFill="1" applyBorder="1" applyAlignment="1">
      <alignment horizontal="left"/>
    </xf>
    <xf numFmtId="0" fontId="2" fillId="9" borderId="2" xfId="0" applyFont="1" applyFill="1" applyBorder="1" applyAlignment="1">
      <alignment horizontal="left"/>
    </xf>
    <xf numFmtId="166" fontId="0" fillId="0" borderId="2" xfId="0" applyNumberFormat="1" applyFill="1" applyBorder="1" applyAlignment="1">
      <alignment horizontal="left"/>
    </xf>
    <xf numFmtId="166" fontId="0" fillId="7" borderId="2" xfId="0" applyNumberFormat="1" applyFill="1" applyBorder="1" applyAlignment="1">
      <alignment horizontal="left"/>
    </xf>
    <xf numFmtId="10" fontId="0" fillId="0" borderId="2" xfId="0" applyNumberFormat="1" applyFill="1" applyBorder="1" applyAlignment="1">
      <alignment horizontal="left"/>
    </xf>
    <xf numFmtId="166" fontId="0" fillId="0" borderId="2" xfId="2" applyNumberFormat="1" applyFont="1" applyFill="1" applyBorder="1" applyAlignment="1">
      <alignment horizontal="left"/>
    </xf>
    <xf numFmtId="165" fontId="0" fillId="0" borderId="14" xfId="0" applyNumberFormat="1" applyBorder="1"/>
    <xf numFmtId="9" fontId="0" fillId="0" borderId="0" xfId="2" applyFont="1" applyBorder="1"/>
    <xf numFmtId="9" fontId="0" fillId="0" borderId="0" xfId="0" applyNumberFormat="1" applyFill="1" applyBorder="1" applyAlignment="1">
      <alignment horizontal="center"/>
    </xf>
    <xf numFmtId="165" fontId="0" fillId="0" borderId="16" xfId="1" applyNumberFormat="1" applyFont="1" applyBorder="1"/>
    <xf numFmtId="165" fontId="0" fillId="0" borderId="0" xfId="0" applyNumberFormat="1" applyBorder="1"/>
    <xf numFmtId="165" fontId="0" fillId="0" borderId="2" xfId="0" applyNumberFormat="1" applyBorder="1"/>
    <xf numFmtId="9" fontId="0" fillId="0" borderId="14" xfId="2" applyFont="1" applyBorder="1"/>
    <xf numFmtId="9" fontId="0" fillId="0" borderId="2" xfId="2" applyFont="1" applyBorder="1"/>
    <xf numFmtId="0" fontId="13" fillId="0" borderId="0" xfId="0" applyFont="1" applyAlignment="1">
      <alignment wrapText="1"/>
    </xf>
    <xf numFmtId="0" fontId="14" fillId="0" borderId="0" xfId="0" applyNumberFormat="1" applyFont="1"/>
    <xf numFmtId="3" fontId="14" fillId="0" borderId="0" xfId="0" applyNumberFormat="1" applyFont="1"/>
    <xf numFmtId="166" fontId="0" fillId="0" borderId="14" xfId="0" applyNumberFormat="1" applyBorder="1"/>
    <xf numFmtId="166" fontId="0" fillId="0" borderId="2" xfId="0" applyNumberFormat="1" applyBorder="1"/>
    <xf numFmtId="166" fontId="0" fillId="0" borderId="0" xfId="0" applyNumberFormat="1" applyBorder="1"/>
    <xf numFmtId="165" fontId="0" fillId="12" borderId="0" xfId="1" applyNumberFormat="1" applyFont="1" applyFill="1" applyBorder="1"/>
    <xf numFmtId="168" fontId="0" fillId="0" borderId="0" xfId="0" applyNumberFormat="1"/>
    <xf numFmtId="170" fontId="0" fillId="0" borderId="0" xfId="0" applyNumberFormat="1"/>
    <xf numFmtId="169" fontId="0" fillId="4" borderId="0" xfId="0" applyNumberFormat="1" applyFill="1"/>
    <xf numFmtId="9" fontId="0" fillId="0" borderId="0" xfId="0" applyNumberFormat="1" applyBorder="1"/>
    <xf numFmtId="0" fontId="15" fillId="4" borderId="0" xfId="0" applyFont="1" applyFill="1" applyBorder="1"/>
    <xf numFmtId="166" fontId="15" fillId="4" borderId="0" xfId="2" applyNumberFormat="1" applyFont="1" applyFill="1"/>
    <xf numFmtId="0" fontId="0" fillId="0" borderId="0" xfId="0" applyAlignment="1">
      <alignment horizontal="right"/>
    </xf>
    <xf numFmtId="9" fontId="0" fillId="0" borderId="0" xfId="0" applyNumberFormat="1" applyAlignment="1">
      <alignment horizontal="right"/>
    </xf>
    <xf numFmtId="9" fontId="0" fillId="0" borderId="0" xfId="0" applyNumberFormat="1"/>
    <xf numFmtId="0" fontId="0" fillId="0" borderId="14" xfId="0" applyFill="1" applyBorder="1"/>
    <xf numFmtId="0" fontId="3" fillId="0" borderId="14" xfId="0" applyFont="1" applyFill="1" applyBorder="1"/>
    <xf numFmtId="0" fontId="8" fillId="0" borderId="14" xfId="0" applyFont="1" applyFill="1" applyBorder="1"/>
    <xf numFmtId="0" fontId="0" fillId="0" borderId="17" xfId="0" applyBorder="1"/>
    <xf numFmtId="166" fontId="0" fillId="0" borderId="17" xfId="0" applyNumberFormat="1" applyBorder="1"/>
    <xf numFmtId="169" fontId="0" fillId="0" borderId="17" xfId="0" applyNumberFormat="1" applyBorder="1"/>
    <xf numFmtId="171" fontId="0" fillId="0" borderId="17" xfId="0" applyNumberFormat="1" applyBorder="1"/>
    <xf numFmtId="171" fontId="0" fillId="4" borderId="17" xfId="0" applyNumberFormat="1" applyFill="1" applyBorder="1"/>
    <xf numFmtId="0" fontId="0" fillId="4" borderId="17" xfId="0" applyFill="1" applyBorder="1"/>
    <xf numFmtId="166" fontId="0" fillId="10" borderId="0" xfId="0" applyNumberFormat="1" applyFill="1"/>
    <xf numFmtId="171" fontId="0" fillId="0" borderId="0" xfId="0" applyNumberFormat="1"/>
    <xf numFmtId="0" fontId="0" fillId="0" borderId="17" xfId="0" applyFill="1" applyBorder="1"/>
    <xf numFmtId="9" fontId="0" fillId="0" borderId="17" xfId="0" applyNumberFormat="1" applyBorder="1"/>
    <xf numFmtId="10" fontId="0" fillId="0" borderId="17" xfId="0" applyNumberFormat="1" applyBorder="1"/>
    <xf numFmtId="10" fontId="0" fillId="0" borderId="0" xfId="0" applyNumberFormat="1" applyBorder="1"/>
    <xf numFmtId="0" fontId="7" fillId="2" borderId="14" xfId="0" applyFont="1" applyFill="1" applyBorder="1" applyAlignment="1">
      <alignment horizontal="center"/>
    </xf>
    <xf numFmtId="0" fontId="0" fillId="0" borderId="14" xfId="0" applyFont="1" applyFill="1" applyBorder="1"/>
    <xf numFmtId="0" fontId="0" fillId="3" borderId="14" xfId="0" applyFont="1" applyFill="1" applyBorder="1"/>
    <xf numFmtId="0" fontId="0" fillId="0" borderId="25" xfId="0" applyFill="1" applyBorder="1"/>
    <xf numFmtId="0" fontId="15" fillId="4" borderId="14" xfId="0" applyFont="1" applyFill="1" applyBorder="1"/>
    <xf numFmtId="0" fontId="0" fillId="0" borderId="20" xfId="0" applyFill="1" applyBorder="1"/>
    <xf numFmtId="0" fontId="0" fillId="0" borderId="14" xfId="0" applyBorder="1"/>
    <xf numFmtId="0" fontId="0" fillId="0" borderId="0" xfId="0" applyBorder="1"/>
    <xf numFmtId="0" fontId="0" fillId="0" borderId="20" xfId="0" applyBorder="1"/>
    <xf numFmtId="0" fontId="19" fillId="0" borderId="0" xfId="0" applyFont="1"/>
    <xf numFmtId="1" fontId="0" fillId="0" borderId="17" xfId="0" applyNumberFormat="1" applyBorder="1"/>
    <xf numFmtId="165" fontId="0" fillId="0" borderId="17" xfId="0" applyNumberFormat="1" applyBorder="1"/>
    <xf numFmtId="0" fontId="3" fillId="0" borderId="17" xfId="0" applyFont="1" applyBorder="1"/>
    <xf numFmtId="165" fontId="0" fillId="10" borderId="0" xfId="0" applyNumberFormat="1" applyFill="1"/>
    <xf numFmtId="0" fontId="2" fillId="2" borderId="27" xfId="0" applyFont="1" applyFill="1" applyBorder="1" applyAlignment="1">
      <alignment horizontal="center"/>
    </xf>
    <xf numFmtId="165" fontId="0" fillId="0" borderId="27" xfId="1" applyNumberFormat="1" applyFont="1" applyBorder="1"/>
    <xf numFmtId="165" fontId="3" fillId="0" borderId="27" xfId="1" applyNumberFormat="1" applyFont="1" applyBorder="1"/>
    <xf numFmtId="165" fontId="1" fillId="0" borderId="27" xfId="1" applyNumberFormat="1" applyFont="1" applyFill="1" applyBorder="1"/>
    <xf numFmtId="165" fontId="3" fillId="0" borderId="27" xfId="1" applyNumberFormat="1" applyFont="1" applyFill="1" applyBorder="1"/>
    <xf numFmtId="165" fontId="8" fillId="0" borderId="27" xfId="1" applyNumberFormat="1" applyFont="1" applyFill="1" applyBorder="1"/>
    <xf numFmtId="9" fontId="0" fillId="0" borderId="27" xfId="0" applyNumberFormat="1" applyBorder="1"/>
    <xf numFmtId="165" fontId="0" fillId="0" borderId="27" xfId="1" applyNumberFormat="1" applyFont="1" applyFill="1" applyBorder="1"/>
    <xf numFmtId="166" fontId="0" fillId="0" borderId="27" xfId="2" applyNumberFormat="1" applyFont="1" applyBorder="1"/>
    <xf numFmtId="166" fontId="15" fillId="4" borderId="27" xfId="2" applyNumberFormat="1" applyFont="1" applyFill="1" applyBorder="1"/>
    <xf numFmtId="166" fontId="0" fillId="0" borderId="27" xfId="0" applyNumberFormat="1" applyFill="1" applyBorder="1"/>
    <xf numFmtId="165" fontId="0" fillId="0" borderId="27" xfId="0" applyNumberFormat="1" applyBorder="1"/>
    <xf numFmtId="0" fontId="0" fillId="0" borderId="27" xfId="0" applyBorder="1"/>
    <xf numFmtId="10" fontId="0" fillId="0" borderId="27" xfId="2" applyNumberFormat="1" applyFont="1" applyBorder="1"/>
    <xf numFmtId="166" fontId="0" fillId="0" borderId="27" xfId="0" applyNumberFormat="1" applyBorder="1"/>
    <xf numFmtId="0" fontId="0" fillId="0" borderId="28" xfId="0" applyBorder="1"/>
    <xf numFmtId="0" fontId="2" fillId="2" borderId="17" xfId="0" applyFont="1" applyFill="1" applyBorder="1" applyAlignment="1">
      <alignment horizontal="center"/>
    </xf>
    <xf numFmtId="0" fontId="2" fillId="2" borderId="26" xfId="0" applyFont="1" applyFill="1" applyBorder="1" applyAlignment="1">
      <alignment horizontal="center"/>
    </xf>
    <xf numFmtId="0" fontId="0" fillId="0" borderId="27" xfId="0" applyFill="1" applyBorder="1"/>
    <xf numFmtId="0" fontId="15" fillId="4" borderId="27" xfId="0" applyFont="1" applyFill="1" applyBorder="1"/>
    <xf numFmtId="167" fontId="0" fillId="0" borderId="17" xfId="0" applyNumberFormat="1" applyBorder="1"/>
    <xf numFmtId="3" fontId="0" fillId="0" borderId="17" xfId="0" applyNumberFormat="1" applyBorder="1"/>
    <xf numFmtId="2" fontId="0" fillId="0" borderId="0" xfId="0" applyNumberFormat="1"/>
    <xf numFmtId="171" fontId="0" fillId="10" borderId="26" xfId="0" applyNumberFormat="1" applyFill="1" applyBorder="1"/>
    <xf numFmtId="165" fontId="0" fillId="0" borderId="17" xfId="0" applyNumberFormat="1" applyFill="1" applyBorder="1"/>
    <xf numFmtId="43" fontId="0" fillId="0" borderId="17" xfId="1" applyFont="1" applyBorder="1"/>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14" xfId="0" applyBorder="1" applyProtection="1">
      <protection locked="0"/>
    </xf>
    <xf numFmtId="0" fontId="24" fillId="0" borderId="2" xfId="0" applyFont="1" applyBorder="1" applyProtection="1">
      <protection locked="0"/>
    </xf>
    <xf numFmtId="0" fontId="23" fillId="0" borderId="14" xfId="5" applyBorder="1" applyProtection="1">
      <protection locked="0"/>
    </xf>
    <xf numFmtId="0" fontId="0" fillId="0" borderId="2" xfId="0" applyBorder="1" applyProtection="1">
      <protection locked="0"/>
    </xf>
    <xf numFmtId="0" fontId="23" fillId="0" borderId="14" xfId="5" quotePrefix="1" applyBorder="1" applyProtection="1">
      <protection locked="0"/>
    </xf>
    <xf numFmtId="0" fontId="0" fillId="0" borderId="18" xfId="0" applyBorder="1" applyProtection="1">
      <protection locked="0"/>
    </xf>
    <xf numFmtId="0" fontId="23" fillId="0" borderId="20" xfId="5" quotePrefix="1" applyBorder="1" applyProtection="1">
      <protection locked="0"/>
    </xf>
    <xf numFmtId="0" fontId="0" fillId="0" borderId="4" xfId="0" applyBorder="1" applyProtection="1">
      <protection locked="0"/>
    </xf>
    <xf numFmtId="0" fontId="0" fillId="0" borderId="21" xfId="0" applyBorder="1" applyProtection="1">
      <protection locked="0"/>
    </xf>
    <xf numFmtId="0" fontId="0" fillId="0" borderId="0" xfId="0" applyBorder="1" applyProtection="1">
      <protection locked="0"/>
    </xf>
    <xf numFmtId="0" fontId="0" fillId="0" borderId="0" xfId="0" applyAlignment="1">
      <alignment horizontal="center"/>
    </xf>
    <xf numFmtId="0" fontId="0" fillId="12" borderId="0" xfId="0" applyFill="1"/>
    <xf numFmtId="0" fontId="0" fillId="12" borderId="0" xfId="0" applyFill="1" applyAlignment="1">
      <alignment horizontal="center"/>
    </xf>
    <xf numFmtId="0" fontId="0" fillId="12" borderId="0" xfId="0" applyFill="1" applyBorder="1"/>
    <xf numFmtId="9" fontId="0" fillId="12" borderId="0" xfId="0" applyNumberFormat="1" applyFill="1"/>
    <xf numFmtId="0" fontId="0" fillId="0" borderId="20" xfId="0" applyBorder="1" applyProtection="1">
      <protection locked="0"/>
    </xf>
    <xf numFmtId="0" fontId="0" fillId="0" borderId="0" xfId="0" applyProtection="1"/>
    <xf numFmtId="0" fontId="0" fillId="0" borderId="18" xfId="0" applyBorder="1" applyProtection="1"/>
    <xf numFmtId="0" fontId="0" fillId="0" borderId="1" xfId="0" applyBorder="1" applyProtection="1"/>
    <xf numFmtId="0" fontId="0" fillId="0" borderId="19" xfId="0" applyBorder="1" applyProtection="1"/>
    <xf numFmtId="0" fontId="0" fillId="0" borderId="14" xfId="0" applyBorder="1" applyProtection="1"/>
    <xf numFmtId="0" fontId="0" fillId="0" borderId="0" xfId="0" applyBorder="1" applyProtection="1"/>
    <xf numFmtId="164" fontId="0" fillId="15" borderId="0" xfId="0" applyNumberFormat="1" applyFill="1" applyBorder="1" applyProtection="1"/>
    <xf numFmtId="9" fontId="18" fillId="11" borderId="29" xfId="0" applyNumberFormat="1" applyFont="1" applyFill="1" applyBorder="1" applyProtection="1"/>
    <xf numFmtId="9" fontId="0" fillId="15" borderId="0" xfId="0" applyNumberFormat="1" applyFill="1" applyBorder="1" applyProtection="1"/>
    <xf numFmtId="0" fontId="0" fillId="0" borderId="2" xfId="0" applyBorder="1" applyProtection="1"/>
    <xf numFmtId="0" fontId="0" fillId="0" borderId="20" xfId="0" applyBorder="1" applyProtection="1"/>
    <xf numFmtId="0" fontId="0" fillId="0" borderId="4" xfId="0" applyBorder="1" applyProtection="1"/>
    <xf numFmtId="0" fontId="0" fillId="0" borderId="21" xfId="0" applyBorder="1" applyProtection="1"/>
    <xf numFmtId="165" fontId="0" fillId="0" borderId="0" xfId="0" applyNumberFormat="1" applyProtection="1"/>
    <xf numFmtId="0" fontId="2" fillId="0" borderId="0" xfId="0" applyFont="1" applyFill="1" applyBorder="1" applyAlignment="1" applyProtection="1">
      <alignment horizontal="center" vertical="center"/>
    </xf>
    <xf numFmtId="0" fontId="0" fillId="0" borderId="0" xfId="0" applyFill="1" applyProtection="1"/>
    <xf numFmtId="0" fontId="2" fillId="0" borderId="0" xfId="0" applyFont="1" applyFill="1" applyBorder="1" applyAlignment="1" applyProtection="1">
      <alignment horizontal="center" vertical="center" wrapText="1"/>
    </xf>
    <xf numFmtId="9" fontId="0" fillId="0" borderId="0" xfId="0" applyNumberFormat="1" applyProtection="1"/>
    <xf numFmtId="0" fontId="0" fillId="0" borderId="14" xfId="0" applyFill="1" applyBorder="1" applyProtection="1"/>
    <xf numFmtId="165" fontId="0" fillId="0" borderId="0" xfId="0" applyNumberFormat="1" applyBorder="1" applyProtection="1"/>
    <xf numFmtId="0" fontId="3" fillId="0" borderId="14" xfId="0" applyFont="1" applyFill="1" applyBorder="1" applyProtection="1"/>
    <xf numFmtId="165" fontId="3" fillId="0" borderId="0" xfId="1" applyNumberFormat="1" applyFont="1" applyBorder="1" applyProtection="1"/>
    <xf numFmtId="166" fontId="0" fillId="0" borderId="0" xfId="0" applyNumberFormat="1" applyProtection="1"/>
    <xf numFmtId="165" fontId="3" fillId="0" borderId="0" xfId="1" applyNumberFormat="1" applyFont="1" applyFill="1" applyBorder="1" applyProtection="1"/>
    <xf numFmtId="10" fontId="0" fillId="0" borderId="0" xfId="0" applyNumberFormat="1" applyProtection="1"/>
    <xf numFmtId="0" fontId="8" fillId="0" borderId="14" xfId="0" applyFont="1" applyFill="1" applyBorder="1" applyProtection="1"/>
    <xf numFmtId="165" fontId="3" fillId="0" borderId="0" xfId="0" applyNumberFormat="1" applyFont="1" applyBorder="1" applyProtection="1"/>
    <xf numFmtId="165" fontId="0" fillId="0" borderId="14" xfId="0" applyNumberFormat="1" applyBorder="1" applyProtection="1"/>
    <xf numFmtId="166" fontId="0" fillId="0" borderId="0" xfId="0" applyNumberFormat="1" applyBorder="1" applyProtection="1"/>
    <xf numFmtId="165" fontId="3" fillId="0" borderId="22" xfId="0" applyNumberFormat="1" applyFont="1" applyBorder="1" applyProtection="1"/>
    <xf numFmtId="166" fontId="3" fillId="0" borderId="0" xfId="0" applyNumberFormat="1" applyFont="1" applyFill="1" applyBorder="1" applyProtection="1"/>
    <xf numFmtId="165" fontId="0" fillId="0" borderId="20" xfId="0" applyNumberFormat="1" applyBorder="1" applyProtection="1"/>
    <xf numFmtId="0" fontId="2" fillId="2" borderId="14" xfId="0" applyFont="1" applyFill="1" applyBorder="1" applyAlignment="1" applyProtection="1">
      <alignment horizontal="center" vertical="center"/>
    </xf>
    <xf numFmtId="0" fontId="3" fillId="0" borderId="14" xfId="0" applyFont="1" applyBorder="1" applyAlignment="1" applyProtection="1">
      <alignment horizontal="center"/>
    </xf>
    <xf numFmtId="166" fontId="0" fillId="0" borderId="17" xfId="0" applyNumberFormat="1" applyBorder="1" applyProtection="1"/>
    <xf numFmtId="166" fontId="0" fillId="0" borderId="22" xfId="0" applyNumberFormat="1" applyBorder="1" applyProtection="1"/>
    <xf numFmtId="166" fontId="0" fillId="0" borderId="23" xfId="0" applyNumberFormat="1" applyBorder="1" applyProtection="1"/>
    <xf numFmtId="166" fontId="0" fillId="0" borderId="14" xfId="0" applyNumberFormat="1" applyBorder="1" applyProtection="1"/>
    <xf numFmtId="0" fontId="0" fillId="0" borderId="17" xfId="0" applyBorder="1" applyProtection="1"/>
    <xf numFmtId="9" fontId="0" fillId="0" borderId="17" xfId="0" applyNumberFormat="1" applyBorder="1" applyProtection="1"/>
    <xf numFmtId="9" fontId="0" fillId="0" borderId="22" xfId="0" applyNumberFormat="1" applyBorder="1" applyProtection="1"/>
    <xf numFmtId="9" fontId="0" fillId="0" borderId="23" xfId="0" applyNumberFormat="1" applyBorder="1" applyProtection="1"/>
    <xf numFmtId="9" fontId="0" fillId="0" borderId="14" xfId="0" applyNumberFormat="1" applyBorder="1" applyProtection="1"/>
    <xf numFmtId="0" fontId="2" fillId="2" borderId="19" xfId="0" applyFont="1" applyFill="1" applyBorder="1" applyAlignment="1" applyProtection="1">
      <alignment horizontal="center" vertical="center"/>
    </xf>
    <xf numFmtId="166" fontId="0" fillId="0" borderId="4" xfId="0" applyNumberFormat="1" applyBorder="1" applyProtection="1"/>
    <xf numFmtId="0" fontId="2" fillId="2" borderId="0" xfId="0" applyFont="1" applyFill="1" applyBorder="1" applyAlignment="1" applyProtection="1">
      <alignment horizontal="center" vertical="center"/>
    </xf>
    <xf numFmtId="166" fontId="0" fillId="0" borderId="20" xfId="0" applyNumberFormat="1" applyBorder="1" applyProtection="1"/>
    <xf numFmtId="0" fontId="2" fillId="2" borderId="22" xfId="0" applyFont="1" applyFill="1" applyBorder="1" applyAlignment="1" applyProtection="1">
      <alignment horizontal="center" vertical="center"/>
    </xf>
    <xf numFmtId="0" fontId="2" fillId="2" borderId="24" xfId="0" applyFont="1" applyFill="1" applyBorder="1" applyAlignment="1" applyProtection="1">
      <alignment horizontal="center" vertical="center"/>
    </xf>
    <xf numFmtId="0" fontId="0" fillId="0" borderId="0" xfId="0" applyFill="1" applyBorder="1" applyProtection="1"/>
    <xf numFmtId="0" fontId="3" fillId="0" borderId="0" xfId="0" applyFont="1" applyFill="1" applyBorder="1" applyProtection="1"/>
    <xf numFmtId="0" fontId="8" fillId="0" borderId="0" xfId="0" applyFont="1" applyFill="1" applyBorder="1" applyProtection="1"/>
    <xf numFmtId="165" fontId="3" fillId="0" borderId="23" xfId="0" applyNumberFormat="1" applyFont="1" applyBorder="1" applyProtection="1"/>
    <xf numFmtId="165" fontId="0" fillId="0" borderId="4" xfId="0" applyNumberFormat="1" applyBorder="1" applyProtection="1"/>
    <xf numFmtId="165" fontId="0" fillId="0" borderId="26" xfId="0" applyNumberFormat="1" applyBorder="1" applyProtection="1"/>
    <xf numFmtId="165" fontId="0" fillId="0" borderId="27" xfId="0" applyNumberFormat="1" applyBorder="1" applyProtection="1"/>
    <xf numFmtId="165" fontId="3" fillId="0" borderId="27" xfId="1" applyNumberFormat="1" applyFont="1" applyBorder="1" applyProtection="1"/>
    <xf numFmtId="165" fontId="3" fillId="0" borderId="27" xfId="1" applyNumberFormat="1" applyFont="1" applyFill="1" applyBorder="1" applyProtection="1"/>
    <xf numFmtId="165" fontId="3" fillId="0" borderId="27" xfId="0" applyNumberFormat="1" applyFont="1" applyBorder="1" applyProtection="1"/>
    <xf numFmtId="166" fontId="0" fillId="0" borderId="27" xfId="0" applyNumberFormat="1" applyBorder="1" applyProtection="1"/>
    <xf numFmtId="166" fontId="3" fillId="0" borderId="17" xfId="0" applyNumberFormat="1" applyFont="1" applyFill="1" applyBorder="1" applyProtection="1"/>
    <xf numFmtId="166" fontId="0" fillId="0" borderId="28" xfId="0" applyNumberFormat="1" applyBorder="1" applyProtection="1"/>
    <xf numFmtId="165" fontId="0" fillId="0" borderId="26" xfId="1" applyNumberFormat="1" applyFont="1" applyBorder="1" applyProtection="1"/>
    <xf numFmtId="165" fontId="0" fillId="0" borderId="27" xfId="1" applyNumberFormat="1" applyFont="1" applyBorder="1" applyProtection="1"/>
    <xf numFmtId="165" fontId="1" fillId="0" borderId="27" xfId="1" applyNumberFormat="1" applyFont="1" applyFill="1" applyBorder="1" applyProtection="1"/>
    <xf numFmtId="165" fontId="8" fillId="0" borderId="27" xfId="1" applyNumberFormat="1" applyFont="1" applyFill="1" applyBorder="1" applyProtection="1"/>
    <xf numFmtId="0" fontId="0" fillId="0" borderId="28" xfId="0" applyBorder="1" applyProtection="1"/>
    <xf numFmtId="0" fontId="0" fillId="0" borderId="22" xfId="0" applyFill="1" applyBorder="1" applyProtection="1"/>
    <xf numFmtId="0" fontId="0" fillId="0" borderId="22" xfId="0" applyBorder="1" applyProtection="1"/>
    <xf numFmtId="0" fontId="2" fillId="2" borderId="17" xfId="0" applyFont="1" applyFill="1" applyBorder="1" applyAlignment="1" applyProtection="1">
      <alignment horizontal="center" vertical="center"/>
    </xf>
    <xf numFmtId="0" fontId="0" fillId="0" borderId="21" xfId="0" applyFill="1" applyBorder="1" applyProtection="1"/>
    <xf numFmtId="0" fontId="0" fillId="0" borderId="24" xfId="0" applyBorder="1" applyProtection="1"/>
    <xf numFmtId="0" fontId="14" fillId="13" borderId="0" xfId="0" applyNumberFormat="1" applyFont="1" applyFill="1"/>
    <xf numFmtId="0" fontId="0" fillId="13" borderId="0" xfId="0" applyFill="1"/>
    <xf numFmtId="0" fontId="2" fillId="2" borderId="21" xfId="0" applyFont="1" applyFill="1" applyBorder="1" applyAlignment="1" applyProtection="1">
      <alignment horizontal="center" vertical="center"/>
    </xf>
    <xf numFmtId="0" fontId="24" fillId="0" borderId="1" xfId="0" applyFont="1" applyBorder="1" applyProtection="1">
      <protection locked="0"/>
    </xf>
    <xf numFmtId="0" fontId="24" fillId="0" borderId="19" xfId="0" applyFont="1" applyBorder="1" applyProtection="1">
      <protection locked="0"/>
    </xf>
    <xf numFmtId="0" fontId="24" fillId="0" borderId="0" xfId="0" applyFont="1" applyBorder="1" applyProtection="1">
      <protection locked="0"/>
    </xf>
    <xf numFmtId="0" fontId="19" fillId="0" borderId="26" xfId="0" applyFont="1" applyBorder="1" applyProtection="1">
      <protection locked="0"/>
    </xf>
    <xf numFmtId="0" fontId="0" fillId="0" borderId="27" xfId="0" applyBorder="1" applyProtection="1">
      <protection locked="0"/>
    </xf>
    <xf numFmtId="0" fontId="3" fillId="0" borderId="27" xfId="0" applyFont="1" applyBorder="1" applyProtection="1">
      <protection locked="0"/>
    </xf>
    <xf numFmtId="0" fontId="0" fillId="0" borderId="28" xfId="0" applyBorder="1" applyAlignment="1" applyProtection="1">
      <alignment horizontal="left" indent="2"/>
      <protection locked="0"/>
    </xf>
    <xf numFmtId="0" fontId="25" fillId="0" borderId="0" xfId="0" applyFont="1"/>
    <xf numFmtId="0" fontId="14" fillId="0" borderId="0" xfId="0" applyNumberFormat="1" applyFont="1" applyFill="1"/>
    <xf numFmtId="0" fontId="0" fillId="0" borderId="28" xfId="0" applyBorder="1" applyProtection="1">
      <protection locked="0"/>
    </xf>
    <xf numFmtId="0" fontId="24" fillId="0" borderId="4" xfId="0" applyFont="1" applyBorder="1" applyProtection="1">
      <protection locked="0"/>
    </xf>
    <xf numFmtId="0" fontId="24" fillId="0" borderId="21" xfId="0" applyFont="1" applyBorder="1" applyProtection="1">
      <protection locked="0"/>
    </xf>
    <xf numFmtId="0" fontId="26" fillId="0" borderId="0" xfId="5" applyFont="1"/>
    <xf numFmtId="0" fontId="7" fillId="2" borderId="19"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20" fillId="14" borderId="0" xfId="0" applyFont="1" applyFill="1" applyAlignment="1" applyProtection="1">
      <alignment horizontal="center"/>
      <protection locked="0"/>
    </xf>
    <xf numFmtId="0" fontId="0" fillId="0" borderId="0" xfId="0" applyAlignment="1">
      <alignment horizontal="left" vertical="center" wrapText="1"/>
    </xf>
    <xf numFmtId="0" fontId="21" fillId="0" borderId="0" xfId="0" applyFont="1" applyAlignment="1">
      <alignment horizontal="left" vertical="center" wrapText="1"/>
    </xf>
    <xf numFmtId="0" fontId="0" fillId="0" borderId="0" xfId="0" applyAlignment="1">
      <alignment horizontal="left" vertical="center"/>
    </xf>
    <xf numFmtId="0" fontId="2" fillId="2" borderId="18"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23" xfId="0" applyFont="1" applyFill="1" applyBorder="1" applyAlignment="1" applyProtection="1">
      <alignment horizontal="center" vertical="center"/>
    </xf>
    <xf numFmtId="0" fontId="2" fillId="2" borderId="24" xfId="0"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7" fillId="2" borderId="18" xfId="0" applyFont="1" applyFill="1" applyBorder="1" applyAlignment="1" applyProtection="1">
      <alignment horizontal="center" vertical="center"/>
    </xf>
    <xf numFmtId="0" fontId="7" fillId="2" borderId="20" xfId="0" applyFont="1" applyFill="1" applyBorder="1" applyAlignment="1" applyProtection="1">
      <alignment horizontal="center" vertical="center"/>
    </xf>
    <xf numFmtId="0" fontId="2" fillId="2" borderId="26"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xf>
    <xf numFmtId="0" fontId="5" fillId="0" borderId="0" xfId="0" applyFont="1" applyFill="1" applyBorder="1" applyAlignment="1">
      <alignment horizontal="center"/>
    </xf>
    <xf numFmtId="0" fontId="3" fillId="12" borderId="0" xfId="0" applyFont="1" applyFill="1" applyAlignment="1">
      <alignment horizontal="center"/>
    </xf>
    <xf numFmtId="0" fontId="3" fillId="3" borderId="18" xfId="0" applyFont="1" applyFill="1" applyBorder="1" applyAlignment="1">
      <alignment horizontal="center"/>
    </xf>
    <xf numFmtId="0" fontId="3" fillId="3" borderId="1" xfId="0" applyFont="1" applyFill="1" applyBorder="1" applyAlignment="1">
      <alignment horizontal="center"/>
    </xf>
    <xf numFmtId="0" fontId="3" fillId="3" borderId="19" xfId="0" applyFont="1" applyFill="1" applyBorder="1" applyAlignment="1">
      <alignment horizontal="center"/>
    </xf>
  </cellXfs>
  <cellStyles count="6">
    <cellStyle name="Comma" xfId="1" builtinId="3"/>
    <cellStyle name="Hyperlink" xfId="5" builtinId="8"/>
    <cellStyle name="Normal" xfId="0" builtinId="0"/>
    <cellStyle name="Normal 11" xfId="3"/>
    <cellStyle name="Normal 2"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Net Income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 Expectations'!$AI$5</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'2022 Expectations'!$AJ$4:$AQ$4</c:f>
              <c:strCache>
                <c:ptCount val="8"/>
                <c:pt idx="0">
                  <c:v>2016</c:v>
                </c:pt>
                <c:pt idx="1">
                  <c:v>2017</c:v>
                </c:pt>
                <c:pt idx="2">
                  <c:v>2018</c:v>
                </c:pt>
                <c:pt idx="3">
                  <c:v>2019</c:v>
                </c:pt>
                <c:pt idx="4">
                  <c:v>2020</c:v>
                </c:pt>
                <c:pt idx="5">
                  <c:v>2021E</c:v>
                </c:pt>
                <c:pt idx="6">
                  <c:v>2022E Pre-Hike</c:v>
                </c:pt>
                <c:pt idx="7">
                  <c:v>2022E Post-hike</c:v>
                </c:pt>
              </c:strCache>
            </c:strRef>
          </c:cat>
          <c:val>
            <c:numRef>
              <c:f>'2022 Expectations'!$AJ$5:$AQ$5</c:f>
              <c:numCache>
                <c:formatCode>0</c:formatCode>
                <c:ptCount val="8"/>
                <c:pt idx="0">
                  <c:v>35.279063999999998</c:v>
                </c:pt>
                <c:pt idx="1">
                  <c:v>38.603854000000005</c:v>
                </c:pt>
                <c:pt idx="2">
                  <c:v>28.965461000000001</c:v>
                </c:pt>
                <c:pt idx="3">
                  <c:v>41.063524000000001</c:v>
                </c:pt>
                <c:pt idx="4">
                  <c:v>30.564748999999999</c:v>
                </c:pt>
                <c:pt idx="5">
                  <c:v>48.412073333333332</c:v>
                </c:pt>
                <c:pt idx="6">
                  <c:v>51.985032332809602</c:v>
                </c:pt>
                <c:pt idx="7" formatCode="_(* #,##0_);_(* \(#,##0\);_(* &quot;-&quot;??_);_(@_)">
                  <c:v>55.408225533431036</c:v>
                </c:pt>
              </c:numCache>
            </c:numRef>
          </c:val>
          <c:extLst>
            <c:ext xmlns:c16="http://schemas.microsoft.com/office/drawing/2014/chart" uri="{C3380CC4-5D6E-409C-BE32-E72D297353CC}">
              <c16:uniqueId val="{00000000-D2DF-4E6A-A465-753333EC84D3}"/>
            </c:ext>
          </c:extLst>
        </c:ser>
        <c:dLbls>
          <c:dLblPos val="outEnd"/>
          <c:showLegendKey val="0"/>
          <c:showVal val="1"/>
          <c:showCatName val="0"/>
          <c:showSerName val="0"/>
          <c:showPercent val="0"/>
          <c:showBubbleSize val="0"/>
        </c:dLbls>
        <c:gapWidth val="219"/>
        <c:overlap val="-27"/>
        <c:axId val="1588727008"/>
        <c:axId val="1588714944"/>
      </c:barChart>
      <c:catAx>
        <c:axId val="15887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14944"/>
        <c:crosses val="autoZero"/>
        <c:auto val="1"/>
        <c:lblAlgn val="ctr"/>
        <c:lblOffset val="100"/>
        <c:noMultiLvlLbl val="0"/>
      </c:catAx>
      <c:valAx>
        <c:axId val="1588714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Income in SAR bn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2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Real GDP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B611-4973-85ED-2B70313DA989}"/>
            </c:ext>
          </c:extLst>
        </c:ser>
        <c:ser>
          <c:idx val="1"/>
          <c:order val="1"/>
          <c:tx>
            <c:v>Predicted 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Expectations'!$S$405:$S$416</c:f>
              <c:numCache>
                <c:formatCode>General</c:formatCode>
                <c:ptCount val="12"/>
                <c:pt idx="0">
                  <c:v>9.190685483189462</c:v>
                </c:pt>
                <c:pt idx="1">
                  <c:v>16.923306514700172</c:v>
                </c:pt>
                <c:pt idx="2">
                  <c:v>12.830729912169346</c:v>
                </c:pt>
                <c:pt idx="3">
                  <c:v>11.055570387923252</c:v>
                </c:pt>
                <c:pt idx="4">
                  <c:v>13.714980737780866</c:v>
                </c:pt>
                <c:pt idx="5">
                  <c:v>2.84184715956687</c:v>
                </c:pt>
                <c:pt idx="6">
                  <c:v>3.0772427382400571</c:v>
                </c:pt>
                <c:pt idx="7">
                  <c:v>-1.0927081293381915</c:v>
                </c:pt>
                <c:pt idx="8">
                  <c:v>1.4964758023277376</c:v>
                </c:pt>
                <c:pt idx="9">
                  <c:v>7.6246488856835839</c:v>
                </c:pt>
                <c:pt idx="10">
                  <c:v>9.0885160094979831</c:v>
                </c:pt>
                <c:pt idx="11">
                  <c:v>4.1418593390595824</c:v>
                </c:pt>
              </c:numCache>
            </c:numRef>
          </c:yVal>
          <c:smooth val="0"/>
          <c:extLst>
            <c:ext xmlns:c16="http://schemas.microsoft.com/office/drawing/2014/chart" uri="{C3380CC4-5D6E-409C-BE32-E72D297353CC}">
              <c16:uniqueId val="{00000001-B611-4973-85ED-2B70313DA989}"/>
            </c:ext>
          </c:extLst>
        </c:ser>
        <c:dLbls>
          <c:showLegendKey val="0"/>
          <c:showVal val="0"/>
          <c:showCatName val="0"/>
          <c:showSerName val="0"/>
          <c:showPercent val="0"/>
          <c:showBubbleSize val="0"/>
        </c:dLbls>
        <c:axId val="1126207279"/>
        <c:axId val="1126202703"/>
      </c:scatterChart>
      <c:valAx>
        <c:axId val="1126207279"/>
        <c:scaling>
          <c:orientation val="minMax"/>
        </c:scaling>
        <c:delete val="0"/>
        <c:axPos val="b"/>
        <c:title>
          <c:tx>
            <c:rich>
              <a:bodyPr/>
              <a:lstStyle/>
              <a:p>
                <a:pPr>
                  <a:defRPr/>
                </a:pPr>
                <a:r>
                  <a:rPr lang="en-US"/>
                  <a:t>Real GDP</a:t>
                </a:r>
              </a:p>
            </c:rich>
          </c:tx>
          <c:overlay val="0"/>
        </c:title>
        <c:numFmt formatCode="0.0" sourceLinked="1"/>
        <c:majorTickMark val="out"/>
        <c:minorTickMark val="none"/>
        <c:tickLblPos val="nextTo"/>
        <c:crossAx val="1126202703"/>
        <c:crosses val="autoZero"/>
        <c:crossBetween val="midCat"/>
      </c:valAx>
      <c:valAx>
        <c:axId val="1126202703"/>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20727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Real GDP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8B94-49B1-8B38-68227746EAEB}"/>
            </c:ext>
          </c:extLst>
        </c:ser>
        <c:ser>
          <c:idx val="1"/>
          <c:order val="1"/>
          <c:tx>
            <c:v>Predicted 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Expectations'!$S$406:$S$417</c:f>
              <c:numCache>
                <c:formatCode>General</c:formatCode>
                <c:ptCount val="12"/>
                <c:pt idx="0">
                  <c:v>16.923306514700172</c:v>
                </c:pt>
                <c:pt idx="1">
                  <c:v>12.830729912169346</c:v>
                </c:pt>
                <c:pt idx="2">
                  <c:v>11.055570387923252</c:v>
                </c:pt>
                <c:pt idx="3">
                  <c:v>13.714980737780866</c:v>
                </c:pt>
                <c:pt idx="4">
                  <c:v>2.84184715956687</c:v>
                </c:pt>
                <c:pt idx="5">
                  <c:v>3.0772427382400571</c:v>
                </c:pt>
                <c:pt idx="6">
                  <c:v>-1.0927081293381915</c:v>
                </c:pt>
                <c:pt idx="7">
                  <c:v>1.4964758023277376</c:v>
                </c:pt>
                <c:pt idx="8">
                  <c:v>7.6246488856835839</c:v>
                </c:pt>
                <c:pt idx="9">
                  <c:v>9.0885160094979831</c:v>
                </c:pt>
                <c:pt idx="10">
                  <c:v>4.1418593390595824</c:v>
                </c:pt>
                <c:pt idx="11">
                  <c:v>12.004805715289738</c:v>
                </c:pt>
              </c:numCache>
            </c:numRef>
          </c:yVal>
          <c:smooth val="0"/>
          <c:extLst>
            <c:ext xmlns:c16="http://schemas.microsoft.com/office/drawing/2014/chart" uri="{C3380CC4-5D6E-409C-BE32-E72D297353CC}">
              <c16:uniqueId val="{00000001-8B94-49B1-8B38-68227746EAEB}"/>
            </c:ext>
          </c:extLst>
        </c:ser>
        <c:dLbls>
          <c:showLegendKey val="0"/>
          <c:showVal val="0"/>
          <c:showCatName val="0"/>
          <c:showSerName val="0"/>
          <c:showPercent val="0"/>
          <c:showBubbleSize val="0"/>
        </c:dLbls>
        <c:axId val="1126208943"/>
        <c:axId val="1126199791"/>
      </c:scatterChart>
      <c:valAx>
        <c:axId val="1126208943"/>
        <c:scaling>
          <c:orientation val="minMax"/>
        </c:scaling>
        <c:delete val="0"/>
        <c:axPos val="b"/>
        <c:title>
          <c:tx>
            <c:rich>
              <a:bodyPr/>
              <a:lstStyle/>
              <a:p>
                <a:pPr>
                  <a:defRPr/>
                </a:pPr>
                <a:r>
                  <a:rPr lang="en-US"/>
                  <a:t>Real GDP</a:t>
                </a:r>
              </a:p>
            </c:rich>
          </c:tx>
          <c:overlay val="0"/>
        </c:title>
        <c:numFmt formatCode="0.0" sourceLinked="1"/>
        <c:majorTickMark val="out"/>
        <c:minorTickMark val="none"/>
        <c:tickLblPos val="nextTo"/>
        <c:crossAx val="1126199791"/>
        <c:crosses val="autoZero"/>
        <c:crossBetween val="midCat"/>
      </c:valAx>
      <c:valAx>
        <c:axId val="1126199791"/>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20894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Money Supply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CF2E-4399-9B65-0CEE87C97F6B}"/>
            </c:ext>
          </c:extLst>
        </c:ser>
        <c:ser>
          <c:idx val="1"/>
          <c:order val="1"/>
          <c:tx>
            <c:v>Predicted 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Expectations'!$S$406:$S$417</c:f>
              <c:numCache>
                <c:formatCode>General</c:formatCode>
                <c:ptCount val="12"/>
                <c:pt idx="0">
                  <c:v>16.923306514700172</c:v>
                </c:pt>
                <c:pt idx="1">
                  <c:v>12.830729912169346</c:v>
                </c:pt>
                <c:pt idx="2">
                  <c:v>11.055570387923252</c:v>
                </c:pt>
                <c:pt idx="3">
                  <c:v>13.714980737780866</c:v>
                </c:pt>
                <c:pt idx="4">
                  <c:v>2.84184715956687</c:v>
                </c:pt>
                <c:pt idx="5">
                  <c:v>3.0772427382400571</c:v>
                </c:pt>
                <c:pt idx="6">
                  <c:v>-1.0927081293381915</c:v>
                </c:pt>
                <c:pt idx="7">
                  <c:v>1.4964758023277376</c:v>
                </c:pt>
                <c:pt idx="8">
                  <c:v>7.6246488856835839</c:v>
                </c:pt>
                <c:pt idx="9">
                  <c:v>9.0885160094979831</c:v>
                </c:pt>
                <c:pt idx="10">
                  <c:v>4.1418593390595824</c:v>
                </c:pt>
                <c:pt idx="11">
                  <c:v>12.004805715289738</c:v>
                </c:pt>
              </c:numCache>
            </c:numRef>
          </c:yVal>
          <c:smooth val="0"/>
          <c:extLst>
            <c:ext xmlns:c16="http://schemas.microsoft.com/office/drawing/2014/chart" uri="{C3380CC4-5D6E-409C-BE32-E72D297353CC}">
              <c16:uniqueId val="{00000001-CF2E-4399-9B65-0CEE87C97F6B}"/>
            </c:ext>
          </c:extLst>
        </c:ser>
        <c:dLbls>
          <c:showLegendKey val="0"/>
          <c:showVal val="0"/>
          <c:showCatName val="0"/>
          <c:showSerName val="0"/>
          <c:showPercent val="0"/>
          <c:showBubbleSize val="0"/>
        </c:dLbls>
        <c:axId val="1126208943"/>
        <c:axId val="1126196879"/>
      </c:scatterChart>
      <c:valAx>
        <c:axId val="1126208943"/>
        <c:scaling>
          <c:orientation val="minMax"/>
        </c:scaling>
        <c:delete val="0"/>
        <c:axPos val="b"/>
        <c:title>
          <c:tx>
            <c:rich>
              <a:bodyPr/>
              <a:lstStyle/>
              <a:p>
                <a:pPr>
                  <a:defRPr/>
                </a:pPr>
                <a:r>
                  <a:rPr lang="en-US"/>
                  <a:t>Money Supply</a:t>
                </a:r>
              </a:p>
            </c:rich>
          </c:tx>
          <c:overlay val="0"/>
        </c:title>
        <c:numFmt formatCode="0.0" sourceLinked="1"/>
        <c:majorTickMark val="out"/>
        <c:minorTickMark val="none"/>
        <c:tickLblPos val="nextTo"/>
        <c:crossAx val="1126196879"/>
        <c:crosses val="autoZero"/>
        <c:crossBetween val="midCat"/>
      </c:valAx>
      <c:valAx>
        <c:axId val="1126196879"/>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20894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Investments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230C-46E7-B3C5-7FE5BA7FAD2C}"/>
            </c:ext>
          </c:extLst>
        </c:ser>
        <c:ser>
          <c:idx val="1"/>
          <c:order val="1"/>
          <c:tx>
            <c:v>Predicted 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Expectations'!$S$406:$S$417</c:f>
              <c:numCache>
                <c:formatCode>General</c:formatCode>
                <c:ptCount val="12"/>
                <c:pt idx="0">
                  <c:v>16.923306514700172</c:v>
                </c:pt>
                <c:pt idx="1">
                  <c:v>12.830729912169346</c:v>
                </c:pt>
                <c:pt idx="2">
                  <c:v>11.055570387923252</c:v>
                </c:pt>
                <c:pt idx="3">
                  <c:v>13.714980737780866</c:v>
                </c:pt>
                <c:pt idx="4">
                  <c:v>2.84184715956687</c:v>
                </c:pt>
                <c:pt idx="5">
                  <c:v>3.0772427382400571</c:v>
                </c:pt>
                <c:pt idx="6">
                  <c:v>-1.0927081293381915</c:v>
                </c:pt>
                <c:pt idx="7">
                  <c:v>1.4964758023277376</c:v>
                </c:pt>
                <c:pt idx="8">
                  <c:v>7.6246488856835839</c:v>
                </c:pt>
                <c:pt idx="9">
                  <c:v>9.0885160094979831</c:v>
                </c:pt>
                <c:pt idx="10">
                  <c:v>4.1418593390595824</c:v>
                </c:pt>
                <c:pt idx="11">
                  <c:v>12.004805715289738</c:v>
                </c:pt>
              </c:numCache>
            </c:numRef>
          </c:yVal>
          <c:smooth val="0"/>
          <c:extLst>
            <c:ext xmlns:c16="http://schemas.microsoft.com/office/drawing/2014/chart" uri="{C3380CC4-5D6E-409C-BE32-E72D297353CC}">
              <c16:uniqueId val="{00000001-230C-46E7-B3C5-7FE5BA7FAD2C}"/>
            </c:ext>
          </c:extLst>
        </c:ser>
        <c:dLbls>
          <c:showLegendKey val="0"/>
          <c:showVal val="0"/>
          <c:showCatName val="0"/>
          <c:showSerName val="0"/>
          <c:showPercent val="0"/>
          <c:showBubbleSize val="0"/>
        </c:dLbls>
        <c:axId val="1126205199"/>
        <c:axId val="1126196463"/>
      </c:scatterChart>
      <c:valAx>
        <c:axId val="1126205199"/>
        <c:scaling>
          <c:orientation val="minMax"/>
        </c:scaling>
        <c:delete val="0"/>
        <c:axPos val="b"/>
        <c:title>
          <c:tx>
            <c:rich>
              <a:bodyPr/>
              <a:lstStyle/>
              <a:p>
                <a:pPr>
                  <a:defRPr/>
                </a:pPr>
                <a:r>
                  <a:rPr lang="en-US"/>
                  <a:t>Investments</a:t>
                </a:r>
              </a:p>
            </c:rich>
          </c:tx>
          <c:overlay val="0"/>
        </c:title>
        <c:numFmt formatCode="0.0" sourceLinked="1"/>
        <c:majorTickMark val="out"/>
        <c:minorTickMark val="none"/>
        <c:tickLblPos val="nextTo"/>
        <c:crossAx val="1126196463"/>
        <c:crosses val="autoZero"/>
        <c:crossBetween val="midCat"/>
      </c:valAx>
      <c:valAx>
        <c:axId val="1126196463"/>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20519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Real GDP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944A-49E5-9223-BBFB3E4C53A2}"/>
            </c:ext>
          </c:extLst>
        </c:ser>
        <c:ser>
          <c:idx val="1"/>
          <c:order val="1"/>
          <c:tx>
            <c:v>Predicted 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Expectations'!$S$406:$S$417</c:f>
              <c:numCache>
                <c:formatCode>General</c:formatCode>
                <c:ptCount val="12"/>
                <c:pt idx="0">
                  <c:v>16.923306514700172</c:v>
                </c:pt>
                <c:pt idx="1">
                  <c:v>12.830729912169346</c:v>
                </c:pt>
                <c:pt idx="2">
                  <c:v>11.055570387923252</c:v>
                </c:pt>
                <c:pt idx="3">
                  <c:v>13.714980737780866</c:v>
                </c:pt>
                <c:pt idx="4">
                  <c:v>2.84184715956687</c:v>
                </c:pt>
                <c:pt idx="5">
                  <c:v>3.0772427382400571</c:v>
                </c:pt>
                <c:pt idx="6">
                  <c:v>-1.0927081293381915</c:v>
                </c:pt>
                <c:pt idx="7">
                  <c:v>1.4964758023277376</c:v>
                </c:pt>
                <c:pt idx="8">
                  <c:v>7.6246488856835839</c:v>
                </c:pt>
                <c:pt idx="9">
                  <c:v>9.0885160094979831</c:v>
                </c:pt>
                <c:pt idx="10">
                  <c:v>4.1418593390595824</c:v>
                </c:pt>
                <c:pt idx="11">
                  <c:v>12.004805715289738</c:v>
                </c:pt>
              </c:numCache>
            </c:numRef>
          </c:yVal>
          <c:smooth val="0"/>
          <c:extLst>
            <c:ext xmlns:c16="http://schemas.microsoft.com/office/drawing/2014/chart" uri="{C3380CC4-5D6E-409C-BE32-E72D297353CC}">
              <c16:uniqueId val="{00000001-944A-49E5-9223-BBFB3E4C53A2}"/>
            </c:ext>
          </c:extLst>
        </c:ser>
        <c:dLbls>
          <c:showLegendKey val="0"/>
          <c:showVal val="0"/>
          <c:showCatName val="0"/>
          <c:showSerName val="0"/>
          <c:showPercent val="0"/>
          <c:showBubbleSize val="0"/>
        </c:dLbls>
        <c:axId val="1126194383"/>
        <c:axId val="1126196047"/>
      </c:scatterChart>
      <c:valAx>
        <c:axId val="1126194383"/>
        <c:scaling>
          <c:orientation val="minMax"/>
        </c:scaling>
        <c:delete val="0"/>
        <c:axPos val="b"/>
        <c:title>
          <c:tx>
            <c:rich>
              <a:bodyPr/>
              <a:lstStyle/>
              <a:p>
                <a:pPr>
                  <a:defRPr/>
                </a:pPr>
                <a:r>
                  <a:rPr lang="en-US"/>
                  <a:t>Real GDP</a:t>
                </a:r>
              </a:p>
            </c:rich>
          </c:tx>
          <c:overlay val="0"/>
        </c:title>
        <c:numFmt formatCode="0.0" sourceLinked="1"/>
        <c:majorTickMark val="out"/>
        <c:minorTickMark val="none"/>
        <c:tickLblPos val="nextTo"/>
        <c:crossAx val="1126196047"/>
        <c:crosses val="autoZero"/>
        <c:crossBetween val="midCat"/>
      </c:valAx>
      <c:valAx>
        <c:axId val="1126196047"/>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19438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Investments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33F5-4F04-9AF8-88A188713794}"/>
            </c:ext>
          </c:extLst>
        </c:ser>
        <c:ser>
          <c:idx val="1"/>
          <c:order val="1"/>
          <c:tx>
            <c:v>Predicted 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Expectations'!$S$407:$S$418</c:f>
              <c:numCache>
                <c:formatCode>General</c:formatCode>
                <c:ptCount val="12"/>
                <c:pt idx="0">
                  <c:v>12.830729912169346</c:v>
                </c:pt>
                <c:pt idx="1">
                  <c:v>11.055570387923252</c:v>
                </c:pt>
                <c:pt idx="2">
                  <c:v>13.714980737780866</c:v>
                </c:pt>
                <c:pt idx="3">
                  <c:v>2.84184715956687</c:v>
                </c:pt>
                <c:pt idx="4">
                  <c:v>3.0772427382400571</c:v>
                </c:pt>
                <c:pt idx="5">
                  <c:v>-1.0927081293381915</c:v>
                </c:pt>
                <c:pt idx="6">
                  <c:v>1.4964758023277376</c:v>
                </c:pt>
                <c:pt idx="7">
                  <c:v>7.6246488856835839</c:v>
                </c:pt>
                <c:pt idx="8">
                  <c:v>9.0885160094979831</c:v>
                </c:pt>
                <c:pt idx="9">
                  <c:v>4.1418593390595824</c:v>
                </c:pt>
                <c:pt idx="10">
                  <c:v>12.004805715289738</c:v>
                </c:pt>
                <c:pt idx="11">
                  <c:v>5.6260445694362318</c:v>
                </c:pt>
              </c:numCache>
            </c:numRef>
          </c:yVal>
          <c:smooth val="0"/>
          <c:extLst>
            <c:ext xmlns:c16="http://schemas.microsoft.com/office/drawing/2014/chart" uri="{C3380CC4-5D6E-409C-BE32-E72D297353CC}">
              <c16:uniqueId val="{00000001-33F5-4F04-9AF8-88A188713794}"/>
            </c:ext>
          </c:extLst>
        </c:ser>
        <c:dLbls>
          <c:showLegendKey val="0"/>
          <c:showVal val="0"/>
          <c:showCatName val="0"/>
          <c:showSerName val="0"/>
          <c:showPercent val="0"/>
          <c:showBubbleSize val="0"/>
        </c:dLbls>
        <c:axId val="1126201871"/>
        <c:axId val="1126209775"/>
      </c:scatterChart>
      <c:valAx>
        <c:axId val="1126201871"/>
        <c:scaling>
          <c:orientation val="minMax"/>
        </c:scaling>
        <c:delete val="0"/>
        <c:axPos val="b"/>
        <c:title>
          <c:tx>
            <c:rich>
              <a:bodyPr/>
              <a:lstStyle/>
              <a:p>
                <a:pPr>
                  <a:defRPr/>
                </a:pPr>
                <a:r>
                  <a:rPr lang="en-US"/>
                  <a:t>Investments</a:t>
                </a:r>
              </a:p>
            </c:rich>
          </c:tx>
          <c:overlay val="0"/>
        </c:title>
        <c:numFmt formatCode="0.0" sourceLinked="1"/>
        <c:majorTickMark val="out"/>
        <c:minorTickMark val="none"/>
        <c:tickLblPos val="nextTo"/>
        <c:crossAx val="1126209775"/>
        <c:crosses val="autoZero"/>
        <c:crossBetween val="midCat"/>
      </c:valAx>
      <c:valAx>
        <c:axId val="1126209775"/>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20187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Real GDP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0834-42EF-84E9-37A0F2093FEA}"/>
            </c:ext>
          </c:extLst>
        </c:ser>
        <c:ser>
          <c:idx val="1"/>
          <c:order val="1"/>
          <c:tx>
            <c:v>Predicted 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Expectations'!$S$407:$S$418</c:f>
              <c:numCache>
                <c:formatCode>General</c:formatCode>
                <c:ptCount val="12"/>
                <c:pt idx="0">
                  <c:v>12.830729912169346</c:v>
                </c:pt>
                <c:pt idx="1">
                  <c:v>11.055570387923252</c:v>
                </c:pt>
                <c:pt idx="2">
                  <c:v>13.714980737780866</c:v>
                </c:pt>
                <c:pt idx="3">
                  <c:v>2.84184715956687</c:v>
                </c:pt>
                <c:pt idx="4">
                  <c:v>3.0772427382400571</c:v>
                </c:pt>
                <c:pt idx="5">
                  <c:v>-1.0927081293381915</c:v>
                </c:pt>
                <c:pt idx="6">
                  <c:v>1.4964758023277376</c:v>
                </c:pt>
                <c:pt idx="7">
                  <c:v>7.6246488856835839</c:v>
                </c:pt>
                <c:pt idx="8">
                  <c:v>9.0885160094979831</c:v>
                </c:pt>
                <c:pt idx="9">
                  <c:v>4.1418593390595824</c:v>
                </c:pt>
                <c:pt idx="10">
                  <c:v>12.004805715289738</c:v>
                </c:pt>
                <c:pt idx="11">
                  <c:v>5.6260445694362318</c:v>
                </c:pt>
              </c:numCache>
            </c:numRef>
          </c:yVal>
          <c:smooth val="0"/>
          <c:extLst>
            <c:ext xmlns:c16="http://schemas.microsoft.com/office/drawing/2014/chart" uri="{C3380CC4-5D6E-409C-BE32-E72D297353CC}">
              <c16:uniqueId val="{00000001-0834-42EF-84E9-37A0F2093FEA}"/>
            </c:ext>
          </c:extLst>
        </c:ser>
        <c:dLbls>
          <c:showLegendKey val="0"/>
          <c:showVal val="0"/>
          <c:showCatName val="0"/>
          <c:showSerName val="0"/>
          <c:showPercent val="0"/>
          <c:showBubbleSize val="0"/>
        </c:dLbls>
        <c:axId val="1126197711"/>
        <c:axId val="1126198959"/>
      </c:scatterChart>
      <c:valAx>
        <c:axId val="1126197711"/>
        <c:scaling>
          <c:orientation val="minMax"/>
        </c:scaling>
        <c:delete val="0"/>
        <c:axPos val="b"/>
        <c:title>
          <c:tx>
            <c:rich>
              <a:bodyPr/>
              <a:lstStyle/>
              <a:p>
                <a:pPr>
                  <a:defRPr/>
                </a:pPr>
                <a:r>
                  <a:rPr lang="en-US"/>
                  <a:t>Real GDP</a:t>
                </a:r>
              </a:p>
            </c:rich>
          </c:tx>
          <c:overlay val="0"/>
        </c:title>
        <c:numFmt formatCode="0.0" sourceLinked="1"/>
        <c:majorTickMark val="out"/>
        <c:minorTickMark val="none"/>
        <c:tickLblPos val="nextTo"/>
        <c:crossAx val="1126198959"/>
        <c:crosses val="autoZero"/>
        <c:crossBetween val="midCat"/>
      </c:valAx>
      <c:valAx>
        <c:axId val="1126198959"/>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19771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Money Supply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B461-46E7-9E87-5531EE062982}"/>
            </c:ext>
          </c:extLst>
        </c:ser>
        <c:ser>
          <c:idx val="1"/>
          <c:order val="1"/>
          <c:tx>
            <c:v>Predicted 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Expectations'!$S$407:$S$418</c:f>
              <c:numCache>
                <c:formatCode>General</c:formatCode>
                <c:ptCount val="12"/>
                <c:pt idx="0">
                  <c:v>12.830729912169346</c:v>
                </c:pt>
                <c:pt idx="1">
                  <c:v>11.055570387923252</c:v>
                </c:pt>
                <c:pt idx="2">
                  <c:v>13.714980737780866</c:v>
                </c:pt>
                <c:pt idx="3">
                  <c:v>2.84184715956687</c:v>
                </c:pt>
                <c:pt idx="4">
                  <c:v>3.0772427382400571</c:v>
                </c:pt>
                <c:pt idx="5">
                  <c:v>-1.0927081293381915</c:v>
                </c:pt>
                <c:pt idx="6">
                  <c:v>1.4964758023277376</c:v>
                </c:pt>
                <c:pt idx="7">
                  <c:v>7.6246488856835839</c:v>
                </c:pt>
                <c:pt idx="8">
                  <c:v>9.0885160094979831</c:v>
                </c:pt>
                <c:pt idx="9">
                  <c:v>4.1418593390595824</c:v>
                </c:pt>
                <c:pt idx="10">
                  <c:v>12.004805715289738</c:v>
                </c:pt>
                <c:pt idx="11">
                  <c:v>5.6260445694362318</c:v>
                </c:pt>
              </c:numCache>
            </c:numRef>
          </c:yVal>
          <c:smooth val="0"/>
          <c:extLst>
            <c:ext xmlns:c16="http://schemas.microsoft.com/office/drawing/2014/chart" uri="{C3380CC4-5D6E-409C-BE32-E72D297353CC}">
              <c16:uniqueId val="{00000001-B461-46E7-9E87-5531EE062982}"/>
            </c:ext>
          </c:extLst>
        </c:ser>
        <c:dLbls>
          <c:showLegendKey val="0"/>
          <c:showVal val="0"/>
          <c:showCatName val="0"/>
          <c:showSerName val="0"/>
          <c:showPercent val="0"/>
          <c:showBubbleSize val="0"/>
        </c:dLbls>
        <c:axId val="1126197711"/>
        <c:axId val="1126201871"/>
      </c:scatterChart>
      <c:valAx>
        <c:axId val="1126197711"/>
        <c:scaling>
          <c:orientation val="minMax"/>
        </c:scaling>
        <c:delete val="0"/>
        <c:axPos val="b"/>
        <c:title>
          <c:tx>
            <c:rich>
              <a:bodyPr/>
              <a:lstStyle/>
              <a:p>
                <a:pPr>
                  <a:defRPr/>
                </a:pPr>
                <a:r>
                  <a:rPr lang="en-US"/>
                  <a:t>Money Supply</a:t>
                </a:r>
              </a:p>
            </c:rich>
          </c:tx>
          <c:overlay val="0"/>
        </c:title>
        <c:numFmt formatCode="0.0" sourceLinked="1"/>
        <c:majorTickMark val="out"/>
        <c:minorTickMark val="none"/>
        <c:tickLblPos val="nextTo"/>
        <c:crossAx val="1126201871"/>
        <c:crosses val="autoZero"/>
        <c:crossBetween val="midCat"/>
      </c:valAx>
      <c:valAx>
        <c:axId val="1126201871"/>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19771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Money Supply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A884-45FF-BA63-A529EF66340E}"/>
            </c:ext>
          </c:extLst>
        </c:ser>
        <c:ser>
          <c:idx val="1"/>
          <c:order val="1"/>
          <c:tx>
            <c:v>Predicted 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Expectations'!$S$405:$S$416</c:f>
              <c:numCache>
                <c:formatCode>General</c:formatCode>
                <c:ptCount val="12"/>
                <c:pt idx="0">
                  <c:v>9.190685483189462</c:v>
                </c:pt>
                <c:pt idx="1">
                  <c:v>16.923306514700172</c:v>
                </c:pt>
                <c:pt idx="2">
                  <c:v>12.830729912169346</c:v>
                </c:pt>
                <c:pt idx="3">
                  <c:v>11.055570387923252</c:v>
                </c:pt>
                <c:pt idx="4">
                  <c:v>13.714980737780866</c:v>
                </c:pt>
                <c:pt idx="5">
                  <c:v>2.84184715956687</c:v>
                </c:pt>
                <c:pt idx="6">
                  <c:v>3.0772427382400571</c:v>
                </c:pt>
                <c:pt idx="7">
                  <c:v>-1.0927081293381915</c:v>
                </c:pt>
                <c:pt idx="8">
                  <c:v>1.4964758023277376</c:v>
                </c:pt>
                <c:pt idx="9">
                  <c:v>7.6246488856835839</c:v>
                </c:pt>
                <c:pt idx="10">
                  <c:v>9.0885160094979831</c:v>
                </c:pt>
                <c:pt idx="11">
                  <c:v>4.1418593390595824</c:v>
                </c:pt>
              </c:numCache>
            </c:numRef>
          </c:yVal>
          <c:smooth val="0"/>
          <c:extLst>
            <c:ext xmlns:c16="http://schemas.microsoft.com/office/drawing/2014/chart" uri="{C3380CC4-5D6E-409C-BE32-E72D297353CC}">
              <c16:uniqueId val="{00000001-A884-45FF-BA63-A529EF66340E}"/>
            </c:ext>
          </c:extLst>
        </c:ser>
        <c:dLbls>
          <c:showLegendKey val="0"/>
          <c:showVal val="0"/>
          <c:showCatName val="0"/>
          <c:showSerName val="0"/>
          <c:showPercent val="0"/>
          <c:showBubbleSize val="0"/>
        </c:dLbls>
        <c:axId val="1126200207"/>
        <c:axId val="1126203535"/>
      </c:scatterChart>
      <c:valAx>
        <c:axId val="1126200207"/>
        <c:scaling>
          <c:orientation val="minMax"/>
        </c:scaling>
        <c:delete val="0"/>
        <c:axPos val="b"/>
        <c:title>
          <c:tx>
            <c:rich>
              <a:bodyPr/>
              <a:lstStyle/>
              <a:p>
                <a:pPr>
                  <a:defRPr/>
                </a:pPr>
                <a:r>
                  <a:rPr lang="en-US"/>
                  <a:t>Money Supply</a:t>
                </a:r>
              </a:p>
            </c:rich>
          </c:tx>
          <c:overlay val="0"/>
        </c:title>
        <c:numFmt formatCode="0.0" sourceLinked="1"/>
        <c:majorTickMark val="out"/>
        <c:minorTickMark val="none"/>
        <c:tickLblPos val="nextTo"/>
        <c:crossAx val="1126203535"/>
        <c:crosses val="autoZero"/>
        <c:crossBetween val="midCat"/>
      </c:valAx>
      <c:valAx>
        <c:axId val="1126203535"/>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620020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Return</a:t>
            </a:r>
            <a:r>
              <a:rPr lang="en-US" baseline="0">
                <a:solidFill>
                  <a:srgbClr val="FF0000"/>
                </a:solidFill>
              </a:rPr>
              <a:t> on Equity</a:t>
            </a:r>
            <a:endParaRPr lang="en-US">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 Expectations'!$AI$6</c:f>
              <c:strCache>
                <c:ptCount val="1"/>
                <c:pt idx="0">
                  <c:v>ROE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'2022 Expectations'!$AJ$4:$AQ$4</c:f>
              <c:strCache>
                <c:ptCount val="8"/>
                <c:pt idx="0">
                  <c:v>2016</c:v>
                </c:pt>
                <c:pt idx="1">
                  <c:v>2017</c:v>
                </c:pt>
                <c:pt idx="2">
                  <c:v>2018</c:v>
                </c:pt>
                <c:pt idx="3">
                  <c:v>2019</c:v>
                </c:pt>
                <c:pt idx="4">
                  <c:v>2020</c:v>
                </c:pt>
                <c:pt idx="5">
                  <c:v>2021E</c:v>
                </c:pt>
                <c:pt idx="6">
                  <c:v>2022E Pre-Hike</c:v>
                </c:pt>
                <c:pt idx="7">
                  <c:v>2022E Post-hike</c:v>
                </c:pt>
              </c:strCache>
            </c:strRef>
          </c:cat>
          <c:val>
            <c:numRef>
              <c:f>'2022 Expectations'!$AJ$6:$AQ$6</c:f>
              <c:numCache>
                <c:formatCode>0.0%</c:formatCode>
                <c:ptCount val="8"/>
                <c:pt idx="0">
                  <c:v>0.1309683893317744</c:v>
                </c:pt>
                <c:pt idx="1">
                  <c:v>0.13370945650597796</c:v>
                </c:pt>
                <c:pt idx="2">
                  <c:v>9.7977953603095039E-2</c:v>
                </c:pt>
                <c:pt idx="3">
                  <c:v>0.13060888140128898</c:v>
                </c:pt>
                <c:pt idx="4">
                  <c:v>8.7553871101808761E-2</c:v>
                </c:pt>
                <c:pt idx="5">
                  <c:v>0.11632119875637775</c:v>
                </c:pt>
                <c:pt idx="6">
                  <c:v>0.10553865021561257</c:v>
                </c:pt>
                <c:pt idx="7">
                  <c:v>0.11248832733628701</c:v>
                </c:pt>
              </c:numCache>
            </c:numRef>
          </c:val>
          <c:extLst>
            <c:ext xmlns:c16="http://schemas.microsoft.com/office/drawing/2014/chart" uri="{C3380CC4-5D6E-409C-BE32-E72D297353CC}">
              <c16:uniqueId val="{00000000-9CEC-4824-8E8D-5F3FC91C166D}"/>
            </c:ext>
          </c:extLst>
        </c:ser>
        <c:dLbls>
          <c:dLblPos val="outEnd"/>
          <c:showLegendKey val="0"/>
          <c:showVal val="1"/>
          <c:showCatName val="0"/>
          <c:showSerName val="0"/>
          <c:showPercent val="0"/>
          <c:showBubbleSize val="0"/>
        </c:dLbls>
        <c:gapWidth val="219"/>
        <c:overlap val="-27"/>
        <c:axId val="1588727008"/>
        <c:axId val="1588714944"/>
      </c:barChart>
      <c:catAx>
        <c:axId val="15887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14944"/>
        <c:crosses val="autoZero"/>
        <c:auto val="1"/>
        <c:lblAlgn val="ctr"/>
        <c:lblOffset val="100"/>
        <c:noMultiLvlLbl val="0"/>
      </c:catAx>
      <c:valAx>
        <c:axId val="158871494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2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Net Income Spread</a:t>
            </a:r>
          </a:p>
        </c:rich>
      </c:tx>
      <c:layout>
        <c:manualLayout>
          <c:xMode val="edge"/>
          <c:yMode val="edge"/>
          <c:x val="0.31442215333927814"/>
          <c:y val="1.8021537866278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 Expectations'!$AI$7</c:f>
              <c:strCache>
                <c:ptCount val="1"/>
                <c:pt idx="0">
                  <c:v>Net income Spread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'2022 Expectations'!$AJ$4:$AQ$4</c:f>
              <c:strCache>
                <c:ptCount val="8"/>
                <c:pt idx="0">
                  <c:v>2016</c:v>
                </c:pt>
                <c:pt idx="1">
                  <c:v>2017</c:v>
                </c:pt>
                <c:pt idx="2">
                  <c:v>2018</c:v>
                </c:pt>
                <c:pt idx="3">
                  <c:v>2019</c:v>
                </c:pt>
                <c:pt idx="4">
                  <c:v>2020</c:v>
                </c:pt>
                <c:pt idx="5">
                  <c:v>2021E</c:v>
                </c:pt>
                <c:pt idx="6">
                  <c:v>2022E Pre-Hike</c:v>
                </c:pt>
                <c:pt idx="7">
                  <c:v>2022E Post-hike</c:v>
                </c:pt>
              </c:strCache>
            </c:strRef>
          </c:cat>
          <c:val>
            <c:numRef>
              <c:f>'2022 Expectations'!$AJ$7:$AQ$7</c:f>
              <c:numCache>
                <c:formatCode>0.0%</c:formatCode>
                <c:ptCount val="8"/>
                <c:pt idx="0">
                  <c:v>4.4754850761647556E-2</c:v>
                </c:pt>
                <c:pt idx="1">
                  <c:v>4.7697418069347394E-2</c:v>
                </c:pt>
                <c:pt idx="2">
                  <c:v>5.3159163280255418E-2</c:v>
                </c:pt>
                <c:pt idx="3">
                  <c:v>5.6316488863754614E-2</c:v>
                </c:pt>
                <c:pt idx="4">
                  <c:v>5.02100383722748E-2</c:v>
                </c:pt>
                <c:pt idx="5">
                  <c:v>4.5853470774784952E-2</c:v>
                </c:pt>
                <c:pt idx="6">
                  <c:v>4.1939042396118946E-2</c:v>
                </c:pt>
                <c:pt idx="7">
                  <c:v>4.4200098902459968E-2</c:v>
                </c:pt>
              </c:numCache>
            </c:numRef>
          </c:val>
          <c:extLst>
            <c:ext xmlns:c16="http://schemas.microsoft.com/office/drawing/2014/chart" uri="{C3380CC4-5D6E-409C-BE32-E72D297353CC}">
              <c16:uniqueId val="{00000000-1168-4F9A-92F4-507EB94D2463}"/>
            </c:ext>
          </c:extLst>
        </c:ser>
        <c:dLbls>
          <c:dLblPos val="outEnd"/>
          <c:showLegendKey val="0"/>
          <c:showVal val="1"/>
          <c:showCatName val="0"/>
          <c:showSerName val="0"/>
          <c:showPercent val="0"/>
          <c:showBubbleSize val="0"/>
        </c:dLbls>
        <c:gapWidth val="219"/>
        <c:overlap val="-27"/>
        <c:axId val="1588727008"/>
        <c:axId val="1588714944"/>
      </c:barChart>
      <c:catAx>
        <c:axId val="15887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14944"/>
        <c:crosses val="autoZero"/>
        <c:auto val="1"/>
        <c:lblAlgn val="ctr"/>
        <c:lblOffset val="100"/>
        <c:noMultiLvlLbl val="0"/>
      </c:catAx>
      <c:valAx>
        <c:axId val="158871494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2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Return on Assets</a:t>
            </a:r>
          </a:p>
        </c:rich>
      </c:tx>
      <c:layout>
        <c:manualLayout>
          <c:xMode val="edge"/>
          <c:yMode val="edge"/>
          <c:x val="0.32201263661221391"/>
          <c:y val="1.8021554914894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 Expectations'!$AI$8</c:f>
              <c:strCache>
                <c:ptCount val="1"/>
                <c:pt idx="0">
                  <c:v>ROA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'2022 Expectations'!$AJ$4:$AQ$4</c:f>
              <c:strCache>
                <c:ptCount val="8"/>
                <c:pt idx="0">
                  <c:v>2016</c:v>
                </c:pt>
                <c:pt idx="1">
                  <c:v>2017</c:v>
                </c:pt>
                <c:pt idx="2">
                  <c:v>2018</c:v>
                </c:pt>
                <c:pt idx="3">
                  <c:v>2019</c:v>
                </c:pt>
                <c:pt idx="4">
                  <c:v>2020</c:v>
                </c:pt>
                <c:pt idx="5">
                  <c:v>2021E</c:v>
                </c:pt>
                <c:pt idx="6">
                  <c:v>2022E Pre-Hike</c:v>
                </c:pt>
                <c:pt idx="7">
                  <c:v>2022E Post-hike</c:v>
                </c:pt>
              </c:strCache>
            </c:strRef>
          </c:cat>
          <c:val>
            <c:numRef>
              <c:f>'2022 Expectations'!$AJ$8:$AQ$8</c:f>
              <c:numCache>
                <c:formatCode>0.0%</c:formatCode>
                <c:ptCount val="8"/>
                <c:pt idx="0">
                  <c:v>1.9051292196559537E-2</c:v>
                </c:pt>
                <c:pt idx="1">
                  <c:v>2.045884437003586E-2</c:v>
                </c:pt>
                <c:pt idx="2">
                  <c:v>1.5046540854247625E-2</c:v>
                </c:pt>
                <c:pt idx="3">
                  <c:v>1.9820430901022673E-2</c:v>
                </c:pt>
                <c:pt idx="4">
                  <c:v>1.3107221093232299E-2</c:v>
                </c:pt>
                <c:pt idx="5">
                  <c:v>1.733891380354181E-2</c:v>
                </c:pt>
                <c:pt idx="6">
                  <c:v>1.534293363661509E-2</c:v>
                </c:pt>
                <c:pt idx="7">
                  <c:v>1.6353259565936445E-2</c:v>
                </c:pt>
              </c:numCache>
            </c:numRef>
          </c:val>
          <c:extLst>
            <c:ext xmlns:c16="http://schemas.microsoft.com/office/drawing/2014/chart" uri="{C3380CC4-5D6E-409C-BE32-E72D297353CC}">
              <c16:uniqueId val="{00000000-62D2-40C4-9755-92F9951B93C2}"/>
            </c:ext>
          </c:extLst>
        </c:ser>
        <c:dLbls>
          <c:dLblPos val="outEnd"/>
          <c:showLegendKey val="0"/>
          <c:showVal val="1"/>
          <c:showCatName val="0"/>
          <c:showSerName val="0"/>
          <c:showPercent val="0"/>
          <c:showBubbleSize val="0"/>
        </c:dLbls>
        <c:gapWidth val="219"/>
        <c:overlap val="-27"/>
        <c:axId val="1588727008"/>
        <c:axId val="1588714944"/>
      </c:barChart>
      <c:catAx>
        <c:axId val="15887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14944"/>
        <c:crosses val="autoZero"/>
        <c:auto val="1"/>
        <c:lblAlgn val="ctr"/>
        <c:lblOffset val="100"/>
        <c:noMultiLvlLbl val="0"/>
      </c:catAx>
      <c:valAx>
        <c:axId val="1588714944"/>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2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rgbClr val="FF0000"/>
                </a:solidFill>
              </a:rPr>
              <a:t>Interest to Non-interest Bearing deposits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 Expectations'!$AI$9</c:f>
              <c:strCache>
                <c:ptCount val="1"/>
                <c:pt idx="0">
                  <c:v>Interest to non-interest Bearing deposits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'2022 Expectations'!$AJ$4:$AQ$4</c:f>
              <c:strCache>
                <c:ptCount val="8"/>
                <c:pt idx="0">
                  <c:v>2016</c:v>
                </c:pt>
                <c:pt idx="1">
                  <c:v>2017</c:v>
                </c:pt>
                <c:pt idx="2">
                  <c:v>2018</c:v>
                </c:pt>
                <c:pt idx="3">
                  <c:v>2019</c:v>
                </c:pt>
                <c:pt idx="4">
                  <c:v>2020</c:v>
                </c:pt>
                <c:pt idx="5">
                  <c:v>2021E</c:v>
                </c:pt>
                <c:pt idx="6">
                  <c:v>2022E Pre-Hike</c:v>
                </c:pt>
                <c:pt idx="7">
                  <c:v>2022E Post-hike</c:v>
                </c:pt>
              </c:strCache>
            </c:strRef>
          </c:cat>
          <c:val>
            <c:numRef>
              <c:f>'2022 Expectations'!$AJ$9:$AQ$9</c:f>
              <c:numCache>
                <c:formatCode>_(* #,##0.00_);_(* \(#,##0.00\);_(* "-"??_);_(@_)</c:formatCode>
                <c:ptCount val="8"/>
                <c:pt idx="0">
                  <c:v>0.33793123697531496</c:v>
                </c:pt>
                <c:pt idx="1">
                  <c:v>0.31682943219014731</c:v>
                </c:pt>
                <c:pt idx="2">
                  <c:v>0.29643743266340727</c:v>
                </c:pt>
                <c:pt idx="3">
                  <c:v>0.30461674857882504</c:v>
                </c:pt>
                <c:pt idx="4">
                  <c:v>0.25029329062532579</c:v>
                </c:pt>
                <c:pt idx="5">
                  <c:v>0.25827882969005123</c:v>
                </c:pt>
                <c:pt idx="6">
                  <c:v>0.28741427982117573</c:v>
                </c:pt>
                <c:pt idx="7">
                  <c:v>0.28741427982117573</c:v>
                </c:pt>
              </c:numCache>
            </c:numRef>
          </c:val>
          <c:extLst>
            <c:ext xmlns:c16="http://schemas.microsoft.com/office/drawing/2014/chart" uri="{C3380CC4-5D6E-409C-BE32-E72D297353CC}">
              <c16:uniqueId val="{00000000-C00B-46BB-B04C-CDA8FEB559D7}"/>
            </c:ext>
          </c:extLst>
        </c:ser>
        <c:dLbls>
          <c:dLblPos val="outEnd"/>
          <c:showLegendKey val="0"/>
          <c:showVal val="1"/>
          <c:showCatName val="0"/>
          <c:showSerName val="0"/>
          <c:showPercent val="0"/>
          <c:showBubbleSize val="0"/>
        </c:dLbls>
        <c:gapWidth val="219"/>
        <c:overlap val="-27"/>
        <c:axId val="1588727008"/>
        <c:axId val="1588714944"/>
      </c:barChart>
      <c:catAx>
        <c:axId val="15887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14944"/>
        <c:crosses val="autoZero"/>
        <c:auto val="1"/>
        <c:lblAlgn val="ctr"/>
        <c:lblOffset val="100"/>
        <c:noMultiLvlLbl val="0"/>
      </c:catAx>
      <c:valAx>
        <c:axId val="1588714944"/>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2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Investments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B1F9-4DD7-9139-F0092D3E24F6}"/>
            </c:ext>
          </c:extLst>
        </c:ser>
        <c:ser>
          <c:idx val="1"/>
          <c:order val="1"/>
          <c:tx>
            <c:v>Predicted 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Expectations'!$S$407:$S$418</c:f>
              <c:numCache>
                <c:formatCode>General</c:formatCode>
                <c:ptCount val="12"/>
                <c:pt idx="0">
                  <c:v>12.830729912169346</c:v>
                </c:pt>
                <c:pt idx="1">
                  <c:v>11.055570387923252</c:v>
                </c:pt>
                <c:pt idx="2">
                  <c:v>13.714980737780866</c:v>
                </c:pt>
                <c:pt idx="3">
                  <c:v>2.84184715956687</c:v>
                </c:pt>
                <c:pt idx="4">
                  <c:v>3.0772427382400571</c:v>
                </c:pt>
                <c:pt idx="5">
                  <c:v>-1.0927081293381915</c:v>
                </c:pt>
                <c:pt idx="6">
                  <c:v>1.4964758023277376</c:v>
                </c:pt>
                <c:pt idx="7">
                  <c:v>7.6246488856835839</c:v>
                </c:pt>
                <c:pt idx="8">
                  <c:v>9.0885160094979831</c:v>
                </c:pt>
                <c:pt idx="9">
                  <c:v>4.1418593390595824</c:v>
                </c:pt>
                <c:pt idx="10">
                  <c:v>12.004805715289738</c:v>
                </c:pt>
                <c:pt idx="11">
                  <c:v>5.6260445694362318</c:v>
                </c:pt>
              </c:numCache>
            </c:numRef>
          </c:yVal>
          <c:smooth val="0"/>
          <c:extLst>
            <c:ext xmlns:c16="http://schemas.microsoft.com/office/drawing/2014/chart" uri="{C3380CC4-5D6E-409C-BE32-E72D297353CC}">
              <c16:uniqueId val="{00000001-B1F9-4DD7-9139-F0092D3E24F6}"/>
            </c:ext>
          </c:extLst>
        </c:ser>
        <c:dLbls>
          <c:showLegendKey val="0"/>
          <c:showVal val="0"/>
          <c:showCatName val="0"/>
          <c:showSerName val="0"/>
          <c:showPercent val="0"/>
          <c:showBubbleSize val="0"/>
        </c:dLbls>
        <c:axId val="1120506863"/>
        <c:axId val="1120508111"/>
      </c:scatterChart>
      <c:valAx>
        <c:axId val="1120506863"/>
        <c:scaling>
          <c:orientation val="minMax"/>
        </c:scaling>
        <c:delete val="0"/>
        <c:axPos val="b"/>
        <c:title>
          <c:tx>
            <c:rich>
              <a:bodyPr/>
              <a:lstStyle/>
              <a:p>
                <a:pPr>
                  <a:defRPr/>
                </a:pPr>
                <a:r>
                  <a:rPr lang="en-US"/>
                  <a:t>Investments</a:t>
                </a:r>
              </a:p>
            </c:rich>
          </c:tx>
          <c:overlay val="0"/>
        </c:title>
        <c:numFmt formatCode="0.0" sourceLinked="1"/>
        <c:majorTickMark val="out"/>
        <c:minorTickMark val="none"/>
        <c:tickLblPos val="nextTo"/>
        <c:crossAx val="1120508111"/>
        <c:crosses val="autoZero"/>
        <c:crossBetween val="midCat"/>
      </c:valAx>
      <c:valAx>
        <c:axId val="1120508111"/>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112050686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Real GDP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C9D3-44D3-B8B1-B6C405C62209}"/>
            </c:ext>
          </c:extLst>
        </c:ser>
        <c:ser>
          <c:idx val="1"/>
          <c:order val="1"/>
          <c:tx>
            <c:v>Predicted Private Credit growth</c:v>
          </c:tx>
          <c:spPr>
            <a:ln w="28575">
              <a:noFill/>
            </a:ln>
          </c:spPr>
          <c:xVal>
            <c:numRef>
              <c:f>'2022 Expectations'!$T$362:$T$373</c:f>
              <c:numCache>
                <c:formatCode>0.0</c:formatCode>
                <c:ptCount val="12"/>
                <c:pt idx="0">
                  <c:v>5.0389999999999997</c:v>
                </c:pt>
                <c:pt idx="1">
                  <c:v>9.9969999999999999</c:v>
                </c:pt>
                <c:pt idx="2">
                  <c:v>5.4109999999999996</c:v>
                </c:pt>
                <c:pt idx="3">
                  <c:v>2.6989999999999998</c:v>
                </c:pt>
                <c:pt idx="4">
                  <c:v>3.6520000000000001</c:v>
                </c:pt>
                <c:pt idx="5">
                  <c:v>4.1059999999999999</c:v>
                </c:pt>
                <c:pt idx="6">
                  <c:v>1.671</c:v>
                </c:pt>
                <c:pt idx="7">
                  <c:v>-0.74199999999999999</c:v>
                </c:pt>
                <c:pt idx="8">
                  <c:v>2.4340000000000002</c:v>
                </c:pt>
                <c:pt idx="9">
                  <c:v>0.33100000000000002</c:v>
                </c:pt>
                <c:pt idx="10">
                  <c:v>-4.1070000000000002</c:v>
                </c:pt>
                <c:pt idx="11">
                  <c:v>2.8359999999999999</c:v>
                </c:pt>
              </c:numCache>
            </c:numRef>
          </c:xVal>
          <c:yVal>
            <c:numRef>
              <c:f>'2022 Expectations'!$S$407:$S$418</c:f>
              <c:numCache>
                <c:formatCode>General</c:formatCode>
                <c:ptCount val="12"/>
                <c:pt idx="0">
                  <c:v>12.830729912169346</c:v>
                </c:pt>
                <c:pt idx="1">
                  <c:v>11.055570387923252</c:v>
                </c:pt>
                <c:pt idx="2">
                  <c:v>13.714980737780866</c:v>
                </c:pt>
                <c:pt idx="3">
                  <c:v>2.84184715956687</c:v>
                </c:pt>
                <c:pt idx="4">
                  <c:v>3.0772427382400571</c:v>
                </c:pt>
                <c:pt idx="5">
                  <c:v>-1.0927081293381915</c:v>
                </c:pt>
                <c:pt idx="6">
                  <c:v>1.4964758023277376</c:v>
                </c:pt>
                <c:pt idx="7">
                  <c:v>7.6246488856835839</c:v>
                </c:pt>
                <c:pt idx="8">
                  <c:v>9.0885160094979831</c:v>
                </c:pt>
                <c:pt idx="9">
                  <c:v>4.1418593390595824</c:v>
                </c:pt>
                <c:pt idx="10">
                  <c:v>12.004805715289738</c:v>
                </c:pt>
                <c:pt idx="11">
                  <c:v>5.6260445694362318</c:v>
                </c:pt>
              </c:numCache>
            </c:numRef>
          </c:yVal>
          <c:smooth val="0"/>
          <c:extLst>
            <c:ext xmlns:c16="http://schemas.microsoft.com/office/drawing/2014/chart" uri="{C3380CC4-5D6E-409C-BE32-E72D297353CC}">
              <c16:uniqueId val="{00000001-C9D3-44D3-B8B1-B6C405C62209}"/>
            </c:ext>
          </c:extLst>
        </c:ser>
        <c:dLbls>
          <c:showLegendKey val="0"/>
          <c:showVal val="0"/>
          <c:showCatName val="0"/>
          <c:showSerName val="0"/>
          <c:showPercent val="0"/>
          <c:showBubbleSize val="0"/>
        </c:dLbls>
        <c:axId val="899524831"/>
        <c:axId val="1120506863"/>
      </c:scatterChart>
      <c:valAx>
        <c:axId val="899524831"/>
        <c:scaling>
          <c:orientation val="minMax"/>
        </c:scaling>
        <c:delete val="0"/>
        <c:axPos val="b"/>
        <c:title>
          <c:tx>
            <c:rich>
              <a:bodyPr/>
              <a:lstStyle/>
              <a:p>
                <a:pPr>
                  <a:defRPr/>
                </a:pPr>
                <a:r>
                  <a:rPr lang="en-US"/>
                  <a:t>Real GDP</a:t>
                </a:r>
              </a:p>
            </c:rich>
          </c:tx>
          <c:overlay val="0"/>
        </c:title>
        <c:numFmt formatCode="0.0" sourceLinked="1"/>
        <c:majorTickMark val="out"/>
        <c:minorTickMark val="none"/>
        <c:tickLblPos val="nextTo"/>
        <c:crossAx val="1120506863"/>
        <c:crosses val="autoZero"/>
        <c:crossBetween val="midCat"/>
      </c:valAx>
      <c:valAx>
        <c:axId val="1120506863"/>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89952483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Money Supply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F93A-4C57-8F7E-4AF47C5870D2}"/>
            </c:ext>
          </c:extLst>
        </c:ser>
        <c:ser>
          <c:idx val="1"/>
          <c:order val="1"/>
          <c:tx>
            <c:v>Predicted Private Credit growth</c:v>
          </c:tx>
          <c:spPr>
            <a:ln w="28575">
              <a:noFill/>
            </a:ln>
          </c:spPr>
          <c:xVal>
            <c:numRef>
              <c:f>'2022 Expectations'!$U$362:$U$373</c:f>
              <c:numCache>
                <c:formatCode>0.0</c:formatCode>
                <c:ptCount val="12"/>
                <c:pt idx="0">
                  <c:v>9.36697178206839</c:v>
                </c:pt>
                <c:pt idx="1">
                  <c:v>17.247912016186099</c:v>
                </c:pt>
                <c:pt idx="2">
                  <c:v>13.076835808434501</c:v>
                </c:pt>
                <c:pt idx="3">
                  <c:v>11.267626995588399</c:v>
                </c:pt>
                <c:pt idx="4">
                  <c:v>13.978047426101501</c:v>
                </c:pt>
                <c:pt idx="5">
                  <c:v>2.89635655591777</c:v>
                </c:pt>
                <c:pt idx="6">
                  <c:v>3.13626725105454</c:v>
                </c:pt>
                <c:pt idx="7">
                  <c:v>-1.11366733550712</c:v>
                </c:pt>
                <c:pt idx="8">
                  <c:v>1.5251796657160299</c:v>
                </c:pt>
                <c:pt idx="9">
                  <c:v>7.7708970773736397</c:v>
                </c:pt>
                <c:pt idx="10">
                  <c:v>9.2628425983630702</c:v>
                </c:pt>
                <c:pt idx="11">
                  <c:v>4.2213042351661301</c:v>
                </c:pt>
              </c:numCache>
            </c:numRef>
          </c:xVal>
          <c:yVal>
            <c:numRef>
              <c:f>'2022 Expectations'!$S$407:$S$418</c:f>
              <c:numCache>
                <c:formatCode>General</c:formatCode>
                <c:ptCount val="12"/>
                <c:pt idx="0">
                  <c:v>12.830729912169346</c:v>
                </c:pt>
                <c:pt idx="1">
                  <c:v>11.055570387923252</c:v>
                </c:pt>
                <c:pt idx="2">
                  <c:v>13.714980737780866</c:v>
                </c:pt>
                <c:pt idx="3">
                  <c:v>2.84184715956687</c:v>
                </c:pt>
                <c:pt idx="4">
                  <c:v>3.0772427382400571</c:v>
                </c:pt>
                <c:pt idx="5">
                  <c:v>-1.0927081293381915</c:v>
                </c:pt>
                <c:pt idx="6">
                  <c:v>1.4964758023277376</c:v>
                </c:pt>
                <c:pt idx="7">
                  <c:v>7.6246488856835839</c:v>
                </c:pt>
                <c:pt idx="8">
                  <c:v>9.0885160094979831</c:v>
                </c:pt>
                <c:pt idx="9">
                  <c:v>4.1418593390595824</c:v>
                </c:pt>
                <c:pt idx="10">
                  <c:v>12.004805715289738</c:v>
                </c:pt>
                <c:pt idx="11">
                  <c:v>5.6260445694362318</c:v>
                </c:pt>
              </c:numCache>
            </c:numRef>
          </c:yVal>
          <c:smooth val="0"/>
          <c:extLst>
            <c:ext xmlns:c16="http://schemas.microsoft.com/office/drawing/2014/chart" uri="{C3380CC4-5D6E-409C-BE32-E72D297353CC}">
              <c16:uniqueId val="{00000001-F93A-4C57-8F7E-4AF47C5870D2}"/>
            </c:ext>
          </c:extLst>
        </c:ser>
        <c:dLbls>
          <c:showLegendKey val="0"/>
          <c:showVal val="0"/>
          <c:showCatName val="0"/>
          <c:showSerName val="0"/>
          <c:showPercent val="0"/>
          <c:showBubbleSize val="0"/>
        </c:dLbls>
        <c:axId val="655238911"/>
        <c:axId val="655242239"/>
      </c:scatterChart>
      <c:valAx>
        <c:axId val="655238911"/>
        <c:scaling>
          <c:orientation val="minMax"/>
        </c:scaling>
        <c:delete val="0"/>
        <c:axPos val="b"/>
        <c:title>
          <c:tx>
            <c:rich>
              <a:bodyPr/>
              <a:lstStyle/>
              <a:p>
                <a:pPr>
                  <a:defRPr/>
                </a:pPr>
                <a:r>
                  <a:rPr lang="en-US"/>
                  <a:t>Money Supply</a:t>
                </a:r>
              </a:p>
            </c:rich>
          </c:tx>
          <c:overlay val="0"/>
        </c:title>
        <c:numFmt formatCode="0.0" sourceLinked="1"/>
        <c:majorTickMark val="out"/>
        <c:minorTickMark val="none"/>
        <c:tickLblPos val="nextTo"/>
        <c:crossAx val="655242239"/>
        <c:crosses val="autoZero"/>
        <c:crossBetween val="midCat"/>
      </c:valAx>
      <c:valAx>
        <c:axId val="655242239"/>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65523891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Investments Line Fit  Plot</a:t>
            </a:r>
          </a:p>
        </c:rich>
      </c:tx>
      <c:overlay val="0"/>
    </c:title>
    <c:autoTitleDeleted val="0"/>
    <c:plotArea>
      <c:layout/>
      <c:scatterChart>
        <c:scatterStyle val="lineMarker"/>
        <c:varyColors val="0"/>
        <c:ser>
          <c:idx val="0"/>
          <c:order val="0"/>
          <c:tx>
            <c:v>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Expectations'!$V$362:$V$373</c:f>
              <c:numCache>
                <c:formatCode>General</c:formatCode>
                <c:ptCount val="12"/>
                <c:pt idx="0">
                  <c:v>5.7</c:v>
                </c:pt>
                <c:pt idx="1">
                  <c:v>10.6</c:v>
                </c:pt>
                <c:pt idx="2">
                  <c:v>16.399999999999999</c:v>
                </c:pt>
                <c:pt idx="3">
                  <c:v>12.5</c:v>
                </c:pt>
                <c:pt idx="4">
                  <c:v>11.8</c:v>
                </c:pt>
                <c:pt idx="5">
                  <c:v>9.1999999999999993</c:v>
                </c:pt>
                <c:pt idx="6">
                  <c:v>2.4</c:v>
                </c:pt>
                <c:pt idx="7">
                  <c:v>-0.8</c:v>
                </c:pt>
                <c:pt idx="8">
                  <c:v>3</c:v>
                </c:pt>
                <c:pt idx="9">
                  <c:v>7</c:v>
                </c:pt>
                <c:pt idx="10">
                  <c:v>14</c:v>
                </c:pt>
                <c:pt idx="11">
                  <c:v>15.2</c:v>
                </c:pt>
              </c:numCache>
            </c:numRef>
          </c:yVal>
          <c:smooth val="0"/>
          <c:extLst>
            <c:ext xmlns:c16="http://schemas.microsoft.com/office/drawing/2014/chart" uri="{C3380CC4-5D6E-409C-BE32-E72D297353CC}">
              <c16:uniqueId val="{00000000-70D6-457A-A8BB-DAB3DFA5430D}"/>
            </c:ext>
          </c:extLst>
        </c:ser>
        <c:ser>
          <c:idx val="1"/>
          <c:order val="1"/>
          <c:tx>
            <c:v>Predicted Private Credit growth</c:v>
          </c:tx>
          <c:spPr>
            <a:ln w="28575">
              <a:noFill/>
            </a:ln>
          </c:spPr>
          <c:xVal>
            <c:numRef>
              <c:f>'2022 Expectations'!$S$362:$S$373</c:f>
              <c:numCache>
                <c:formatCode>0.0</c:formatCode>
                <c:ptCount val="12"/>
                <c:pt idx="0">
                  <c:v>30.925999999999998</c:v>
                </c:pt>
                <c:pt idx="1">
                  <c:v>26.971</c:v>
                </c:pt>
                <c:pt idx="2">
                  <c:v>26.542000000000002</c:v>
                </c:pt>
                <c:pt idx="3">
                  <c:v>26.47</c:v>
                </c:pt>
                <c:pt idx="4">
                  <c:v>28.751000000000001</c:v>
                </c:pt>
                <c:pt idx="5">
                  <c:v>34.173000000000002</c:v>
                </c:pt>
                <c:pt idx="6">
                  <c:v>30.933</c:v>
                </c:pt>
                <c:pt idx="7">
                  <c:v>28.852</c:v>
                </c:pt>
                <c:pt idx="8">
                  <c:v>24.077000000000002</c:v>
                </c:pt>
                <c:pt idx="9">
                  <c:v>28.776</c:v>
                </c:pt>
                <c:pt idx="10">
                  <c:v>26.393000000000001</c:v>
                </c:pt>
                <c:pt idx="11">
                  <c:v>24.852</c:v>
                </c:pt>
              </c:numCache>
            </c:numRef>
          </c:xVal>
          <c:yVal>
            <c:numRef>
              <c:f>'2022 Expectations'!$S$405:$S$416</c:f>
              <c:numCache>
                <c:formatCode>General</c:formatCode>
                <c:ptCount val="12"/>
                <c:pt idx="0">
                  <c:v>9.190685483189462</c:v>
                </c:pt>
                <c:pt idx="1">
                  <c:v>16.923306514700172</c:v>
                </c:pt>
                <c:pt idx="2">
                  <c:v>12.830729912169346</c:v>
                </c:pt>
                <c:pt idx="3">
                  <c:v>11.055570387923252</c:v>
                </c:pt>
                <c:pt idx="4">
                  <c:v>13.714980737780866</c:v>
                </c:pt>
                <c:pt idx="5">
                  <c:v>2.84184715956687</c:v>
                </c:pt>
                <c:pt idx="6">
                  <c:v>3.0772427382400571</c:v>
                </c:pt>
                <c:pt idx="7">
                  <c:v>-1.0927081293381915</c:v>
                </c:pt>
                <c:pt idx="8">
                  <c:v>1.4964758023277376</c:v>
                </c:pt>
                <c:pt idx="9">
                  <c:v>7.6246488856835839</c:v>
                </c:pt>
                <c:pt idx="10">
                  <c:v>9.0885160094979831</c:v>
                </c:pt>
                <c:pt idx="11">
                  <c:v>4.1418593390595824</c:v>
                </c:pt>
              </c:numCache>
            </c:numRef>
          </c:yVal>
          <c:smooth val="0"/>
          <c:extLst>
            <c:ext xmlns:c16="http://schemas.microsoft.com/office/drawing/2014/chart" uri="{C3380CC4-5D6E-409C-BE32-E72D297353CC}">
              <c16:uniqueId val="{00000001-70D6-457A-A8BB-DAB3DFA5430D}"/>
            </c:ext>
          </c:extLst>
        </c:ser>
        <c:dLbls>
          <c:showLegendKey val="0"/>
          <c:showVal val="0"/>
          <c:showCatName val="0"/>
          <c:showSerName val="0"/>
          <c:showPercent val="0"/>
          <c:showBubbleSize val="0"/>
        </c:dLbls>
        <c:axId val="655244319"/>
        <c:axId val="655237247"/>
      </c:scatterChart>
      <c:valAx>
        <c:axId val="655244319"/>
        <c:scaling>
          <c:orientation val="minMax"/>
        </c:scaling>
        <c:delete val="0"/>
        <c:axPos val="b"/>
        <c:title>
          <c:tx>
            <c:rich>
              <a:bodyPr/>
              <a:lstStyle/>
              <a:p>
                <a:pPr>
                  <a:defRPr/>
                </a:pPr>
                <a:r>
                  <a:rPr lang="en-US"/>
                  <a:t>Investments</a:t>
                </a:r>
              </a:p>
            </c:rich>
          </c:tx>
          <c:overlay val="0"/>
        </c:title>
        <c:numFmt formatCode="0.0" sourceLinked="1"/>
        <c:majorTickMark val="out"/>
        <c:minorTickMark val="none"/>
        <c:tickLblPos val="nextTo"/>
        <c:crossAx val="655237247"/>
        <c:crosses val="autoZero"/>
        <c:crossBetween val="midCat"/>
      </c:valAx>
      <c:valAx>
        <c:axId val="655237247"/>
        <c:scaling>
          <c:orientation val="minMax"/>
        </c:scaling>
        <c:delete val="0"/>
        <c:axPos val="l"/>
        <c:title>
          <c:tx>
            <c:rich>
              <a:bodyPr/>
              <a:lstStyle/>
              <a:p>
                <a:pPr>
                  <a:defRPr/>
                </a:pPr>
                <a:r>
                  <a:rPr lang="en-US"/>
                  <a:t>Private Credit growth</a:t>
                </a:r>
              </a:p>
            </c:rich>
          </c:tx>
          <c:overlay val="0"/>
        </c:title>
        <c:numFmt formatCode="General" sourceLinked="1"/>
        <c:majorTickMark val="out"/>
        <c:minorTickMark val="none"/>
        <c:tickLblPos val="nextTo"/>
        <c:crossAx val="65524431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55125</xdr:colOff>
      <xdr:row>2</xdr:row>
      <xdr:rowOff>83400</xdr:rowOff>
    </xdr:to>
    <xdr:pic>
      <xdr:nvPicPr>
        <xdr:cNvPr id="2" name="Picture 1">
          <a:extLst>
            <a:ext uri="{FF2B5EF4-FFF2-40B4-BE49-F238E27FC236}">
              <a16:creationId xmlns:a16="http://schemas.microsoft.com/office/drawing/2014/main" id="{039A6008-1597-4DB1-BF15-A08B9BC020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941200" cy="46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112059</xdr:rowOff>
    </xdr:from>
    <xdr:to>
      <xdr:col>4</xdr:col>
      <xdr:colOff>160481</xdr:colOff>
      <xdr:row>3</xdr:row>
      <xdr:rowOff>150083</xdr:rowOff>
    </xdr:to>
    <xdr:pic>
      <xdr:nvPicPr>
        <xdr:cNvPr id="2" name="Picture 1">
          <a:extLst>
            <a:ext uri="{FF2B5EF4-FFF2-40B4-BE49-F238E27FC236}">
              <a16:creationId xmlns:a16="http://schemas.microsoft.com/office/drawing/2014/main" id="{140017AE-5223-40A1-A086-34032EB8248C}"/>
            </a:ext>
          </a:extLst>
        </xdr:cNvPr>
        <xdr:cNvPicPr>
          <a:picLocks noChangeAspect="1"/>
        </xdr:cNvPicPr>
      </xdr:nvPicPr>
      <xdr:blipFill>
        <a:blip xmlns:r="http://schemas.openxmlformats.org/officeDocument/2006/relationships" r:embed="rId1"/>
        <a:stretch>
          <a:fillRect/>
        </a:stretch>
      </xdr:blipFill>
      <xdr:spPr>
        <a:xfrm>
          <a:off x="0" y="112059"/>
          <a:ext cx="2580952" cy="609524"/>
        </a:xfrm>
        <a:prstGeom prst="rect">
          <a:avLst/>
        </a:prstGeom>
      </xdr:spPr>
    </xdr:pic>
    <xdr:clientData/>
  </xdr:twoCellAnchor>
  <xdr:twoCellAnchor editAs="oneCell">
    <xdr:from>
      <xdr:col>4</xdr:col>
      <xdr:colOff>134470</xdr:colOff>
      <xdr:row>0</xdr:row>
      <xdr:rowOff>134471</xdr:rowOff>
    </xdr:from>
    <xdr:to>
      <xdr:col>8</xdr:col>
      <xdr:colOff>218762</xdr:colOff>
      <xdr:row>3</xdr:row>
      <xdr:rowOff>48685</xdr:rowOff>
    </xdr:to>
    <xdr:pic>
      <xdr:nvPicPr>
        <xdr:cNvPr id="3" name="Picture 2">
          <a:extLst>
            <a:ext uri="{FF2B5EF4-FFF2-40B4-BE49-F238E27FC236}">
              <a16:creationId xmlns:a16="http://schemas.microsoft.com/office/drawing/2014/main" id="{56A02901-19F2-4961-A6BA-FEE137C62E21}"/>
            </a:ext>
          </a:extLst>
        </xdr:cNvPr>
        <xdr:cNvPicPr>
          <a:picLocks noChangeAspect="1"/>
        </xdr:cNvPicPr>
      </xdr:nvPicPr>
      <xdr:blipFill>
        <a:blip xmlns:r="http://schemas.openxmlformats.org/officeDocument/2006/relationships" r:embed="rId2"/>
        <a:stretch>
          <a:fillRect/>
        </a:stretch>
      </xdr:blipFill>
      <xdr:spPr>
        <a:xfrm>
          <a:off x="2554941" y="134471"/>
          <a:ext cx="2504762" cy="485714"/>
        </a:xfrm>
        <a:prstGeom prst="rect">
          <a:avLst/>
        </a:prstGeom>
      </xdr:spPr>
    </xdr:pic>
    <xdr:clientData/>
  </xdr:twoCellAnchor>
  <xdr:twoCellAnchor>
    <xdr:from>
      <xdr:col>28</xdr:col>
      <xdr:colOff>347381</xdr:colOff>
      <xdr:row>1</xdr:row>
      <xdr:rowOff>44824</xdr:rowOff>
    </xdr:from>
    <xdr:to>
      <xdr:col>28</xdr:col>
      <xdr:colOff>571500</xdr:colOff>
      <xdr:row>2</xdr:row>
      <xdr:rowOff>11205</xdr:rowOff>
    </xdr:to>
    <xdr:sp macro="" textlink="">
      <xdr:nvSpPr>
        <xdr:cNvPr id="4" name="Arrow: Left 3">
          <a:extLst>
            <a:ext uri="{FF2B5EF4-FFF2-40B4-BE49-F238E27FC236}">
              <a16:creationId xmlns:a16="http://schemas.microsoft.com/office/drawing/2014/main" id="{9DDB8597-7EC3-4F1E-BAE5-41DC4A94E409}"/>
            </a:ext>
          </a:extLst>
        </xdr:cNvPr>
        <xdr:cNvSpPr/>
      </xdr:nvSpPr>
      <xdr:spPr>
        <a:xfrm>
          <a:off x="17290675" y="235324"/>
          <a:ext cx="224119" cy="15688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333375</xdr:colOff>
      <xdr:row>1</xdr:row>
      <xdr:rowOff>47625</xdr:rowOff>
    </xdr:from>
    <xdr:to>
      <xdr:col>13</xdr:col>
      <xdr:colOff>557494</xdr:colOff>
      <xdr:row>2</xdr:row>
      <xdr:rowOff>14006</xdr:rowOff>
    </xdr:to>
    <xdr:sp macro="" textlink="">
      <xdr:nvSpPr>
        <xdr:cNvPr id="2" name="Arrow: Left 1">
          <a:extLst>
            <a:ext uri="{FF2B5EF4-FFF2-40B4-BE49-F238E27FC236}">
              <a16:creationId xmlns:a16="http://schemas.microsoft.com/office/drawing/2014/main" id="{058F5B3A-420F-440D-ADC5-6A154BDC3A89}"/>
            </a:ext>
          </a:extLst>
        </xdr:cNvPr>
        <xdr:cNvSpPr/>
      </xdr:nvSpPr>
      <xdr:spPr>
        <a:xfrm>
          <a:off x="8258175" y="238125"/>
          <a:ext cx="224119" cy="15688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4</xdr:col>
      <xdr:colOff>142552</xdr:colOff>
      <xdr:row>3</xdr:row>
      <xdr:rowOff>38024</xdr:rowOff>
    </xdr:to>
    <xdr:pic>
      <xdr:nvPicPr>
        <xdr:cNvPr id="3" name="Picture 2">
          <a:extLst>
            <a:ext uri="{FF2B5EF4-FFF2-40B4-BE49-F238E27FC236}">
              <a16:creationId xmlns:a16="http://schemas.microsoft.com/office/drawing/2014/main" id="{511B12E6-9D33-4E2A-B445-225181100F23}"/>
            </a:ext>
          </a:extLst>
        </xdr:cNvPr>
        <xdr:cNvPicPr>
          <a:picLocks noChangeAspect="1"/>
        </xdr:cNvPicPr>
      </xdr:nvPicPr>
      <xdr:blipFill>
        <a:blip xmlns:r="http://schemas.openxmlformats.org/officeDocument/2006/relationships" r:embed="rId1"/>
        <a:stretch>
          <a:fillRect/>
        </a:stretch>
      </xdr:blipFill>
      <xdr:spPr>
        <a:xfrm>
          <a:off x="0" y="0"/>
          <a:ext cx="2580952" cy="609524"/>
        </a:xfrm>
        <a:prstGeom prst="rect">
          <a:avLst/>
        </a:prstGeom>
      </xdr:spPr>
    </xdr:pic>
    <xdr:clientData/>
  </xdr:twoCellAnchor>
  <xdr:twoCellAnchor editAs="oneCell">
    <xdr:from>
      <xdr:col>4</xdr:col>
      <xdr:colOff>133350</xdr:colOff>
      <xdr:row>0</xdr:row>
      <xdr:rowOff>85725</xdr:rowOff>
    </xdr:from>
    <xdr:to>
      <xdr:col>8</xdr:col>
      <xdr:colOff>199712</xdr:colOff>
      <xdr:row>2</xdr:row>
      <xdr:rowOff>190439</xdr:rowOff>
    </xdr:to>
    <xdr:pic>
      <xdr:nvPicPr>
        <xdr:cNvPr id="4" name="Picture 3">
          <a:extLst>
            <a:ext uri="{FF2B5EF4-FFF2-40B4-BE49-F238E27FC236}">
              <a16:creationId xmlns:a16="http://schemas.microsoft.com/office/drawing/2014/main" id="{4FCA8320-03FC-41E4-950B-180B56B1B018}"/>
            </a:ext>
          </a:extLst>
        </xdr:cNvPr>
        <xdr:cNvPicPr>
          <a:picLocks noChangeAspect="1"/>
        </xdr:cNvPicPr>
      </xdr:nvPicPr>
      <xdr:blipFill>
        <a:blip xmlns:r="http://schemas.openxmlformats.org/officeDocument/2006/relationships" r:embed="rId2"/>
        <a:stretch>
          <a:fillRect/>
        </a:stretch>
      </xdr:blipFill>
      <xdr:spPr>
        <a:xfrm>
          <a:off x="2571750" y="85725"/>
          <a:ext cx="2504762" cy="4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9525</xdr:colOff>
      <xdr:row>4</xdr:row>
      <xdr:rowOff>185530</xdr:rowOff>
    </xdr:from>
    <xdr:to>
      <xdr:col>15</xdr:col>
      <xdr:colOff>37684</xdr:colOff>
      <xdr:row>15</xdr:row>
      <xdr:rowOff>133350</xdr:rowOff>
    </xdr:to>
    <xdr:graphicFrame macro="">
      <xdr:nvGraphicFramePr>
        <xdr:cNvPr id="2" name="Chart 1">
          <a:extLst>
            <a:ext uri="{FF2B5EF4-FFF2-40B4-BE49-F238E27FC236}">
              <a16:creationId xmlns:a16="http://schemas.microsoft.com/office/drawing/2014/main" id="{BD59639B-532E-4F54-B9BE-F24E60667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152399</xdr:rowOff>
    </xdr:from>
    <xdr:to>
      <xdr:col>15</xdr:col>
      <xdr:colOff>48375</xdr:colOff>
      <xdr:row>26</xdr:row>
      <xdr:rowOff>141299</xdr:rowOff>
    </xdr:to>
    <xdr:graphicFrame macro="">
      <xdr:nvGraphicFramePr>
        <xdr:cNvPr id="3" name="Chart 2">
          <a:extLst>
            <a:ext uri="{FF2B5EF4-FFF2-40B4-BE49-F238E27FC236}">
              <a16:creationId xmlns:a16="http://schemas.microsoft.com/office/drawing/2014/main" id="{3DF9170A-398A-42ED-A6EB-B97F0600C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57149</xdr:colOff>
      <xdr:row>4</xdr:row>
      <xdr:rowOff>181388</xdr:rowOff>
    </xdr:from>
    <xdr:to>
      <xdr:col>19</xdr:col>
      <xdr:colOff>255374</xdr:colOff>
      <xdr:row>15</xdr:row>
      <xdr:rowOff>130688</xdr:rowOff>
    </xdr:to>
    <xdr:graphicFrame macro="">
      <xdr:nvGraphicFramePr>
        <xdr:cNvPr id="4" name="Chart 3">
          <a:extLst>
            <a:ext uri="{FF2B5EF4-FFF2-40B4-BE49-F238E27FC236}">
              <a16:creationId xmlns:a16="http://schemas.microsoft.com/office/drawing/2014/main" id="{0695624B-7A80-423E-9742-910E8F723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66259</xdr:colOff>
      <xdr:row>15</xdr:row>
      <xdr:rowOff>152400</xdr:rowOff>
    </xdr:from>
    <xdr:to>
      <xdr:col>19</xdr:col>
      <xdr:colOff>264484</xdr:colOff>
      <xdr:row>26</xdr:row>
      <xdr:rowOff>142874</xdr:rowOff>
    </xdr:to>
    <xdr:graphicFrame macro="">
      <xdr:nvGraphicFramePr>
        <xdr:cNvPr id="5" name="Chart 4">
          <a:extLst>
            <a:ext uri="{FF2B5EF4-FFF2-40B4-BE49-F238E27FC236}">
              <a16:creationId xmlns:a16="http://schemas.microsoft.com/office/drawing/2014/main" id="{C219243B-686E-480A-A459-938E582F1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26</xdr:row>
      <xdr:rowOff>161925</xdr:rowOff>
    </xdr:from>
    <xdr:to>
      <xdr:col>19</xdr:col>
      <xdr:colOff>276225</xdr:colOff>
      <xdr:row>38</xdr:row>
      <xdr:rowOff>85725</xdr:rowOff>
    </xdr:to>
    <xdr:graphicFrame macro="">
      <xdr:nvGraphicFramePr>
        <xdr:cNvPr id="6" name="Chart 5">
          <a:extLst>
            <a:ext uri="{FF2B5EF4-FFF2-40B4-BE49-F238E27FC236}">
              <a16:creationId xmlns:a16="http://schemas.microsoft.com/office/drawing/2014/main" id="{0A9A0B73-57B3-426E-9BB4-082F220A6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390525</xdr:colOff>
      <xdr:row>1</xdr:row>
      <xdr:rowOff>47626</xdr:rowOff>
    </xdr:from>
    <xdr:to>
      <xdr:col>17</xdr:col>
      <xdr:colOff>628650</xdr:colOff>
      <xdr:row>2</xdr:row>
      <xdr:rowOff>9526</xdr:rowOff>
    </xdr:to>
    <xdr:sp macro="" textlink="">
      <xdr:nvSpPr>
        <xdr:cNvPr id="10" name="Arrow: Left 9">
          <a:extLst>
            <a:ext uri="{FF2B5EF4-FFF2-40B4-BE49-F238E27FC236}">
              <a16:creationId xmlns:a16="http://schemas.microsoft.com/office/drawing/2014/main" id="{FC3283FC-1A4C-4CDA-92D0-A5095323CF01}"/>
            </a:ext>
          </a:extLst>
        </xdr:cNvPr>
        <xdr:cNvSpPr/>
      </xdr:nvSpPr>
      <xdr:spPr>
        <a:xfrm>
          <a:off x="13982700" y="47626"/>
          <a:ext cx="238125" cy="152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76200</xdr:rowOff>
    </xdr:from>
    <xdr:to>
      <xdr:col>3</xdr:col>
      <xdr:colOff>85402</xdr:colOff>
      <xdr:row>3</xdr:row>
      <xdr:rowOff>114224</xdr:rowOff>
    </xdr:to>
    <xdr:pic>
      <xdr:nvPicPr>
        <xdr:cNvPr id="12" name="Picture 11">
          <a:extLst>
            <a:ext uri="{FF2B5EF4-FFF2-40B4-BE49-F238E27FC236}">
              <a16:creationId xmlns:a16="http://schemas.microsoft.com/office/drawing/2014/main" id="{11B82ABE-DEA2-47C0-B15D-01E6BAE3F349}"/>
            </a:ext>
          </a:extLst>
        </xdr:cNvPr>
        <xdr:cNvPicPr>
          <a:picLocks noChangeAspect="1"/>
        </xdr:cNvPicPr>
      </xdr:nvPicPr>
      <xdr:blipFill>
        <a:blip xmlns:r="http://schemas.openxmlformats.org/officeDocument/2006/relationships" r:embed="rId6"/>
        <a:stretch>
          <a:fillRect/>
        </a:stretch>
      </xdr:blipFill>
      <xdr:spPr>
        <a:xfrm>
          <a:off x="0" y="76200"/>
          <a:ext cx="2580952" cy="609524"/>
        </a:xfrm>
        <a:prstGeom prst="rect">
          <a:avLst/>
        </a:prstGeom>
      </xdr:spPr>
    </xdr:pic>
    <xdr:clientData/>
  </xdr:twoCellAnchor>
  <xdr:twoCellAnchor editAs="oneCell">
    <xdr:from>
      <xdr:col>2</xdr:col>
      <xdr:colOff>1352550</xdr:colOff>
      <xdr:row>0</xdr:row>
      <xdr:rowOff>161925</xdr:rowOff>
    </xdr:from>
    <xdr:to>
      <xdr:col>5</xdr:col>
      <xdr:colOff>314012</xdr:colOff>
      <xdr:row>3</xdr:row>
      <xdr:rowOff>76139</xdr:rowOff>
    </xdr:to>
    <xdr:pic>
      <xdr:nvPicPr>
        <xdr:cNvPr id="13" name="Picture 12">
          <a:extLst>
            <a:ext uri="{FF2B5EF4-FFF2-40B4-BE49-F238E27FC236}">
              <a16:creationId xmlns:a16="http://schemas.microsoft.com/office/drawing/2014/main" id="{416EBCE7-D475-4866-893F-570FE10520F4}"/>
            </a:ext>
          </a:extLst>
        </xdr:cNvPr>
        <xdr:cNvPicPr>
          <a:picLocks noChangeAspect="1"/>
        </xdr:cNvPicPr>
      </xdr:nvPicPr>
      <xdr:blipFill>
        <a:blip xmlns:r="http://schemas.openxmlformats.org/officeDocument/2006/relationships" r:embed="rId7"/>
        <a:stretch>
          <a:fillRect/>
        </a:stretch>
      </xdr:blipFill>
      <xdr:spPr>
        <a:xfrm>
          <a:off x="2571750" y="161925"/>
          <a:ext cx="2504762" cy="4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26</xdr:col>
      <xdr:colOff>238125</xdr:colOff>
      <xdr:row>380</xdr:row>
      <xdr:rowOff>180975</xdr:rowOff>
    </xdr:from>
    <xdr:to>
      <xdr:col>32</xdr:col>
      <xdr:colOff>238125</xdr:colOff>
      <xdr:row>390</xdr:row>
      <xdr:rowOff>180975</xdr:rowOff>
    </xdr:to>
    <xdr:graphicFrame macro="">
      <xdr:nvGraphicFramePr>
        <xdr:cNvPr id="3" name="Chart 2">
          <a:extLst>
            <a:ext uri="{FF2B5EF4-FFF2-40B4-BE49-F238E27FC236}">
              <a16:creationId xmlns:a16="http://schemas.microsoft.com/office/drawing/2014/main" id="{93C2C359-F19C-43FC-9780-10BAC3CE4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238125</xdr:colOff>
      <xdr:row>382</xdr:row>
      <xdr:rowOff>180975</xdr:rowOff>
    </xdr:from>
    <xdr:to>
      <xdr:col>33</xdr:col>
      <xdr:colOff>238125</xdr:colOff>
      <xdr:row>392</xdr:row>
      <xdr:rowOff>180975</xdr:rowOff>
    </xdr:to>
    <xdr:graphicFrame macro="">
      <xdr:nvGraphicFramePr>
        <xdr:cNvPr id="4" name="Chart 3">
          <a:extLst>
            <a:ext uri="{FF2B5EF4-FFF2-40B4-BE49-F238E27FC236}">
              <a16:creationId xmlns:a16="http://schemas.microsoft.com/office/drawing/2014/main" id="{1F7C2B78-25A5-4C22-BA81-6E19AD008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238125</xdr:colOff>
      <xdr:row>384</xdr:row>
      <xdr:rowOff>180975</xdr:rowOff>
    </xdr:from>
    <xdr:to>
      <xdr:col>34</xdr:col>
      <xdr:colOff>238125</xdr:colOff>
      <xdr:row>394</xdr:row>
      <xdr:rowOff>180975</xdr:rowOff>
    </xdr:to>
    <xdr:graphicFrame macro="">
      <xdr:nvGraphicFramePr>
        <xdr:cNvPr id="5" name="Chart 4">
          <a:extLst>
            <a:ext uri="{FF2B5EF4-FFF2-40B4-BE49-F238E27FC236}">
              <a16:creationId xmlns:a16="http://schemas.microsoft.com/office/drawing/2014/main" id="{954AD7EB-7686-4A4D-9560-495A122A8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238125</xdr:colOff>
      <xdr:row>380</xdr:row>
      <xdr:rowOff>180975</xdr:rowOff>
    </xdr:from>
    <xdr:to>
      <xdr:col>32</xdr:col>
      <xdr:colOff>238125</xdr:colOff>
      <xdr:row>390</xdr:row>
      <xdr:rowOff>180975</xdr:rowOff>
    </xdr:to>
    <xdr:graphicFrame macro="">
      <xdr:nvGraphicFramePr>
        <xdr:cNvPr id="6" name="Chart 5">
          <a:extLst>
            <a:ext uri="{FF2B5EF4-FFF2-40B4-BE49-F238E27FC236}">
              <a16:creationId xmlns:a16="http://schemas.microsoft.com/office/drawing/2014/main" id="{46AF9A85-FCB1-4F93-869B-41C949794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238125</xdr:colOff>
      <xdr:row>380</xdr:row>
      <xdr:rowOff>180975</xdr:rowOff>
    </xdr:from>
    <xdr:to>
      <xdr:col>32</xdr:col>
      <xdr:colOff>238125</xdr:colOff>
      <xdr:row>390</xdr:row>
      <xdr:rowOff>180975</xdr:rowOff>
    </xdr:to>
    <xdr:graphicFrame macro="">
      <xdr:nvGraphicFramePr>
        <xdr:cNvPr id="7" name="Chart 6">
          <a:extLst>
            <a:ext uri="{FF2B5EF4-FFF2-40B4-BE49-F238E27FC236}">
              <a16:creationId xmlns:a16="http://schemas.microsoft.com/office/drawing/2014/main" id="{A843D032-703C-4B1A-8FF6-854946A6B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238125</xdr:colOff>
      <xdr:row>380</xdr:row>
      <xdr:rowOff>180975</xdr:rowOff>
    </xdr:from>
    <xdr:to>
      <xdr:col>32</xdr:col>
      <xdr:colOff>238125</xdr:colOff>
      <xdr:row>390</xdr:row>
      <xdr:rowOff>180975</xdr:rowOff>
    </xdr:to>
    <xdr:graphicFrame macro="">
      <xdr:nvGraphicFramePr>
        <xdr:cNvPr id="8" name="Chart 7">
          <a:extLst>
            <a:ext uri="{FF2B5EF4-FFF2-40B4-BE49-F238E27FC236}">
              <a16:creationId xmlns:a16="http://schemas.microsoft.com/office/drawing/2014/main" id="{18427B26-7558-4C25-9B69-624DCBF53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238125</xdr:colOff>
      <xdr:row>382</xdr:row>
      <xdr:rowOff>180975</xdr:rowOff>
    </xdr:from>
    <xdr:to>
      <xdr:col>33</xdr:col>
      <xdr:colOff>238125</xdr:colOff>
      <xdr:row>392</xdr:row>
      <xdr:rowOff>180975</xdr:rowOff>
    </xdr:to>
    <xdr:graphicFrame macro="">
      <xdr:nvGraphicFramePr>
        <xdr:cNvPr id="9" name="Chart 8">
          <a:extLst>
            <a:ext uri="{FF2B5EF4-FFF2-40B4-BE49-F238E27FC236}">
              <a16:creationId xmlns:a16="http://schemas.microsoft.com/office/drawing/2014/main" id="{A0AED230-A860-46FC-80D3-E5AA8E740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238125</xdr:colOff>
      <xdr:row>379</xdr:row>
      <xdr:rowOff>180975</xdr:rowOff>
    </xdr:from>
    <xdr:to>
      <xdr:col>32</xdr:col>
      <xdr:colOff>238125</xdr:colOff>
      <xdr:row>389</xdr:row>
      <xdr:rowOff>190500</xdr:rowOff>
    </xdr:to>
    <xdr:graphicFrame macro="">
      <xdr:nvGraphicFramePr>
        <xdr:cNvPr id="10" name="Chart 9">
          <a:extLst>
            <a:ext uri="{FF2B5EF4-FFF2-40B4-BE49-F238E27FC236}">
              <a16:creationId xmlns:a16="http://schemas.microsoft.com/office/drawing/2014/main" id="{0EFDC341-A454-42F6-8F38-9AF0B8AF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238125</xdr:colOff>
      <xdr:row>381</xdr:row>
      <xdr:rowOff>190500</xdr:rowOff>
    </xdr:from>
    <xdr:to>
      <xdr:col>33</xdr:col>
      <xdr:colOff>238125</xdr:colOff>
      <xdr:row>391</xdr:row>
      <xdr:rowOff>180975</xdr:rowOff>
    </xdr:to>
    <xdr:graphicFrame macro="">
      <xdr:nvGraphicFramePr>
        <xdr:cNvPr id="11" name="Chart 10">
          <a:extLst>
            <a:ext uri="{FF2B5EF4-FFF2-40B4-BE49-F238E27FC236}">
              <a16:creationId xmlns:a16="http://schemas.microsoft.com/office/drawing/2014/main" id="{0751FEC8-57D0-4F25-8536-2567E6873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238125</xdr:colOff>
      <xdr:row>377</xdr:row>
      <xdr:rowOff>180975</xdr:rowOff>
    </xdr:from>
    <xdr:to>
      <xdr:col>32</xdr:col>
      <xdr:colOff>238125</xdr:colOff>
      <xdr:row>388</xdr:row>
      <xdr:rowOff>0</xdr:rowOff>
    </xdr:to>
    <xdr:graphicFrame macro="">
      <xdr:nvGraphicFramePr>
        <xdr:cNvPr id="12" name="Chart 11">
          <a:extLst>
            <a:ext uri="{FF2B5EF4-FFF2-40B4-BE49-F238E27FC236}">
              <a16:creationId xmlns:a16="http://schemas.microsoft.com/office/drawing/2014/main" id="{A738FAA6-0FE2-4FAA-A04A-6B50FE5C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238125</xdr:colOff>
      <xdr:row>380</xdr:row>
      <xdr:rowOff>0</xdr:rowOff>
    </xdr:from>
    <xdr:to>
      <xdr:col>33</xdr:col>
      <xdr:colOff>238125</xdr:colOff>
      <xdr:row>389</xdr:row>
      <xdr:rowOff>190500</xdr:rowOff>
    </xdr:to>
    <xdr:graphicFrame macro="">
      <xdr:nvGraphicFramePr>
        <xdr:cNvPr id="13" name="Chart 12">
          <a:extLst>
            <a:ext uri="{FF2B5EF4-FFF2-40B4-BE49-F238E27FC236}">
              <a16:creationId xmlns:a16="http://schemas.microsoft.com/office/drawing/2014/main" id="{E61DF996-7322-4416-B37D-4F44E9409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238125</xdr:colOff>
      <xdr:row>381</xdr:row>
      <xdr:rowOff>190500</xdr:rowOff>
    </xdr:from>
    <xdr:to>
      <xdr:col>34</xdr:col>
      <xdr:colOff>238125</xdr:colOff>
      <xdr:row>392</xdr:row>
      <xdr:rowOff>0</xdr:rowOff>
    </xdr:to>
    <xdr:graphicFrame macro="">
      <xdr:nvGraphicFramePr>
        <xdr:cNvPr id="14" name="Chart 13">
          <a:extLst>
            <a:ext uri="{FF2B5EF4-FFF2-40B4-BE49-F238E27FC236}">
              <a16:creationId xmlns:a16="http://schemas.microsoft.com/office/drawing/2014/main" id="{96A79D08-55EF-4B4C-B7FA-AC2266252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238125</xdr:colOff>
      <xdr:row>377</xdr:row>
      <xdr:rowOff>180975</xdr:rowOff>
    </xdr:from>
    <xdr:to>
      <xdr:col>32</xdr:col>
      <xdr:colOff>238125</xdr:colOff>
      <xdr:row>388</xdr:row>
      <xdr:rowOff>0</xdr:rowOff>
    </xdr:to>
    <xdr:graphicFrame macro="">
      <xdr:nvGraphicFramePr>
        <xdr:cNvPr id="15" name="Chart 14">
          <a:extLst>
            <a:ext uri="{FF2B5EF4-FFF2-40B4-BE49-F238E27FC236}">
              <a16:creationId xmlns:a16="http://schemas.microsoft.com/office/drawing/2014/main" id="{1C82E33F-1EE7-42DD-9987-4BA7F87DD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44</xdr:col>
      <xdr:colOff>432766</xdr:colOff>
      <xdr:row>58</xdr:row>
      <xdr:rowOff>171451</xdr:rowOff>
    </xdr:from>
    <xdr:ext cx="4669066" cy="2310848"/>
    <xdr:pic>
      <xdr:nvPicPr>
        <xdr:cNvPr id="17" name="Picture 16">
          <a:extLst>
            <a:ext uri="{FF2B5EF4-FFF2-40B4-BE49-F238E27FC236}">
              <a16:creationId xmlns:a16="http://schemas.microsoft.com/office/drawing/2014/main" id="{F8D6D87C-49F8-4468-BC87-A0E796A49E6B}"/>
            </a:ext>
          </a:extLst>
        </xdr:cNvPr>
        <xdr:cNvPicPr>
          <a:picLocks noChangeAspect="1"/>
        </xdr:cNvPicPr>
      </xdr:nvPicPr>
      <xdr:blipFill>
        <a:blip xmlns:r="http://schemas.openxmlformats.org/officeDocument/2006/relationships" r:embed="rId14"/>
        <a:stretch>
          <a:fillRect/>
        </a:stretch>
      </xdr:blipFill>
      <xdr:spPr>
        <a:xfrm>
          <a:off x="10862641" y="19411951"/>
          <a:ext cx="4669066" cy="231084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tabSelected="1" workbookViewId="0">
      <selection activeCell="B15" sqref="B15"/>
    </sheetView>
  </sheetViews>
  <sheetFormatPr defaultColWidth="9.109375" defaultRowHeight="14.4" x14ac:dyDescent="0.3"/>
  <cols>
    <col min="1" max="1" width="9.109375" style="207"/>
    <col min="2" max="2" width="43.33203125" style="207" customWidth="1"/>
    <col min="3" max="16384" width="9.109375" style="207"/>
  </cols>
  <sheetData>
    <row r="1" spans="1:10" x14ac:dyDescent="0.3">
      <c r="A1"/>
      <c r="B1"/>
      <c r="C1"/>
      <c r="D1"/>
      <c r="E1"/>
      <c r="F1"/>
      <c r="G1"/>
      <c r="H1"/>
      <c r="I1"/>
      <c r="J1"/>
    </row>
    <row r="2" spans="1:10" x14ac:dyDescent="0.3">
      <c r="A2"/>
      <c r="B2"/>
      <c r="C2"/>
      <c r="D2"/>
      <c r="E2"/>
      <c r="F2"/>
      <c r="G2"/>
      <c r="H2"/>
      <c r="I2"/>
      <c r="J2"/>
    </row>
    <row r="3" spans="1:10" x14ac:dyDescent="0.3">
      <c r="A3"/>
      <c r="B3"/>
      <c r="C3"/>
      <c r="D3"/>
      <c r="E3"/>
      <c r="F3"/>
      <c r="G3"/>
      <c r="H3"/>
      <c r="I3"/>
      <c r="J3"/>
    </row>
    <row r="4" spans="1:10" x14ac:dyDescent="0.3">
      <c r="A4"/>
      <c r="B4" s="302" t="s">
        <v>207</v>
      </c>
      <c r="C4" s="302"/>
      <c r="D4" s="302"/>
      <c r="E4" s="302"/>
      <c r="F4" s="302"/>
      <c r="G4" s="302"/>
      <c r="H4" s="302"/>
      <c r="I4"/>
      <c r="J4"/>
    </row>
    <row r="5" spans="1:10" x14ac:dyDescent="0.3">
      <c r="A5"/>
      <c r="B5" s="290" t="s">
        <v>213</v>
      </c>
      <c r="C5" s="201"/>
      <c r="D5" s="287" t="s">
        <v>208</v>
      </c>
      <c r="E5" s="287"/>
      <c r="F5" s="287"/>
      <c r="G5" s="287"/>
      <c r="H5" s="288"/>
      <c r="I5"/>
      <c r="J5"/>
    </row>
    <row r="6" spans="1:10" x14ac:dyDescent="0.3">
      <c r="A6"/>
      <c r="B6" s="296" t="s">
        <v>209</v>
      </c>
      <c r="C6" s="211"/>
      <c r="D6" s="297" t="s">
        <v>210</v>
      </c>
      <c r="E6" s="297"/>
      <c r="F6" s="297"/>
      <c r="G6" s="297"/>
      <c r="H6" s="298"/>
      <c r="I6"/>
      <c r="J6"/>
    </row>
    <row r="7" spans="1:10" x14ac:dyDescent="0.3">
      <c r="A7"/>
      <c r="B7" s="291"/>
      <c r="C7" s="196"/>
      <c r="D7" s="289"/>
      <c r="E7" s="289"/>
      <c r="F7" s="289"/>
      <c r="G7" s="289"/>
      <c r="H7" s="197"/>
      <c r="I7"/>
      <c r="J7"/>
    </row>
    <row r="8" spans="1:10" x14ac:dyDescent="0.3">
      <c r="A8"/>
      <c r="B8" s="292" t="s">
        <v>211</v>
      </c>
      <c r="C8" s="198" t="s">
        <v>211</v>
      </c>
      <c r="D8" s="289"/>
      <c r="E8" s="289"/>
      <c r="F8" s="289"/>
      <c r="G8" s="289"/>
      <c r="H8" s="197"/>
      <c r="I8"/>
      <c r="J8"/>
    </row>
    <row r="9" spans="1:10" x14ac:dyDescent="0.3">
      <c r="A9"/>
      <c r="B9" s="292" t="s">
        <v>222</v>
      </c>
      <c r="C9" s="198" t="s">
        <v>222</v>
      </c>
      <c r="D9" s="289"/>
      <c r="E9" s="289"/>
      <c r="F9" s="289"/>
      <c r="G9" s="289"/>
      <c r="H9" s="197"/>
      <c r="I9"/>
      <c r="J9"/>
    </row>
    <row r="10" spans="1:10" x14ac:dyDescent="0.3">
      <c r="A10"/>
      <c r="B10" s="292" t="s">
        <v>214</v>
      </c>
      <c r="C10" s="200" t="s">
        <v>212</v>
      </c>
      <c r="D10" s="205"/>
      <c r="E10" s="205"/>
      <c r="F10" s="205"/>
      <c r="G10" s="205"/>
      <c r="H10" s="199"/>
      <c r="I10"/>
      <c r="J10"/>
    </row>
    <row r="11" spans="1:10" s="209" customFormat="1" x14ac:dyDescent="0.3">
      <c r="A11" s="160"/>
      <c r="B11" s="291"/>
      <c r="C11" s="196"/>
      <c r="D11" s="205"/>
      <c r="E11" s="205"/>
      <c r="F11" s="205"/>
      <c r="G11" s="205"/>
      <c r="H11" s="199"/>
      <c r="I11" s="160"/>
      <c r="J11" s="160"/>
    </row>
    <row r="12" spans="1:10" x14ac:dyDescent="0.3">
      <c r="A12"/>
      <c r="B12" s="293"/>
      <c r="C12" s="202"/>
      <c r="D12" s="203"/>
      <c r="E12" s="203"/>
      <c r="F12" s="203"/>
      <c r="G12" s="203"/>
      <c r="H12" s="204"/>
      <c r="I12"/>
      <c r="J12"/>
    </row>
    <row r="13" spans="1:10" x14ac:dyDescent="0.3">
      <c r="A13"/>
      <c r="B13"/>
      <c r="C13"/>
      <c r="D13"/>
      <c r="E13"/>
      <c r="F13"/>
      <c r="G13"/>
      <c r="H13"/>
      <c r="I13"/>
      <c r="J13"/>
    </row>
    <row r="14" spans="1:10" x14ac:dyDescent="0.3">
      <c r="A14"/>
      <c r="B14"/>
      <c r="C14"/>
      <c r="D14"/>
      <c r="E14"/>
      <c r="F14"/>
      <c r="G14"/>
      <c r="H14"/>
      <c r="I14"/>
      <c r="J14"/>
    </row>
    <row r="15" spans="1:10" x14ac:dyDescent="0.3">
      <c r="A15"/>
      <c r="B15"/>
      <c r="C15"/>
      <c r="D15"/>
      <c r="E15"/>
      <c r="F15"/>
      <c r="G15"/>
      <c r="H15"/>
      <c r="I15"/>
      <c r="J15"/>
    </row>
    <row r="16" spans="1:10" x14ac:dyDescent="0.3">
      <c r="A16"/>
      <c r="B16"/>
      <c r="C16"/>
      <c r="D16"/>
      <c r="E16"/>
      <c r="F16"/>
      <c r="G16"/>
      <c r="H16"/>
      <c r="I16"/>
      <c r="J16"/>
    </row>
    <row r="17" spans="1:10" x14ac:dyDescent="0.3">
      <c r="A17"/>
      <c r="B17"/>
      <c r="C17"/>
      <c r="D17"/>
      <c r="E17"/>
      <c r="F17"/>
      <c r="G17"/>
      <c r="H17"/>
      <c r="I17"/>
      <c r="J17"/>
    </row>
  </sheetData>
  <mergeCells count="1">
    <mergeCell ref="B4:H4"/>
  </mergeCells>
  <hyperlinks>
    <hyperlink ref="C10" location="Dashboard!B2" display="Dash Board"/>
    <hyperlink ref="C8" location="Disclaimer!A1" display="Disclaimer"/>
    <hyperlink ref="C9" location="Assumptions!A1" display="Assumption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showGridLines="0" zoomScale="85" zoomScaleNormal="85" workbookViewId="0">
      <selection activeCell="L19" sqref="L19"/>
    </sheetView>
  </sheetViews>
  <sheetFormatPr defaultColWidth="9.109375" defaultRowHeight="14.4" x14ac:dyDescent="0.3"/>
  <cols>
    <col min="1" max="16384" width="9.109375" style="207"/>
  </cols>
  <sheetData>
    <row r="1" spans="1:32" x14ac:dyDescent="0.3">
      <c r="A1"/>
      <c r="B1"/>
      <c r="C1"/>
      <c r="D1"/>
      <c r="E1"/>
      <c r="F1"/>
      <c r="G1"/>
      <c r="H1"/>
      <c r="I1"/>
      <c r="J1"/>
      <c r="K1"/>
      <c r="L1"/>
      <c r="M1"/>
      <c r="N1"/>
      <c r="O1"/>
      <c r="P1"/>
      <c r="Q1"/>
      <c r="R1"/>
      <c r="S1"/>
      <c r="T1"/>
      <c r="U1"/>
      <c r="V1"/>
      <c r="W1"/>
      <c r="X1"/>
      <c r="Y1"/>
      <c r="Z1"/>
      <c r="AA1"/>
      <c r="AB1"/>
      <c r="AC1"/>
      <c r="AD1"/>
      <c r="AE1"/>
      <c r="AF1"/>
    </row>
    <row r="2" spans="1:32" x14ac:dyDescent="0.3">
      <c r="A2"/>
      <c r="B2"/>
      <c r="C2"/>
      <c r="D2"/>
      <c r="E2"/>
      <c r="F2"/>
      <c r="G2"/>
      <c r="H2"/>
      <c r="I2"/>
      <c r="J2"/>
      <c r="K2"/>
      <c r="L2"/>
      <c r="M2"/>
      <c r="N2"/>
      <c r="O2"/>
      <c r="P2"/>
      <c r="Q2"/>
      <c r="R2"/>
      <c r="S2"/>
      <c r="T2"/>
      <c r="U2"/>
      <c r="V2"/>
      <c r="W2"/>
      <c r="X2"/>
      <c r="Y2"/>
      <c r="Z2"/>
      <c r="AA2"/>
      <c r="AB2"/>
      <c r="AC2"/>
      <c r="AD2" s="299" t="s">
        <v>227</v>
      </c>
      <c r="AE2"/>
      <c r="AF2"/>
    </row>
    <row r="3" spans="1:32" x14ac:dyDescent="0.3">
      <c r="A3"/>
      <c r="B3"/>
      <c r="C3"/>
      <c r="D3"/>
      <c r="E3"/>
      <c r="F3"/>
      <c r="G3"/>
      <c r="H3"/>
      <c r="I3"/>
      <c r="J3"/>
      <c r="K3"/>
      <c r="L3"/>
      <c r="M3"/>
      <c r="N3"/>
      <c r="O3"/>
      <c r="P3"/>
      <c r="Q3"/>
      <c r="R3"/>
      <c r="S3"/>
      <c r="T3"/>
      <c r="U3"/>
      <c r="V3"/>
      <c r="W3"/>
      <c r="X3"/>
      <c r="Y3"/>
      <c r="Z3"/>
      <c r="AA3"/>
      <c r="AB3"/>
      <c r="AC3"/>
      <c r="AD3"/>
      <c r="AE3"/>
      <c r="AF3"/>
    </row>
    <row r="4" spans="1:32" x14ac:dyDescent="0.3">
      <c r="A4"/>
      <c r="B4"/>
      <c r="C4"/>
      <c r="D4"/>
      <c r="E4"/>
      <c r="F4"/>
      <c r="G4"/>
      <c r="H4"/>
      <c r="I4"/>
      <c r="J4"/>
      <c r="K4"/>
      <c r="L4"/>
      <c r="M4"/>
      <c r="N4"/>
      <c r="O4"/>
      <c r="P4"/>
      <c r="Q4"/>
      <c r="R4"/>
      <c r="S4"/>
      <c r="T4"/>
      <c r="U4"/>
      <c r="V4"/>
      <c r="W4"/>
      <c r="X4"/>
      <c r="Y4"/>
      <c r="Z4"/>
      <c r="AA4"/>
      <c r="AB4"/>
      <c r="AC4"/>
      <c r="AD4"/>
      <c r="AE4"/>
      <c r="AF4"/>
    </row>
    <row r="5" spans="1:32" ht="21" customHeight="1" x14ac:dyDescent="0.3">
      <c r="A5" s="304" t="s">
        <v>199</v>
      </c>
      <c r="B5" s="304"/>
      <c r="C5" s="304"/>
      <c r="D5" s="304"/>
      <c r="E5" s="304"/>
      <c r="F5" s="304"/>
      <c r="G5" s="304"/>
      <c r="H5" s="304"/>
      <c r="I5" s="304"/>
      <c r="J5" s="304"/>
      <c r="K5" s="304"/>
      <c r="L5" s="304"/>
      <c r="M5" s="304"/>
      <c r="N5" s="304"/>
      <c r="O5" s="304"/>
      <c r="P5" s="304"/>
      <c r="Q5" s="304"/>
      <c r="R5" s="304"/>
      <c r="S5" s="304"/>
      <c r="T5" s="304"/>
      <c r="U5" s="304"/>
      <c r="V5" s="304"/>
      <c r="W5" s="304"/>
      <c r="X5" s="304"/>
      <c r="Y5" s="304"/>
      <c r="Z5" s="304"/>
      <c r="AA5" s="304"/>
      <c r="AB5" s="304"/>
      <c r="AC5" s="304"/>
      <c r="AD5" s="304"/>
      <c r="AE5" s="304"/>
      <c r="AF5"/>
    </row>
    <row r="6" spans="1:32" x14ac:dyDescent="0.3">
      <c r="A6" s="305" t="s">
        <v>200</v>
      </c>
      <c r="B6" s="305"/>
      <c r="C6" s="305"/>
      <c r="D6" s="305"/>
      <c r="E6" s="305"/>
      <c r="F6" s="305"/>
      <c r="G6" s="305"/>
      <c r="H6" s="305"/>
      <c r="I6" s="305"/>
      <c r="J6" s="305"/>
      <c r="K6" s="305"/>
      <c r="L6" s="305"/>
      <c r="M6" s="305"/>
      <c r="N6" s="305"/>
      <c r="O6" s="305"/>
      <c r="P6" s="305"/>
      <c r="Q6" s="305"/>
      <c r="R6" s="305"/>
      <c r="S6" s="305"/>
      <c r="T6" s="305"/>
      <c r="U6" s="305"/>
      <c r="V6" s="305"/>
      <c r="W6" s="305"/>
      <c r="X6" s="305"/>
      <c r="Y6" s="305"/>
      <c r="Z6" s="305"/>
      <c r="AA6" s="305"/>
      <c r="AB6" s="305"/>
      <c r="AC6" s="305"/>
      <c r="AD6" s="305"/>
      <c r="AE6" s="305"/>
      <c r="AF6"/>
    </row>
    <row r="7" spans="1:32" x14ac:dyDescent="0.3">
      <c r="A7" s="193"/>
      <c r="B7" s="193"/>
      <c r="C7" s="193"/>
      <c r="D7" s="193"/>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row>
    <row r="8" spans="1:32" ht="50.25" customHeight="1" x14ac:dyDescent="0.3">
      <c r="A8" s="303" t="s">
        <v>201</v>
      </c>
      <c r="B8" s="303"/>
      <c r="C8" s="303"/>
      <c r="D8" s="303"/>
      <c r="E8" s="303"/>
      <c r="F8" s="303"/>
      <c r="G8" s="303"/>
      <c r="H8" s="303"/>
      <c r="I8" s="303"/>
      <c r="J8" s="303"/>
      <c r="K8" s="303"/>
      <c r="L8" s="303"/>
      <c r="M8" s="303"/>
      <c r="N8" s="303"/>
      <c r="O8" s="303"/>
      <c r="P8" s="303"/>
      <c r="Q8" s="303"/>
      <c r="R8" s="303"/>
      <c r="S8" s="303"/>
      <c r="T8" s="303"/>
      <c r="U8" s="303"/>
      <c r="V8" s="303"/>
      <c r="W8" s="303"/>
      <c r="X8" s="303"/>
      <c r="Y8" s="303"/>
      <c r="Z8" s="303"/>
      <c r="AA8" s="303"/>
      <c r="AB8" s="303"/>
      <c r="AC8" s="303"/>
      <c r="AD8" s="303"/>
      <c r="AE8" s="303"/>
      <c r="AF8"/>
    </row>
    <row r="9" spans="1:32" x14ac:dyDescent="0.3">
      <c r="A9" s="194"/>
      <c r="B9" s="194"/>
      <c r="C9" s="194"/>
      <c r="D9" s="194"/>
      <c r="E9" s="194"/>
      <c r="F9" s="194"/>
      <c r="G9" s="194"/>
      <c r="H9" s="194"/>
      <c r="I9" s="194"/>
      <c r="J9" s="194"/>
      <c r="K9" s="194"/>
      <c r="L9" s="194"/>
      <c r="M9" s="194"/>
      <c r="N9" s="194"/>
      <c r="O9" s="194"/>
      <c r="P9" s="194"/>
      <c r="Q9" s="194"/>
      <c r="R9" s="194"/>
      <c r="S9" s="194"/>
      <c r="T9" s="194"/>
      <c r="U9" s="194"/>
      <c r="V9" s="194"/>
      <c r="W9" s="194"/>
      <c r="X9" s="194"/>
      <c r="Y9" s="194"/>
      <c r="Z9" s="194"/>
      <c r="AA9" s="194"/>
      <c r="AB9" s="194"/>
      <c r="AC9" s="194"/>
      <c r="AD9" s="194"/>
      <c r="AE9" s="194"/>
      <c r="AF9"/>
    </row>
    <row r="10" spans="1:32" ht="50.25" customHeight="1" x14ac:dyDescent="0.3">
      <c r="A10" s="303" t="s">
        <v>202</v>
      </c>
      <c r="B10" s="303"/>
      <c r="C10" s="303"/>
      <c r="D10" s="303"/>
      <c r="E10" s="303"/>
      <c r="F10" s="303"/>
      <c r="G10" s="303"/>
      <c r="H10" s="303"/>
      <c r="I10" s="303"/>
      <c r="J10" s="303"/>
      <c r="K10" s="303"/>
      <c r="L10" s="303"/>
      <c r="M10" s="303"/>
      <c r="N10" s="303"/>
      <c r="O10" s="303"/>
      <c r="P10" s="303"/>
      <c r="Q10" s="303"/>
      <c r="R10" s="303"/>
      <c r="S10" s="303"/>
      <c r="T10" s="303"/>
      <c r="U10" s="303"/>
      <c r="V10" s="303"/>
      <c r="W10" s="303"/>
      <c r="X10" s="303"/>
      <c r="Y10" s="303"/>
      <c r="Z10" s="303"/>
      <c r="AA10" s="303"/>
      <c r="AB10" s="303"/>
      <c r="AC10" s="303"/>
      <c r="AD10" s="303"/>
      <c r="AE10" s="303"/>
      <c r="AF10"/>
    </row>
    <row r="11" spans="1:32" x14ac:dyDescent="0.3">
      <c r="A11" s="194"/>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row>
    <row r="12" spans="1:32" ht="50.25" customHeight="1" x14ac:dyDescent="0.3">
      <c r="A12" s="303" t="s">
        <v>203</v>
      </c>
      <c r="B12" s="303"/>
      <c r="C12" s="303"/>
      <c r="D12" s="303"/>
      <c r="E12" s="303"/>
      <c r="F12" s="303"/>
      <c r="G12" s="303"/>
      <c r="H12" s="303"/>
      <c r="I12" s="303"/>
      <c r="J12" s="303"/>
      <c r="K12" s="303"/>
      <c r="L12" s="303"/>
      <c r="M12" s="303"/>
      <c r="N12" s="303"/>
      <c r="O12" s="303"/>
      <c r="P12" s="303"/>
      <c r="Q12" s="303"/>
      <c r="R12" s="303"/>
      <c r="S12" s="303"/>
      <c r="T12" s="303"/>
      <c r="U12" s="303"/>
      <c r="V12" s="303"/>
      <c r="W12" s="303"/>
      <c r="X12" s="303"/>
      <c r="Y12" s="303"/>
      <c r="Z12" s="303"/>
      <c r="AA12" s="303"/>
      <c r="AB12" s="303"/>
      <c r="AC12" s="303"/>
      <c r="AD12" s="303"/>
      <c r="AE12" s="303"/>
      <c r="AF12"/>
    </row>
    <row r="13" spans="1:32" x14ac:dyDescent="0.3">
      <c r="A13" s="303"/>
      <c r="B13" s="303"/>
      <c r="C13" s="303"/>
      <c r="D13" s="303"/>
      <c r="E13" s="303"/>
      <c r="F13" s="303"/>
      <c r="G13" s="303"/>
      <c r="H13" s="303"/>
      <c r="I13" s="303"/>
      <c r="J13" s="303"/>
      <c r="K13" s="303"/>
      <c r="L13" s="303"/>
      <c r="M13" s="303"/>
      <c r="N13" s="303"/>
      <c r="O13" s="303"/>
      <c r="P13" s="303"/>
      <c r="Q13" s="303"/>
      <c r="R13" s="303"/>
      <c r="S13" s="303"/>
      <c r="T13" s="303"/>
      <c r="U13" s="303"/>
      <c r="V13" s="303"/>
      <c r="W13" s="303"/>
      <c r="X13" s="303"/>
      <c r="Y13" s="303"/>
      <c r="Z13" s="303"/>
      <c r="AA13" s="303"/>
      <c r="AB13" s="303"/>
      <c r="AC13" s="303"/>
      <c r="AD13" s="303"/>
      <c r="AE13" s="303"/>
      <c r="AF13"/>
    </row>
    <row r="14" spans="1:32" ht="37.5" customHeight="1" x14ac:dyDescent="0.3">
      <c r="A14" s="303" t="s">
        <v>204</v>
      </c>
      <c r="B14" s="303"/>
      <c r="C14" s="303"/>
      <c r="D14" s="303"/>
      <c r="E14" s="303"/>
      <c r="F14" s="303"/>
      <c r="G14" s="303"/>
      <c r="H14" s="303"/>
      <c r="I14" s="303"/>
      <c r="J14" s="303"/>
      <c r="K14" s="303"/>
      <c r="L14" s="303"/>
      <c r="M14" s="303"/>
      <c r="N14" s="303"/>
      <c r="O14" s="303"/>
      <c r="P14" s="303"/>
      <c r="Q14" s="303"/>
      <c r="R14" s="303"/>
      <c r="S14" s="303"/>
      <c r="T14" s="303"/>
      <c r="U14" s="303"/>
      <c r="V14" s="303"/>
      <c r="W14" s="303"/>
      <c r="X14" s="303"/>
      <c r="Y14" s="303"/>
      <c r="Z14" s="303"/>
      <c r="AA14" s="303"/>
      <c r="AB14" s="303"/>
      <c r="AC14" s="303"/>
      <c r="AD14" s="303"/>
      <c r="AE14" s="303"/>
      <c r="AF14"/>
    </row>
    <row r="15" spans="1:32" x14ac:dyDescent="0.3">
      <c r="A15" s="195"/>
      <c r="B15" s="195"/>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row>
    <row r="16" spans="1:32" ht="51" customHeight="1" x14ac:dyDescent="0.3">
      <c r="A16" s="303" t="s">
        <v>205</v>
      </c>
      <c r="B16" s="303"/>
      <c r="C16" s="303"/>
      <c r="D16" s="303"/>
      <c r="E16" s="303"/>
      <c r="F16" s="303"/>
      <c r="G16" s="303"/>
      <c r="H16" s="303"/>
      <c r="I16" s="303"/>
      <c r="J16" s="303"/>
      <c r="K16" s="303"/>
      <c r="L16" s="303"/>
      <c r="M16" s="303"/>
      <c r="N16" s="303"/>
      <c r="O16" s="303"/>
      <c r="P16" s="303"/>
      <c r="Q16" s="303"/>
      <c r="R16" s="303"/>
      <c r="S16" s="303"/>
      <c r="T16" s="303"/>
      <c r="U16" s="303"/>
      <c r="V16" s="303"/>
      <c r="W16" s="303"/>
      <c r="X16" s="303"/>
      <c r="Y16" s="303"/>
      <c r="Z16" s="303"/>
      <c r="AA16" s="303"/>
      <c r="AB16" s="303"/>
      <c r="AC16" s="303"/>
      <c r="AD16" s="303"/>
      <c r="AE16" s="303"/>
      <c r="AF16"/>
    </row>
    <row r="17" spans="1:32" x14ac:dyDescent="0.3">
      <c r="A17" s="195"/>
      <c r="B17" s="195"/>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row>
    <row r="18" spans="1:32" ht="20.25" customHeight="1" x14ac:dyDescent="0.3">
      <c r="A18" s="303" t="s">
        <v>206</v>
      </c>
      <c r="B18" s="303"/>
      <c r="C18" s="303"/>
      <c r="D18" s="303"/>
      <c r="E18" s="303"/>
      <c r="F18" s="303"/>
      <c r="G18" s="303"/>
      <c r="H18" s="303"/>
      <c r="I18" s="303"/>
      <c r="J18" s="303"/>
      <c r="K18" s="303"/>
      <c r="L18" s="303"/>
      <c r="M18" s="303"/>
      <c r="N18" s="303"/>
      <c r="O18" s="303"/>
      <c r="P18" s="303"/>
      <c r="Q18" s="303"/>
      <c r="R18" s="303"/>
      <c r="S18" s="303"/>
      <c r="T18" s="303"/>
      <c r="U18" s="303"/>
      <c r="V18" s="303"/>
      <c r="W18" s="303"/>
      <c r="X18" s="303"/>
      <c r="Y18" s="303"/>
      <c r="Z18" s="303"/>
      <c r="AA18" s="303"/>
      <c r="AB18" s="303"/>
      <c r="AC18" s="303"/>
      <c r="AD18" s="303"/>
      <c r="AE18" s="303"/>
      <c r="AF18"/>
    </row>
    <row r="19" spans="1:32" x14ac:dyDescent="0.3">
      <c r="A19"/>
      <c r="B19"/>
      <c r="C19"/>
      <c r="D19"/>
      <c r="E19"/>
      <c r="F19"/>
      <c r="G19"/>
      <c r="H19"/>
      <c r="I19"/>
      <c r="J19"/>
      <c r="K19"/>
      <c r="L19"/>
      <c r="M19"/>
      <c r="N19"/>
      <c r="O19"/>
      <c r="P19"/>
      <c r="Q19"/>
      <c r="R19"/>
      <c r="S19"/>
      <c r="T19"/>
      <c r="U19"/>
      <c r="V19"/>
      <c r="W19"/>
      <c r="X19"/>
      <c r="Y19"/>
      <c r="Z19"/>
      <c r="AA19"/>
      <c r="AB19"/>
      <c r="AC19"/>
      <c r="AD19"/>
      <c r="AE19"/>
      <c r="AF19"/>
    </row>
    <row r="20" spans="1:32" x14ac:dyDescent="0.3">
      <c r="A20"/>
      <c r="B20"/>
      <c r="C20"/>
      <c r="D20"/>
      <c r="E20"/>
      <c r="F20"/>
      <c r="G20"/>
      <c r="H20"/>
      <c r="I20"/>
      <c r="J20"/>
      <c r="K20"/>
      <c r="L20"/>
      <c r="M20"/>
      <c r="N20"/>
      <c r="O20"/>
      <c r="P20"/>
      <c r="Q20"/>
      <c r="R20"/>
      <c r="S20"/>
      <c r="T20"/>
      <c r="U20"/>
      <c r="V20"/>
      <c r="W20"/>
      <c r="X20"/>
      <c r="Y20"/>
      <c r="Z20"/>
      <c r="AA20"/>
      <c r="AB20"/>
      <c r="AC20"/>
      <c r="AD20"/>
      <c r="AE20"/>
      <c r="AF20"/>
    </row>
  </sheetData>
  <mergeCells count="9">
    <mergeCell ref="A14:AE14"/>
    <mergeCell ref="A16:AE16"/>
    <mergeCell ref="A18:AE18"/>
    <mergeCell ref="A5:AE5"/>
    <mergeCell ref="A6:AE6"/>
    <mergeCell ref="A8:AE8"/>
    <mergeCell ref="A10:AE10"/>
    <mergeCell ref="A12:AE12"/>
    <mergeCell ref="A13:AE13"/>
  </mergeCells>
  <hyperlinks>
    <hyperlink ref="AD2" location="'Table of contents'!A4" display="TO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election activeCell="B11" sqref="B11"/>
    </sheetView>
  </sheetViews>
  <sheetFormatPr defaultColWidth="9.109375" defaultRowHeight="14.4" x14ac:dyDescent="0.3"/>
  <cols>
    <col min="1" max="1" width="9.109375" style="208"/>
    <col min="2" max="16384" width="9.109375" style="207"/>
  </cols>
  <sheetData>
    <row r="1" spans="1:16" x14ac:dyDescent="0.3">
      <c r="A1" s="206"/>
      <c r="B1"/>
      <c r="C1"/>
      <c r="D1"/>
      <c r="E1"/>
      <c r="F1"/>
      <c r="G1"/>
      <c r="H1"/>
      <c r="I1"/>
      <c r="J1"/>
      <c r="K1"/>
      <c r="L1"/>
      <c r="M1"/>
      <c r="N1"/>
      <c r="O1"/>
      <c r="P1"/>
    </row>
    <row r="2" spans="1:16" x14ac:dyDescent="0.3">
      <c r="A2" s="206"/>
      <c r="B2"/>
      <c r="C2"/>
      <c r="D2"/>
      <c r="E2"/>
      <c r="F2"/>
      <c r="G2"/>
      <c r="H2"/>
      <c r="I2"/>
      <c r="J2"/>
      <c r="K2"/>
      <c r="L2"/>
      <c r="M2"/>
      <c r="N2"/>
      <c r="O2" s="299" t="s">
        <v>227</v>
      </c>
      <c r="P2"/>
    </row>
    <row r="3" spans="1:16" x14ac:dyDescent="0.3">
      <c r="A3" s="206"/>
      <c r="B3"/>
      <c r="C3"/>
      <c r="D3"/>
      <c r="E3"/>
      <c r="F3"/>
      <c r="G3"/>
      <c r="H3"/>
      <c r="I3"/>
      <c r="J3"/>
      <c r="K3"/>
      <c r="L3"/>
      <c r="M3"/>
      <c r="N3"/>
      <c r="O3"/>
      <c r="P3"/>
    </row>
    <row r="4" spans="1:16" x14ac:dyDescent="0.3">
      <c r="A4" s="206"/>
      <c r="B4"/>
      <c r="C4"/>
      <c r="D4"/>
      <c r="E4"/>
      <c r="F4"/>
      <c r="G4"/>
      <c r="H4"/>
      <c r="I4"/>
      <c r="J4"/>
      <c r="K4"/>
      <c r="L4"/>
      <c r="M4"/>
      <c r="N4"/>
      <c r="O4"/>
      <c r="P4"/>
    </row>
    <row r="5" spans="1:16" x14ac:dyDescent="0.3">
      <c r="A5" s="206"/>
      <c r="B5" s="294" t="s">
        <v>223</v>
      </c>
      <c r="C5"/>
      <c r="D5"/>
      <c r="E5"/>
      <c r="F5"/>
      <c r="G5"/>
      <c r="H5"/>
      <c r="I5"/>
      <c r="J5"/>
      <c r="K5"/>
      <c r="L5"/>
      <c r="M5"/>
      <c r="N5"/>
      <c r="O5"/>
      <c r="P5"/>
    </row>
    <row r="6" spans="1:16" x14ac:dyDescent="0.3">
      <c r="A6" s="206"/>
      <c r="B6"/>
      <c r="C6"/>
      <c r="D6"/>
      <c r="E6"/>
      <c r="F6"/>
      <c r="G6"/>
      <c r="H6"/>
      <c r="I6"/>
      <c r="J6"/>
      <c r="K6"/>
      <c r="L6"/>
      <c r="M6"/>
      <c r="N6"/>
      <c r="O6"/>
      <c r="P6"/>
    </row>
    <row r="7" spans="1:16" x14ac:dyDescent="0.3">
      <c r="A7" s="206">
        <v>1</v>
      </c>
      <c r="B7" t="s">
        <v>224</v>
      </c>
      <c r="C7"/>
      <c r="D7"/>
      <c r="E7"/>
      <c r="F7"/>
      <c r="G7"/>
      <c r="H7"/>
      <c r="I7"/>
      <c r="J7"/>
      <c r="K7"/>
      <c r="L7"/>
      <c r="M7"/>
      <c r="N7"/>
      <c r="O7"/>
      <c r="P7"/>
    </row>
    <row r="8" spans="1:16" x14ac:dyDescent="0.3">
      <c r="A8" s="206"/>
      <c r="B8" s="295"/>
      <c r="C8" s="123" t="s">
        <v>116</v>
      </c>
      <c r="D8"/>
      <c r="E8"/>
      <c r="F8"/>
      <c r="G8"/>
      <c r="H8"/>
      <c r="I8"/>
      <c r="J8"/>
      <c r="K8"/>
      <c r="L8"/>
      <c r="M8"/>
      <c r="N8"/>
      <c r="O8"/>
      <c r="P8"/>
    </row>
    <row r="9" spans="1:16" x14ac:dyDescent="0.3">
      <c r="A9" s="206"/>
      <c r="B9" s="295"/>
      <c r="C9" s="123" t="s">
        <v>119</v>
      </c>
      <c r="D9"/>
      <c r="E9"/>
      <c r="F9"/>
      <c r="G9"/>
      <c r="H9"/>
      <c r="I9"/>
      <c r="J9"/>
      <c r="K9"/>
      <c r="L9"/>
      <c r="M9"/>
      <c r="N9"/>
      <c r="O9"/>
      <c r="P9"/>
    </row>
    <row r="10" spans="1:16" x14ac:dyDescent="0.3">
      <c r="A10" s="206"/>
      <c r="B10" s="295"/>
      <c r="C10" s="123" t="s">
        <v>121</v>
      </c>
      <c r="D10"/>
      <c r="E10"/>
      <c r="F10"/>
      <c r="G10"/>
      <c r="H10"/>
      <c r="I10"/>
      <c r="J10"/>
      <c r="K10"/>
      <c r="L10"/>
      <c r="M10"/>
      <c r="N10"/>
      <c r="O10"/>
      <c r="P10"/>
    </row>
    <row r="11" spans="1:16" x14ac:dyDescent="0.3">
      <c r="A11" s="206"/>
      <c r="B11" s="295"/>
      <c r="C11" s="123" t="s">
        <v>123</v>
      </c>
      <c r="D11"/>
      <c r="E11"/>
      <c r="F11"/>
      <c r="G11"/>
      <c r="H11"/>
      <c r="I11"/>
      <c r="J11"/>
      <c r="K11"/>
      <c r="L11"/>
      <c r="M11"/>
      <c r="N11"/>
      <c r="O11"/>
      <c r="P11"/>
    </row>
    <row r="12" spans="1:16" x14ac:dyDescent="0.3">
      <c r="A12" s="206"/>
      <c r="B12" s="295"/>
      <c r="C12" s="123" t="s">
        <v>125</v>
      </c>
      <c r="D12"/>
      <c r="E12"/>
      <c r="F12"/>
      <c r="G12"/>
      <c r="H12"/>
      <c r="I12"/>
      <c r="J12"/>
      <c r="K12"/>
      <c r="L12"/>
      <c r="M12"/>
      <c r="N12"/>
      <c r="O12"/>
      <c r="P12"/>
    </row>
    <row r="13" spans="1:16" x14ac:dyDescent="0.3">
      <c r="A13" s="206"/>
      <c r="B13" s="295"/>
      <c r="C13" s="123" t="s">
        <v>127</v>
      </c>
      <c r="D13"/>
      <c r="E13"/>
      <c r="F13"/>
      <c r="G13"/>
      <c r="H13"/>
      <c r="I13"/>
      <c r="J13"/>
      <c r="K13"/>
      <c r="L13"/>
      <c r="M13"/>
      <c r="N13"/>
      <c r="O13"/>
      <c r="P13"/>
    </row>
    <row r="14" spans="1:16" x14ac:dyDescent="0.3">
      <c r="A14" s="206"/>
      <c r="B14" s="295"/>
      <c r="C14" s="123" t="s">
        <v>131</v>
      </c>
      <c r="D14"/>
      <c r="E14"/>
      <c r="F14"/>
      <c r="G14"/>
      <c r="H14"/>
      <c r="I14"/>
      <c r="J14"/>
      <c r="K14"/>
      <c r="L14"/>
      <c r="M14"/>
      <c r="N14"/>
      <c r="O14"/>
      <c r="P14"/>
    </row>
    <row r="15" spans="1:16" x14ac:dyDescent="0.3">
      <c r="A15" s="206"/>
      <c r="B15" s="295"/>
      <c r="C15" s="123" t="s">
        <v>129</v>
      </c>
      <c r="D15"/>
      <c r="E15"/>
      <c r="F15"/>
      <c r="G15"/>
      <c r="H15"/>
      <c r="I15"/>
      <c r="J15"/>
      <c r="K15"/>
      <c r="L15"/>
      <c r="M15"/>
      <c r="N15"/>
      <c r="O15"/>
      <c r="P15"/>
    </row>
    <row r="16" spans="1:16" x14ac:dyDescent="0.3">
      <c r="A16" s="206"/>
      <c r="B16" s="295"/>
      <c r="C16" s="123" t="s">
        <v>133</v>
      </c>
      <c r="D16"/>
      <c r="E16"/>
      <c r="F16"/>
      <c r="G16"/>
      <c r="H16"/>
      <c r="I16"/>
      <c r="J16"/>
      <c r="K16"/>
      <c r="L16"/>
      <c r="M16"/>
      <c r="N16"/>
      <c r="O16"/>
      <c r="P16"/>
    </row>
    <row r="17" spans="1:16" x14ac:dyDescent="0.3">
      <c r="A17" s="206"/>
      <c r="B17" s="295"/>
      <c r="C17" s="123" t="s">
        <v>135</v>
      </c>
      <c r="D17"/>
      <c r="E17"/>
      <c r="F17"/>
      <c r="G17"/>
      <c r="H17"/>
      <c r="I17"/>
      <c r="J17"/>
      <c r="K17"/>
      <c r="L17"/>
      <c r="M17"/>
      <c r="N17"/>
      <c r="O17"/>
      <c r="P17"/>
    </row>
    <row r="18" spans="1:16" x14ac:dyDescent="0.3">
      <c r="A18" s="206"/>
      <c r="B18"/>
      <c r="C18"/>
      <c r="D18"/>
      <c r="E18"/>
      <c r="F18"/>
      <c r="G18"/>
      <c r="H18"/>
      <c r="I18"/>
      <c r="J18"/>
      <c r="K18"/>
      <c r="L18"/>
      <c r="M18"/>
      <c r="N18"/>
      <c r="O18"/>
      <c r="P18"/>
    </row>
    <row r="19" spans="1:16" x14ac:dyDescent="0.3">
      <c r="A19" s="206">
        <v>2</v>
      </c>
      <c r="B19" s="295" t="s">
        <v>225</v>
      </c>
      <c r="C19"/>
      <c r="D19"/>
      <c r="E19"/>
      <c r="F19"/>
      <c r="G19"/>
      <c r="H19"/>
      <c r="I19"/>
      <c r="J19"/>
      <c r="K19"/>
      <c r="L19"/>
      <c r="M19"/>
      <c r="N19"/>
      <c r="O19"/>
      <c r="P19"/>
    </row>
    <row r="20" spans="1:16" x14ac:dyDescent="0.3">
      <c r="A20" s="206">
        <v>3</v>
      </c>
      <c r="B20" s="295" t="s">
        <v>226</v>
      </c>
      <c r="C20"/>
      <c r="D20"/>
      <c r="E20"/>
      <c r="F20"/>
      <c r="G20"/>
      <c r="H20"/>
      <c r="I20"/>
      <c r="J20"/>
      <c r="K20"/>
      <c r="L20"/>
      <c r="M20"/>
      <c r="N20"/>
      <c r="O20"/>
      <c r="P20"/>
    </row>
    <row r="21" spans="1:16" x14ac:dyDescent="0.3">
      <c r="A21" s="206"/>
      <c r="B21"/>
      <c r="C21"/>
      <c r="D21"/>
      <c r="E21"/>
      <c r="F21"/>
      <c r="G21"/>
      <c r="H21"/>
      <c r="I21"/>
      <c r="J21"/>
      <c r="K21"/>
      <c r="L21"/>
      <c r="M21"/>
      <c r="N21"/>
      <c r="O21"/>
      <c r="P21"/>
    </row>
    <row r="22" spans="1:16" x14ac:dyDescent="0.3">
      <c r="A22" s="206"/>
      <c r="B22"/>
      <c r="C22"/>
      <c r="D22"/>
      <c r="E22"/>
      <c r="F22"/>
      <c r="G22"/>
      <c r="H22"/>
      <c r="I22"/>
      <c r="J22"/>
      <c r="K22"/>
      <c r="L22"/>
      <c r="M22"/>
      <c r="N22"/>
      <c r="O22"/>
      <c r="P22"/>
    </row>
    <row r="23" spans="1:16" x14ac:dyDescent="0.3">
      <c r="A23" s="206"/>
      <c r="B23"/>
      <c r="C23"/>
      <c r="D23"/>
      <c r="E23"/>
      <c r="F23"/>
      <c r="G23"/>
      <c r="H23"/>
      <c r="I23"/>
      <c r="J23"/>
      <c r="K23"/>
      <c r="L23"/>
      <c r="M23"/>
      <c r="N23"/>
      <c r="O23"/>
      <c r="P23"/>
    </row>
  </sheetData>
  <hyperlinks>
    <hyperlink ref="O2" location="'Table of contents'!A4" display="TOC"/>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showGridLines="0" zoomScaleNormal="100" workbookViewId="0">
      <selection activeCell="I25" sqref="I25"/>
    </sheetView>
  </sheetViews>
  <sheetFormatPr defaultColWidth="9.109375" defaultRowHeight="14.4" x14ac:dyDescent="0.3"/>
  <cols>
    <col min="1" max="1" width="6.109375" style="207" customWidth="1"/>
    <col min="2" max="2" width="7.6640625" style="207" customWidth="1"/>
    <col min="3" max="3" width="23.5546875" style="207" customWidth="1"/>
    <col min="4" max="4" width="18.109375" style="207" customWidth="1"/>
    <col min="5" max="5" width="11.44140625" style="207" customWidth="1"/>
    <col min="6" max="6" width="10.109375" style="207" customWidth="1"/>
    <col min="7" max="7" width="3.33203125" style="207" customWidth="1"/>
    <col min="8" max="8" width="12.88671875" style="207" customWidth="1"/>
    <col min="9" max="9" width="3.109375" style="207" customWidth="1"/>
    <col min="10" max="10" width="8.88671875" style="207" customWidth="1"/>
    <col min="11" max="12" width="9.109375" style="207"/>
    <col min="13" max="13" width="14.88671875" style="207" customWidth="1"/>
    <col min="14" max="14" width="13.109375" style="207" customWidth="1"/>
    <col min="15" max="15" width="11.5546875" style="207" customWidth="1"/>
    <col min="16" max="16" width="21.88671875" style="207" customWidth="1"/>
    <col min="17" max="17" width="14.44140625" style="207" customWidth="1"/>
    <col min="18" max="18" width="9.88671875" style="207" customWidth="1"/>
    <col min="19" max="19" width="9.109375" style="207"/>
    <col min="20" max="20" width="7.6640625" style="207" customWidth="1"/>
    <col min="21" max="21" width="8.109375" style="207" customWidth="1"/>
    <col min="22" max="22" width="12.88671875" style="207" customWidth="1"/>
    <col min="23" max="23" width="14.88671875" style="207" bestFit="1" customWidth="1"/>
    <col min="24" max="24" width="15.44140625" style="207" bestFit="1" customWidth="1"/>
    <col min="25" max="25" width="10.88671875" style="207" customWidth="1"/>
    <col min="26" max="26" width="9.109375" style="207"/>
    <col min="27" max="27" width="12.88671875" style="207" bestFit="1" customWidth="1"/>
    <col min="28" max="16384" width="9.109375" style="207"/>
  </cols>
  <sheetData>
    <row r="1" spans="1:20" x14ac:dyDescent="0.3">
      <c r="A1" s="212"/>
      <c r="B1" s="212"/>
      <c r="C1" s="212"/>
      <c r="D1" s="212"/>
      <c r="E1" s="212"/>
      <c r="F1" s="212"/>
      <c r="G1" s="212"/>
      <c r="H1" s="212"/>
      <c r="I1" s="212"/>
      <c r="J1" s="212"/>
      <c r="K1" s="212"/>
      <c r="L1" s="212"/>
      <c r="M1" s="212"/>
      <c r="N1" s="212"/>
      <c r="O1" s="212"/>
      <c r="P1" s="212"/>
      <c r="Q1" s="212"/>
      <c r="R1" s="212"/>
      <c r="S1" s="212"/>
      <c r="T1" s="212"/>
    </row>
    <row r="2" spans="1:20" x14ac:dyDescent="0.3">
      <c r="A2" s="212"/>
      <c r="B2" s="212"/>
      <c r="C2" s="212"/>
      <c r="D2" s="212"/>
      <c r="E2" s="212"/>
      <c r="F2" s="212"/>
      <c r="G2" s="212"/>
      <c r="H2" s="212"/>
      <c r="I2" s="212"/>
      <c r="J2" s="212"/>
      <c r="K2" s="212"/>
      <c r="L2" s="212"/>
      <c r="M2" s="212"/>
      <c r="N2" s="212"/>
      <c r="O2" s="212"/>
      <c r="P2" s="212"/>
      <c r="Q2" s="212"/>
      <c r="R2" s="212"/>
      <c r="S2" s="299" t="s">
        <v>227</v>
      </c>
      <c r="T2" s="212"/>
    </row>
    <row r="3" spans="1:20" x14ac:dyDescent="0.3">
      <c r="A3" s="212"/>
      <c r="B3" s="212"/>
      <c r="C3" s="212"/>
      <c r="D3" s="212"/>
      <c r="E3" s="212"/>
      <c r="F3" s="212"/>
      <c r="G3" s="212"/>
      <c r="H3" s="212"/>
      <c r="I3" s="212"/>
      <c r="J3" s="212"/>
      <c r="K3" s="212"/>
      <c r="L3" s="212"/>
      <c r="M3" s="212"/>
      <c r="N3" s="212"/>
      <c r="O3" s="212"/>
      <c r="P3" s="212"/>
      <c r="Q3" s="212"/>
      <c r="R3" s="212"/>
      <c r="S3" s="299"/>
      <c r="T3" s="212"/>
    </row>
    <row r="4" spans="1:20" x14ac:dyDescent="0.3">
      <c r="A4" s="212"/>
      <c r="B4" s="212"/>
      <c r="C4" s="212"/>
      <c r="D4" s="212"/>
      <c r="E4" s="212"/>
      <c r="F4" s="212"/>
      <c r="G4" s="212"/>
      <c r="H4" s="212"/>
      <c r="I4" s="212"/>
      <c r="J4" s="212"/>
      <c r="K4" s="212"/>
      <c r="L4" s="212"/>
      <c r="M4" s="212"/>
      <c r="N4" s="212"/>
      <c r="O4" s="212"/>
      <c r="P4" s="212"/>
      <c r="Q4" s="212"/>
      <c r="R4" s="212"/>
      <c r="S4" s="299"/>
      <c r="T4" s="212"/>
    </row>
    <row r="5" spans="1:20" x14ac:dyDescent="0.3">
      <c r="A5" s="212"/>
      <c r="B5" s="212"/>
      <c r="C5" s="310" t="s">
        <v>218</v>
      </c>
      <c r="D5" s="311"/>
      <c r="E5" s="311"/>
      <c r="F5" s="311"/>
      <c r="G5" s="311"/>
      <c r="H5" s="212"/>
      <c r="I5" s="212"/>
      <c r="J5" s="212"/>
      <c r="K5" s="212"/>
      <c r="L5" s="212"/>
      <c r="M5" s="212"/>
      <c r="N5" s="212"/>
      <c r="O5" s="212"/>
      <c r="P5" s="212"/>
      <c r="Q5" s="212"/>
      <c r="R5" s="212"/>
      <c r="S5" s="212"/>
      <c r="T5" s="212"/>
    </row>
    <row r="6" spans="1:20" x14ac:dyDescent="0.3">
      <c r="A6" s="212"/>
      <c r="B6" s="212"/>
      <c r="C6" s="213"/>
      <c r="D6" s="214"/>
      <c r="E6" s="214"/>
      <c r="F6" s="214"/>
      <c r="G6" s="215"/>
      <c r="H6" s="212"/>
      <c r="I6" s="212"/>
      <c r="J6" s="212"/>
      <c r="K6" s="212"/>
      <c r="L6" s="212"/>
      <c r="M6" s="212"/>
      <c r="N6" s="212"/>
      <c r="O6" s="212"/>
      <c r="P6" s="212"/>
      <c r="Q6" s="212"/>
      <c r="R6" s="212"/>
      <c r="S6" s="212"/>
      <c r="T6" s="212"/>
    </row>
    <row r="7" spans="1:20" x14ac:dyDescent="0.3">
      <c r="A7" s="212"/>
      <c r="B7" s="212"/>
      <c r="C7" s="216" t="s">
        <v>184</v>
      </c>
      <c r="D7" s="217"/>
      <c r="E7" s="217"/>
      <c r="F7" s="218">
        <v>100</v>
      </c>
      <c r="G7" s="219" t="s">
        <v>183</v>
      </c>
      <c r="H7" s="212"/>
      <c r="I7" s="212"/>
      <c r="J7" s="212"/>
      <c r="K7" s="212"/>
      <c r="L7" s="212"/>
      <c r="M7" s="212"/>
      <c r="N7" s="212"/>
      <c r="O7" s="212"/>
      <c r="P7" s="212"/>
      <c r="Q7" s="212"/>
      <c r="R7" s="212"/>
      <c r="S7" s="212"/>
      <c r="T7" s="212"/>
    </row>
    <row r="8" spans="1:20" x14ac:dyDescent="0.3">
      <c r="A8" s="212"/>
      <c r="B8" s="212"/>
      <c r="C8" s="216" t="s">
        <v>185</v>
      </c>
      <c r="D8" s="217"/>
      <c r="E8" s="217"/>
      <c r="F8" s="220">
        <v>0.5</v>
      </c>
      <c r="G8" s="219" t="s">
        <v>183</v>
      </c>
      <c r="H8" s="212"/>
      <c r="I8" s="212"/>
      <c r="J8" s="212"/>
      <c r="K8" s="212"/>
      <c r="L8" s="212"/>
      <c r="M8" s="212"/>
      <c r="N8" s="212"/>
      <c r="O8" s="212"/>
      <c r="P8" s="212"/>
      <c r="Q8" s="212"/>
      <c r="R8" s="212"/>
      <c r="S8" s="212"/>
      <c r="T8" s="212"/>
    </row>
    <row r="9" spans="1:20" x14ac:dyDescent="0.3">
      <c r="A9" s="212"/>
      <c r="B9" s="212"/>
      <c r="C9" s="216"/>
      <c r="D9" s="217"/>
      <c r="E9" s="217"/>
      <c r="F9" s="217"/>
      <c r="G9" s="221"/>
      <c r="H9" s="212"/>
      <c r="I9" s="212"/>
      <c r="J9" s="212"/>
      <c r="K9" s="212"/>
      <c r="L9" s="212"/>
      <c r="M9" s="212"/>
      <c r="N9" s="212"/>
      <c r="O9" s="212"/>
      <c r="P9" s="212"/>
      <c r="Q9" s="212"/>
      <c r="R9" s="212"/>
      <c r="S9" s="212"/>
      <c r="T9" s="212"/>
    </row>
    <row r="10" spans="1:20" x14ac:dyDescent="0.3">
      <c r="A10" s="212"/>
      <c r="B10" s="212"/>
      <c r="C10" s="216" t="s">
        <v>186</v>
      </c>
      <c r="D10" s="217"/>
      <c r="E10" s="217"/>
      <c r="F10" s="218">
        <v>100</v>
      </c>
      <c r="G10" s="219" t="s">
        <v>183</v>
      </c>
      <c r="H10" s="212"/>
      <c r="I10" s="212"/>
      <c r="J10" s="212"/>
      <c r="K10" s="212"/>
      <c r="L10" s="212"/>
      <c r="M10" s="212"/>
      <c r="N10" s="212"/>
      <c r="O10" s="212"/>
      <c r="P10" s="212"/>
      <c r="Q10" s="212"/>
      <c r="R10" s="212"/>
      <c r="S10" s="212"/>
      <c r="T10" s="212"/>
    </row>
    <row r="11" spans="1:20" x14ac:dyDescent="0.3">
      <c r="A11" s="212"/>
      <c r="B11" s="212"/>
      <c r="C11" s="216" t="s">
        <v>185</v>
      </c>
      <c r="D11" s="217"/>
      <c r="E11" s="217"/>
      <c r="F11" s="220">
        <v>1</v>
      </c>
      <c r="G11" s="219" t="s">
        <v>183</v>
      </c>
      <c r="H11" s="212"/>
      <c r="I11" s="212"/>
      <c r="J11" s="212"/>
      <c r="K11" s="212"/>
      <c r="L11" s="212"/>
      <c r="M11" s="212"/>
      <c r="N11" s="212"/>
      <c r="O11" s="212"/>
      <c r="P11" s="212"/>
      <c r="Q11" s="212"/>
      <c r="R11" s="212"/>
      <c r="S11" s="212"/>
      <c r="T11" s="212"/>
    </row>
    <row r="12" spans="1:20" x14ac:dyDescent="0.3">
      <c r="A12" s="212"/>
      <c r="B12" s="212"/>
      <c r="C12" s="222"/>
      <c r="D12" s="223"/>
      <c r="E12" s="223"/>
      <c r="F12" s="223"/>
      <c r="G12" s="224"/>
      <c r="H12" s="212"/>
      <c r="I12" s="212"/>
      <c r="J12" s="212"/>
      <c r="K12" s="212"/>
      <c r="L12" s="212"/>
      <c r="M12" s="212"/>
      <c r="N12" s="212"/>
      <c r="O12" s="212"/>
      <c r="P12" s="212"/>
      <c r="Q12" s="225"/>
      <c r="R12" s="212"/>
      <c r="S12" s="212"/>
      <c r="T12" s="212"/>
    </row>
    <row r="13" spans="1:20" x14ac:dyDescent="0.3">
      <c r="A13" s="212"/>
      <c r="B13" s="212"/>
      <c r="C13" s="212"/>
      <c r="D13" s="212"/>
      <c r="E13" s="212"/>
      <c r="F13" s="212"/>
      <c r="G13" s="212"/>
      <c r="H13" s="212"/>
      <c r="I13" s="212"/>
      <c r="J13" s="212"/>
      <c r="K13" s="212"/>
      <c r="L13" s="212"/>
      <c r="M13" s="212"/>
      <c r="N13" s="212"/>
      <c r="O13" s="212"/>
      <c r="P13" s="212"/>
      <c r="Q13" s="212"/>
      <c r="R13" s="212"/>
      <c r="S13" s="212"/>
      <c r="T13" s="212"/>
    </row>
    <row r="14" spans="1:20" x14ac:dyDescent="0.3">
      <c r="A14" s="225"/>
      <c r="B14" s="225"/>
      <c r="C14" s="306" t="s">
        <v>160</v>
      </c>
      <c r="D14" s="307"/>
      <c r="E14" s="308"/>
      <c r="F14" s="309"/>
      <c r="G14" s="226"/>
      <c r="H14" s="227"/>
      <c r="I14" s="212"/>
      <c r="J14" s="212"/>
      <c r="K14" s="212"/>
      <c r="L14" s="212"/>
      <c r="M14" s="212"/>
      <c r="N14" s="212"/>
      <c r="O14" s="212"/>
      <c r="P14" s="212"/>
      <c r="Q14" s="225"/>
      <c r="R14" s="212"/>
      <c r="S14" s="212"/>
      <c r="T14" s="212"/>
    </row>
    <row r="15" spans="1:20" x14ac:dyDescent="0.3">
      <c r="A15" s="212"/>
      <c r="B15" s="212"/>
      <c r="C15" s="312" t="s">
        <v>137</v>
      </c>
      <c r="D15" s="300"/>
      <c r="E15" s="255" t="str">
        <f>+'2022 Expectations'!AL21</f>
        <v>2022f</v>
      </c>
      <c r="F15" s="314" t="s">
        <v>192</v>
      </c>
      <c r="G15" s="228"/>
      <c r="H15" s="227"/>
      <c r="I15" s="212"/>
      <c r="J15" s="212"/>
      <c r="K15" s="212"/>
      <c r="L15" s="212"/>
      <c r="M15" s="212"/>
      <c r="N15" s="212"/>
      <c r="O15" s="212"/>
      <c r="P15" s="212"/>
      <c r="Q15" s="212"/>
      <c r="R15" s="212"/>
      <c r="S15" s="212"/>
      <c r="T15" s="212"/>
    </row>
    <row r="16" spans="1:20" x14ac:dyDescent="0.3">
      <c r="A16" s="212"/>
      <c r="B16" s="212"/>
      <c r="C16" s="313"/>
      <c r="D16" s="301"/>
      <c r="E16" s="286"/>
      <c r="F16" s="315"/>
      <c r="G16" s="228"/>
      <c r="H16" s="227"/>
      <c r="I16" s="212"/>
      <c r="J16" s="229"/>
      <c r="K16" s="212"/>
      <c r="L16" s="212"/>
      <c r="M16" s="212"/>
      <c r="N16" s="212"/>
      <c r="O16" s="212"/>
      <c r="P16" s="212"/>
      <c r="Q16" s="212"/>
      <c r="R16" s="212"/>
      <c r="S16" s="212"/>
      <c r="T16" s="212"/>
    </row>
    <row r="17" spans="1:28" x14ac:dyDescent="0.3">
      <c r="A17" s="212"/>
      <c r="B17" s="212"/>
      <c r="C17" s="230" t="s">
        <v>4</v>
      </c>
      <c r="D17" s="261"/>
      <c r="E17" s="274">
        <f>AVERAGE('2022 Expectations'!AK35:AL35)*'2022 Expectations'!AK$14</f>
        <v>110284.11504842754</v>
      </c>
      <c r="F17" s="266">
        <f>+E17-'2022 Expectations'!AL22</f>
        <v>10948.783984952184</v>
      </c>
      <c r="G17" s="231"/>
      <c r="H17" s="212"/>
      <c r="I17" s="212"/>
      <c r="J17" s="229"/>
      <c r="K17" s="212"/>
      <c r="L17" s="212"/>
      <c r="M17" s="212"/>
      <c r="N17" s="212"/>
      <c r="O17" s="212"/>
      <c r="P17" s="212"/>
      <c r="Q17" s="212"/>
      <c r="R17" s="212"/>
      <c r="S17" s="212"/>
      <c r="T17" s="212"/>
    </row>
    <row r="18" spans="1:28" x14ac:dyDescent="0.3">
      <c r="A18" s="212"/>
      <c r="B18" s="212"/>
      <c r="C18" s="230" t="s">
        <v>5</v>
      </c>
      <c r="D18" s="261"/>
      <c r="E18" s="275">
        <f>AVERAGE('2022 Expectations'!AK36:AL36)*'2022 Expectations'!AK$15</f>
        <v>15858.345925405119</v>
      </c>
      <c r="F18" s="267">
        <f>+E18-'2022 Expectations'!AL23</f>
        <v>7047.1078769579872</v>
      </c>
      <c r="G18" s="231"/>
      <c r="H18" s="212"/>
      <c r="I18" s="212"/>
      <c r="J18" s="212"/>
      <c r="K18" s="212"/>
      <c r="L18" s="212"/>
      <c r="M18" s="212"/>
      <c r="N18" s="212"/>
      <c r="O18" s="212"/>
      <c r="P18" s="212"/>
      <c r="Q18" s="212"/>
      <c r="R18" s="212"/>
      <c r="S18" s="212"/>
      <c r="T18" s="212"/>
    </row>
    <row r="19" spans="1:28" x14ac:dyDescent="0.3">
      <c r="A19" s="212"/>
      <c r="B19" s="212"/>
      <c r="C19" s="232" t="s">
        <v>10</v>
      </c>
      <c r="D19" s="262"/>
      <c r="E19" s="268">
        <f>+E17-E18</f>
        <v>94425.769123022415</v>
      </c>
      <c r="F19" s="268">
        <f>+F17-F18</f>
        <v>3901.6761079941971</v>
      </c>
      <c r="G19" s="233"/>
      <c r="H19" s="212"/>
      <c r="I19" s="212"/>
      <c r="J19" s="212"/>
      <c r="K19" s="212"/>
      <c r="L19" s="212"/>
      <c r="M19" s="212"/>
      <c r="N19" s="212"/>
      <c r="O19" s="212"/>
      <c r="P19" s="212"/>
      <c r="Q19" s="212"/>
      <c r="R19" s="212"/>
      <c r="S19" s="212"/>
      <c r="T19" s="212"/>
    </row>
    <row r="20" spans="1:28" x14ac:dyDescent="0.3">
      <c r="A20" s="212"/>
      <c r="B20" s="212"/>
      <c r="C20" s="230" t="s">
        <v>30</v>
      </c>
      <c r="D20" s="261"/>
      <c r="E20" s="276">
        <f>AVERAGE('2022 Expectations'!AK35:AL35)*'2022 Expectations'!AL52</f>
        <v>16005.131498002846</v>
      </c>
      <c r="F20" s="267">
        <f>+E20-'2022 Expectations'!AL25</f>
        <v>0</v>
      </c>
      <c r="G20" s="231"/>
      <c r="H20" s="212"/>
      <c r="I20" s="212"/>
      <c r="J20" s="234"/>
      <c r="K20" s="212"/>
      <c r="L20" s="212"/>
      <c r="M20" s="212"/>
      <c r="N20" s="212"/>
      <c r="O20" s="212"/>
      <c r="P20" s="212"/>
      <c r="Q20" s="212"/>
      <c r="R20" s="212"/>
      <c r="S20" s="212"/>
      <c r="T20" s="212"/>
    </row>
    <row r="21" spans="1:28" x14ac:dyDescent="0.3">
      <c r="A21" s="212"/>
      <c r="B21" s="212"/>
      <c r="C21" s="232" t="s">
        <v>11</v>
      </c>
      <c r="D21" s="262"/>
      <c r="E21" s="269">
        <f>E19-E20</f>
        <v>78420.637625019575</v>
      </c>
      <c r="F21" s="269">
        <f>F19-F20</f>
        <v>3901.6761079941971</v>
      </c>
      <c r="G21" s="235"/>
      <c r="H21" s="212"/>
      <c r="I21" s="212"/>
      <c r="J21" s="212"/>
      <c r="K21" s="212"/>
      <c r="L21" s="212"/>
      <c r="M21" s="212"/>
      <c r="N21" s="212"/>
      <c r="O21" s="212"/>
      <c r="P21" s="212"/>
      <c r="Q21" s="212"/>
      <c r="R21" s="212"/>
      <c r="S21" s="212"/>
      <c r="T21" s="212"/>
    </row>
    <row r="22" spans="1:28" x14ac:dyDescent="0.3">
      <c r="A22" s="212"/>
      <c r="B22" s="212"/>
      <c r="C22" s="230" t="s">
        <v>12</v>
      </c>
      <c r="D22" s="261"/>
      <c r="E22" s="275">
        <f>+'2022 Expectations'!N9</f>
        <v>28478.213720860069</v>
      </c>
      <c r="F22" s="267">
        <f>+E22-'2022 Expectations'!AL27</f>
        <v>0</v>
      </c>
      <c r="G22" s="231"/>
      <c r="H22" s="212"/>
      <c r="I22" s="212"/>
      <c r="J22" s="212"/>
      <c r="K22" s="212"/>
      <c r="L22" s="212"/>
      <c r="M22" s="212"/>
      <c r="N22" s="212"/>
      <c r="O22" s="212"/>
      <c r="P22" s="212"/>
      <c r="Q22" s="212"/>
      <c r="R22" s="212"/>
      <c r="S22" s="212"/>
      <c r="T22" s="212"/>
    </row>
    <row r="23" spans="1:28" x14ac:dyDescent="0.3">
      <c r="A23" s="212"/>
      <c r="B23" s="212"/>
      <c r="C23" s="230" t="s">
        <v>31</v>
      </c>
      <c r="D23" s="261"/>
      <c r="E23" s="275">
        <f>+'2022 Expectations'!N10</f>
        <v>-43745.842713209851</v>
      </c>
      <c r="F23" s="267">
        <f>+E23-'2022 Expectations'!AL28</f>
        <v>0</v>
      </c>
      <c r="G23" s="231"/>
      <c r="H23" s="212"/>
      <c r="I23" s="212"/>
      <c r="J23" s="212"/>
      <c r="K23" s="212"/>
      <c r="L23" s="212"/>
      <c r="M23" s="212"/>
      <c r="N23" s="212"/>
      <c r="O23" s="212"/>
      <c r="P23" s="212"/>
      <c r="Q23" s="212"/>
      <c r="R23" s="212"/>
      <c r="S23" s="212"/>
      <c r="T23" s="212"/>
    </row>
    <row r="24" spans="1:28" x14ac:dyDescent="0.3">
      <c r="A24" s="212"/>
      <c r="B24" s="212"/>
      <c r="C24" s="232" t="s">
        <v>14</v>
      </c>
      <c r="D24" s="262"/>
      <c r="E24" s="268">
        <f>+E21+E22+E23</f>
        <v>63153.008632669786</v>
      </c>
      <c r="F24" s="268">
        <f>+E24-'2022 Expectations'!AL29</f>
        <v>3901.6761079941934</v>
      </c>
      <c r="G24" s="233"/>
      <c r="H24" s="212"/>
      <c r="I24" s="236"/>
      <c r="J24" s="212"/>
      <c r="K24" s="212"/>
      <c r="L24" s="212"/>
      <c r="M24" s="212"/>
      <c r="N24" s="212"/>
      <c r="O24" s="212"/>
      <c r="P24" s="212"/>
      <c r="Q24" s="212"/>
      <c r="R24" s="212"/>
      <c r="S24" s="212"/>
      <c r="T24" s="212"/>
    </row>
    <row r="25" spans="1:28" x14ac:dyDescent="0.3">
      <c r="A25" s="212"/>
      <c r="B25" s="212"/>
      <c r="C25" s="230" t="s">
        <v>32</v>
      </c>
      <c r="D25" s="261"/>
      <c r="E25" s="275">
        <f>+E24*'2022 Expectations'!AK17</f>
        <v>7744.7830992387471</v>
      </c>
      <c r="F25" s="267">
        <f>+E25-'2022 Expectations'!AL30</f>
        <v>478.48290737276329</v>
      </c>
      <c r="G25" s="231"/>
      <c r="H25" s="212"/>
      <c r="I25" s="212"/>
      <c r="J25" s="212"/>
      <c r="K25" s="212"/>
      <c r="L25" s="212"/>
      <c r="M25" s="212"/>
      <c r="N25" s="212"/>
      <c r="O25" s="212"/>
      <c r="P25" s="212"/>
      <c r="Q25" s="212"/>
      <c r="R25" s="212"/>
      <c r="S25" s="212"/>
      <c r="T25" s="212"/>
    </row>
    <row r="26" spans="1:28" x14ac:dyDescent="0.3">
      <c r="A26" s="212"/>
      <c r="B26" s="212"/>
      <c r="C26" s="237" t="s">
        <v>16</v>
      </c>
      <c r="D26" s="263"/>
      <c r="E26" s="277">
        <f>+'2022 Expectations'!N13</f>
        <v>0</v>
      </c>
      <c r="F26" s="267">
        <f>+E26-'2022 Expectations'!AL31</f>
        <v>0</v>
      </c>
      <c r="G26" s="231"/>
      <c r="H26" s="212"/>
      <c r="I26" s="225"/>
      <c r="J26" s="212"/>
      <c r="K26" s="212"/>
      <c r="L26" s="212"/>
      <c r="M26" s="212"/>
      <c r="N26" s="212"/>
      <c r="O26" s="212"/>
      <c r="P26" s="212"/>
      <c r="Q26" s="212"/>
      <c r="R26" s="212"/>
      <c r="S26" s="212"/>
      <c r="T26" s="212"/>
    </row>
    <row r="27" spans="1:28" x14ac:dyDescent="0.3">
      <c r="A27" s="212"/>
      <c r="B27" s="212"/>
      <c r="C27" s="232" t="s">
        <v>64</v>
      </c>
      <c r="D27" s="262"/>
      <c r="E27" s="270">
        <f>+E24-E25-E26</f>
        <v>55408.225533431039</v>
      </c>
      <c r="F27" s="270">
        <f>+E27-'2022 Expectations'!AL32</f>
        <v>3423.1932006214338</v>
      </c>
      <c r="G27" s="238"/>
      <c r="H27" s="212"/>
      <c r="I27" s="212"/>
      <c r="J27" s="212"/>
      <c r="K27" s="212"/>
      <c r="L27" s="212"/>
      <c r="M27" s="212"/>
      <c r="N27" s="212"/>
      <c r="O27" s="212"/>
      <c r="P27" s="212"/>
      <c r="Q27" s="212"/>
      <c r="R27" s="212"/>
      <c r="S27" s="212"/>
      <c r="T27" s="212"/>
    </row>
    <row r="28" spans="1:28" x14ac:dyDescent="0.3">
      <c r="A28" s="212"/>
      <c r="B28" s="212"/>
      <c r="C28" s="239" t="s">
        <v>171</v>
      </c>
      <c r="D28" s="231"/>
      <c r="E28" s="271">
        <f>E27/AVERAGE('2022 Expectations'!AK37:AL37)</f>
        <v>0.11248832733628701</v>
      </c>
      <c r="F28" s="271">
        <f>+E28-'2022 Expectations'!AL42</f>
        <v>6.949677120674444E-3</v>
      </c>
      <c r="G28" s="240"/>
      <c r="H28" s="212"/>
      <c r="I28" s="212"/>
      <c r="J28" s="212"/>
      <c r="K28" s="212"/>
      <c r="L28" s="212"/>
      <c r="M28" s="212"/>
      <c r="N28" s="212"/>
      <c r="O28" s="212"/>
      <c r="P28" s="212"/>
      <c r="Q28" s="212"/>
      <c r="R28" s="212"/>
      <c r="S28" s="212"/>
      <c r="T28" s="212"/>
      <c r="Z28" s="210"/>
    </row>
    <row r="29" spans="1:28" x14ac:dyDescent="0.3">
      <c r="A29" s="212"/>
      <c r="B29" s="212"/>
      <c r="C29" s="241" t="s">
        <v>159</v>
      </c>
      <c r="D29" s="264"/>
      <c r="E29" s="250"/>
      <c r="F29" s="272">
        <f>F27/'2022 Expectations'!AL32</f>
        <v>6.5849592604002957E-2</v>
      </c>
      <c r="G29" s="242"/>
      <c r="H29" s="212"/>
      <c r="I29" s="212"/>
      <c r="J29" s="212"/>
      <c r="K29" s="212"/>
      <c r="L29" s="212"/>
      <c r="M29" s="212"/>
      <c r="N29" s="212"/>
      <c r="O29" s="212"/>
      <c r="P29" s="212"/>
      <c r="Q29" s="212"/>
      <c r="R29" s="212"/>
      <c r="S29" s="212"/>
      <c r="T29" s="212"/>
      <c r="Z29" s="210"/>
    </row>
    <row r="30" spans="1:28" x14ac:dyDescent="0.3">
      <c r="A30" s="212"/>
      <c r="B30" s="212"/>
      <c r="C30" s="243" t="s">
        <v>176</v>
      </c>
      <c r="D30" s="265"/>
      <c r="E30" s="278"/>
      <c r="F30" s="273">
        <f>+E28-'2022 Expectations'!AL42</f>
        <v>6.949677120674444E-3</v>
      </c>
      <c r="G30" s="240"/>
      <c r="H30" s="212"/>
      <c r="I30" s="212"/>
      <c r="J30" s="212"/>
      <c r="K30" s="212"/>
      <c r="L30" s="212"/>
      <c r="M30" s="212"/>
      <c r="N30" s="212"/>
      <c r="O30" s="212"/>
      <c r="P30" s="212"/>
      <c r="Q30" s="212"/>
      <c r="R30" s="212"/>
      <c r="S30" s="212"/>
      <c r="T30" s="212"/>
      <c r="Z30" s="210"/>
    </row>
    <row r="31" spans="1:28" x14ac:dyDescent="0.3">
      <c r="A31" s="212"/>
      <c r="B31" s="212"/>
      <c r="C31" s="225"/>
      <c r="D31" s="225"/>
      <c r="E31" s="225"/>
      <c r="F31" s="212"/>
      <c r="G31" s="212"/>
      <c r="H31" s="212"/>
      <c r="I31" s="212"/>
      <c r="J31" s="212"/>
      <c r="K31" s="212"/>
      <c r="L31" s="212"/>
      <c r="M31" s="212"/>
      <c r="N31" s="212"/>
      <c r="O31" s="212"/>
      <c r="P31" s="212"/>
      <c r="Q31" s="212"/>
      <c r="R31" s="212"/>
      <c r="S31" s="212"/>
      <c r="T31" s="212"/>
      <c r="AB31" s="210"/>
    </row>
    <row r="32" spans="1:28" x14ac:dyDescent="0.3">
      <c r="A32" s="212"/>
      <c r="B32" s="212"/>
      <c r="C32" s="310" t="s">
        <v>221</v>
      </c>
      <c r="D32" s="311"/>
      <c r="E32" s="311"/>
      <c r="F32" s="311"/>
      <c r="G32" s="311"/>
      <c r="H32" s="316"/>
      <c r="I32" s="245"/>
      <c r="J32" s="212"/>
      <c r="K32" s="212"/>
      <c r="L32" s="212"/>
      <c r="M32" s="212"/>
      <c r="N32" s="212"/>
      <c r="O32" s="212"/>
      <c r="P32" s="212"/>
      <c r="Q32" s="212"/>
      <c r="R32" s="212"/>
      <c r="S32" s="212"/>
      <c r="T32" s="212"/>
      <c r="AB32" s="210"/>
    </row>
    <row r="33" spans="1:28" x14ac:dyDescent="0.3">
      <c r="A33" s="212"/>
      <c r="B33" s="212"/>
      <c r="C33" s="244" t="s">
        <v>217</v>
      </c>
      <c r="D33" s="257"/>
      <c r="E33" s="281" t="s">
        <v>197</v>
      </c>
      <c r="F33" s="259" t="s">
        <v>198</v>
      </c>
      <c r="G33" s="260"/>
      <c r="H33" s="255" t="s">
        <v>178</v>
      </c>
      <c r="I33" s="249"/>
      <c r="J33" s="212"/>
      <c r="K33" s="212"/>
      <c r="L33" s="212"/>
      <c r="M33" s="212"/>
      <c r="N33" s="212"/>
      <c r="O33" s="212"/>
      <c r="P33" s="212"/>
      <c r="Q33" s="212"/>
      <c r="R33" s="212"/>
      <c r="S33" s="212"/>
      <c r="T33" s="212"/>
      <c r="AB33" s="210"/>
    </row>
    <row r="34" spans="1:28" x14ac:dyDescent="0.3">
      <c r="A34" s="212"/>
      <c r="B34" s="212"/>
      <c r="C34" s="279" t="s">
        <v>27</v>
      </c>
      <c r="D34" s="282"/>
      <c r="E34" s="246">
        <f>-'2022 Expectations'!AL28/('2022 Expectations'!AL27+'2022 Expectations'!AL24)</f>
        <v>0.36760499786192075</v>
      </c>
      <c r="F34" s="258">
        <f>-E23/(E19+E22)</f>
        <v>0.35593511049009335</v>
      </c>
      <c r="G34" s="256"/>
      <c r="H34" s="246">
        <f>F34-E34</f>
        <v>-1.1669887371827392E-2</v>
      </c>
      <c r="I34" s="249"/>
      <c r="J34" s="212"/>
      <c r="K34" s="212"/>
      <c r="L34" s="212"/>
      <c r="M34" s="212"/>
      <c r="N34" s="212"/>
      <c r="O34" s="212"/>
      <c r="P34" s="212"/>
      <c r="Q34" s="212"/>
      <c r="R34" s="212"/>
      <c r="S34" s="212"/>
      <c r="T34" s="212"/>
      <c r="AB34" s="210"/>
    </row>
    <row r="35" spans="1:28" x14ac:dyDescent="0.3">
      <c r="A35" s="212"/>
      <c r="B35" s="212"/>
      <c r="C35" s="280" t="s">
        <v>28</v>
      </c>
      <c r="D35" s="283"/>
      <c r="E35" s="246">
        <f>('2022 Expectations'!AL22/AVERAGE('2022 Expectations'!AK35:AL35))-('2022 Expectations'!AL23/(AVERAGE('2022 Expectations'!M18:N18)))</f>
        <v>4.1939042396118946E-2</v>
      </c>
      <c r="F35" s="247">
        <f>(E17/AVERAGE('2022 Expectations'!AK35:AL35))-(E18/AVERAGE('2022 Expectations'!M18:N18))</f>
        <v>4.4200098902459968E-2</v>
      </c>
      <c r="G35" s="248"/>
      <c r="H35" s="246">
        <f>F35-E35</f>
        <v>2.2610565063410221E-3</v>
      </c>
      <c r="I35" s="254"/>
      <c r="J35" s="212"/>
      <c r="K35" s="212"/>
      <c r="L35" s="212"/>
      <c r="M35" s="212"/>
      <c r="N35" s="212"/>
      <c r="O35" s="212"/>
      <c r="P35" s="212"/>
      <c r="Q35" s="212"/>
      <c r="R35" s="212"/>
      <c r="S35" s="212"/>
      <c r="T35" s="212"/>
      <c r="AB35" s="210"/>
    </row>
    <row r="36" spans="1:28" x14ac:dyDescent="0.3">
      <c r="A36" s="212"/>
      <c r="B36" s="212"/>
      <c r="C36" s="280" t="s">
        <v>179</v>
      </c>
      <c r="D36" s="283"/>
      <c r="E36" s="251">
        <f>'2022 Expectations'!AL32/('2022 Expectations'!AL27+'2022 Expectations'!AL24)</f>
        <v>0.43684054333656158</v>
      </c>
      <c r="F36" s="252">
        <f>E27/(E19+E22)</f>
        <v>0.45082530485454458</v>
      </c>
      <c r="G36" s="253"/>
      <c r="H36" s="246">
        <f>F36-E36</f>
        <v>1.3984761517983002E-2</v>
      </c>
      <c r="I36" s="254"/>
      <c r="J36" s="212"/>
      <c r="K36" s="212"/>
      <c r="L36" s="212"/>
      <c r="M36" s="212"/>
      <c r="N36" s="212"/>
      <c r="O36" s="212"/>
      <c r="P36" s="212"/>
      <c r="Q36" s="212"/>
      <c r="R36" s="212"/>
      <c r="S36" s="212"/>
      <c r="T36" s="212"/>
      <c r="AB36" s="210"/>
    </row>
    <row r="37" spans="1:28" x14ac:dyDescent="0.3">
      <c r="A37" s="212"/>
      <c r="B37" s="212"/>
      <c r="C37" s="280" t="s">
        <v>171</v>
      </c>
      <c r="D37" s="283"/>
      <c r="E37" s="251">
        <f>'2022 Expectations'!AL32/AVERAGE('2022 Expectations'!AK37:AL37)</f>
        <v>0.10553865021561257</v>
      </c>
      <c r="F37" s="252">
        <f>E27/AVERAGE('2022 Expectations'!AK37:AL37)</f>
        <v>0.11248832733628701</v>
      </c>
      <c r="G37" s="253"/>
      <c r="H37" s="246">
        <f>F37-E37</f>
        <v>6.949677120674444E-3</v>
      </c>
      <c r="I37" s="254"/>
      <c r="J37" s="212"/>
      <c r="K37" s="212"/>
      <c r="L37" s="212"/>
      <c r="M37" s="212"/>
      <c r="N37" s="212"/>
      <c r="O37" s="212"/>
      <c r="P37" s="212"/>
      <c r="Q37" s="212"/>
      <c r="R37" s="212"/>
      <c r="S37" s="212"/>
      <c r="T37" s="212"/>
      <c r="AB37" s="210"/>
    </row>
    <row r="38" spans="1:28" x14ac:dyDescent="0.3">
      <c r="A38" s="212"/>
      <c r="B38" s="212"/>
      <c r="C38" s="280" t="s">
        <v>190</v>
      </c>
      <c r="D38" s="283"/>
      <c r="E38" s="246">
        <f>'2022 Expectations'!AL32/AVERAGE('2022 Expectations'!AK38:AL38)</f>
        <v>1.534293363661509E-2</v>
      </c>
      <c r="F38" s="247">
        <f>E27/AVERAGE('2022 Expectations'!AK38:AL38)</f>
        <v>1.6353259565936445E-2</v>
      </c>
      <c r="G38" s="248"/>
      <c r="H38" s="246">
        <f>F38-E38</f>
        <v>1.0103259293213554E-3</v>
      </c>
      <c r="I38" s="217"/>
      <c r="J38" s="212"/>
      <c r="K38" s="212"/>
      <c r="L38" s="212"/>
      <c r="M38" s="212"/>
      <c r="N38" s="212"/>
      <c r="O38" s="212"/>
      <c r="P38" s="212"/>
      <c r="Q38" s="212"/>
      <c r="R38" s="212"/>
      <c r="S38" s="212"/>
      <c r="T38" s="212"/>
    </row>
    <row r="39" spans="1:28" x14ac:dyDescent="0.3">
      <c r="A39" s="212"/>
      <c r="B39" s="212"/>
      <c r="C39" s="212"/>
      <c r="D39" s="212"/>
      <c r="E39" s="212"/>
      <c r="F39" s="212"/>
      <c r="G39" s="212"/>
      <c r="H39" s="212"/>
      <c r="I39" s="217"/>
      <c r="J39" s="212"/>
      <c r="K39" s="212"/>
      <c r="L39" s="212"/>
      <c r="M39" s="212"/>
      <c r="N39" s="212"/>
      <c r="O39" s="212"/>
      <c r="P39" s="212"/>
      <c r="Q39" s="212"/>
      <c r="R39" s="212"/>
      <c r="S39" s="212"/>
      <c r="T39" s="212"/>
    </row>
    <row r="41" spans="1:28" x14ac:dyDescent="0.3">
      <c r="I41" s="209"/>
    </row>
    <row r="42" spans="1:28" x14ac:dyDescent="0.3">
      <c r="I42" s="209"/>
    </row>
    <row r="43" spans="1:28" x14ac:dyDescent="0.3">
      <c r="I43" s="209"/>
    </row>
    <row r="44" spans="1:28" x14ac:dyDescent="0.3">
      <c r="I44" s="209"/>
    </row>
    <row r="45" spans="1:28" x14ac:dyDescent="0.3">
      <c r="I45" s="209"/>
    </row>
    <row r="46" spans="1:28" x14ac:dyDescent="0.3">
      <c r="I46" s="209"/>
    </row>
  </sheetData>
  <sheetProtection selectLockedCells="1"/>
  <mergeCells count="5">
    <mergeCell ref="C14:F14"/>
    <mergeCell ref="C5:G5"/>
    <mergeCell ref="C15:C16"/>
    <mergeCell ref="F15:F16"/>
    <mergeCell ref="C32:H32"/>
  </mergeCells>
  <hyperlinks>
    <hyperlink ref="S2" location="'Table of contents'!A4" display="TOC"/>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'2022 Expectations'!$AV$5:$AV$13</xm:f>
          </x14:formula1>
          <xm:sqref>F7 F10</xm:sqref>
        </x14:dataValidation>
        <x14:dataValidation type="list" allowBlank="1" showInputMessage="1" showErrorMessage="1">
          <x14:formula1>
            <xm:f>'2022 Expectations'!$AW$5:$AW$25</xm:f>
          </x14:formula1>
          <xm:sqref>F8 F11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W504"/>
  <sheetViews>
    <sheetView zoomScale="115" zoomScaleNormal="115" workbookViewId="0">
      <selection activeCell="P38" sqref="P38"/>
    </sheetView>
  </sheetViews>
  <sheetFormatPr defaultRowHeight="14.4" x14ac:dyDescent="0.3"/>
  <cols>
    <col min="1" max="1" width="34" customWidth="1"/>
    <col min="2" max="6" width="11.33203125" customWidth="1"/>
    <col min="7" max="7" width="12.44140625" customWidth="1"/>
    <col min="8" max="14" width="11.33203125" customWidth="1"/>
    <col min="15" max="15" width="11.6640625" customWidth="1"/>
    <col min="16" max="16" width="10.44140625" customWidth="1"/>
    <col min="17" max="17" width="11" customWidth="1"/>
    <col min="18" max="18" width="10.88671875" customWidth="1"/>
    <col min="19" max="19" width="9.33203125" customWidth="1"/>
    <col min="20" max="20" width="10" bestFit="1" customWidth="1"/>
    <col min="21" max="21" width="13.44140625" customWidth="1"/>
    <col min="22" max="22" width="11.6640625" customWidth="1"/>
    <col min="23" max="23" width="12.109375" customWidth="1"/>
    <col min="24" max="24" width="9.6640625" bestFit="1" customWidth="1"/>
    <col min="35" max="35" width="26.33203125" customWidth="1"/>
    <col min="36" max="38" width="11.109375" bestFit="1" customWidth="1"/>
  </cols>
  <sheetData>
    <row r="1" spans="1:49" x14ac:dyDescent="0.3">
      <c r="A1" s="14"/>
      <c r="B1" s="14"/>
      <c r="Q1" s="13" t="s">
        <v>138</v>
      </c>
    </row>
    <row r="2" spans="1:49" x14ac:dyDescent="0.3">
      <c r="A2" s="11" t="s">
        <v>9</v>
      </c>
      <c r="B2" s="11"/>
      <c r="AM2" s="160"/>
    </row>
    <row r="3" spans="1:49" x14ac:dyDescent="0.3">
      <c r="A3" s="4" t="s">
        <v>137</v>
      </c>
      <c r="B3" s="66">
        <v>2010</v>
      </c>
      <c r="C3" s="66">
        <v>2011</v>
      </c>
      <c r="D3" s="66">
        <v>2012</v>
      </c>
      <c r="E3" s="66">
        <v>2013</v>
      </c>
      <c r="F3" s="66">
        <v>2014</v>
      </c>
      <c r="G3" s="66">
        <v>2015</v>
      </c>
      <c r="H3" s="66">
        <v>2016</v>
      </c>
      <c r="I3" s="66">
        <v>2017</v>
      </c>
      <c r="J3" s="67">
        <v>2018</v>
      </c>
      <c r="K3" s="67">
        <v>2019</v>
      </c>
      <c r="L3" s="67">
        <v>2020</v>
      </c>
      <c r="M3" s="67" t="s">
        <v>150</v>
      </c>
      <c r="N3" s="67" t="s">
        <v>149</v>
      </c>
      <c r="P3" s="45">
        <v>2022</v>
      </c>
      <c r="Q3" s="45">
        <v>2021</v>
      </c>
      <c r="R3" s="45">
        <v>2020</v>
      </c>
      <c r="S3" s="46">
        <v>2019</v>
      </c>
      <c r="T3" s="46">
        <v>2018</v>
      </c>
      <c r="U3" s="46">
        <v>2017</v>
      </c>
      <c r="V3" s="46">
        <v>2016</v>
      </c>
      <c r="W3" s="46">
        <v>2015</v>
      </c>
      <c r="X3" s="46">
        <v>2014</v>
      </c>
      <c r="Y3" s="46">
        <v>2013</v>
      </c>
      <c r="Z3" s="46">
        <v>2012</v>
      </c>
      <c r="AM3" s="160"/>
    </row>
    <row r="4" spans="1:49" x14ac:dyDescent="0.3">
      <c r="A4" s="5" t="s">
        <v>4</v>
      </c>
      <c r="B4" s="63">
        <f>'2022 Expectations'!G96</f>
        <v>38397.284999999996</v>
      </c>
      <c r="C4" s="63">
        <f>'2022 Expectations'!H96</f>
        <v>39465.137999999999</v>
      </c>
      <c r="D4" s="63">
        <f>'2022 Expectations'!I96</f>
        <v>43112.468000000001</v>
      </c>
      <c r="E4" s="63">
        <f>'2022 Expectations'!J96</f>
        <v>46554.554000000004</v>
      </c>
      <c r="F4" s="63">
        <f>'2022 Expectations'!K96</f>
        <v>50599.353000000003</v>
      </c>
      <c r="G4" s="63">
        <f>'2022 Expectations'!L96</f>
        <v>54047.877</v>
      </c>
      <c r="H4" s="63">
        <f>'2022 Expectations'!M96</f>
        <v>65479.734999999993</v>
      </c>
      <c r="I4" s="63">
        <f>'2022 Expectations'!N96</f>
        <v>68177.079000000012</v>
      </c>
      <c r="J4" s="63">
        <f>'2022 Expectations'!O96</f>
        <v>76845.314999999988</v>
      </c>
      <c r="K4" s="63">
        <f>'2022 Expectations'!P96</f>
        <v>88326.77399999999</v>
      </c>
      <c r="L4" s="63">
        <f>'2022 Expectations'!Q96</f>
        <v>81846.555999999982</v>
      </c>
      <c r="M4" s="63">
        <f>'2022 Expectations'!R96</f>
        <v>87668.076000000001</v>
      </c>
      <c r="N4" s="56">
        <f>G60</f>
        <v>99335.331063475358</v>
      </c>
      <c r="O4" s="63"/>
      <c r="P4" s="77">
        <f t="shared" ref="P4:P11" si="0">N4/M4-1</f>
        <v>0.13308442018820354</v>
      </c>
      <c r="Q4" s="78">
        <f t="shared" ref="Q4:Q11" si="1">M4/L4-1</f>
        <v>7.1127244498840225E-2</v>
      </c>
      <c r="R4" s="78">
        <f t="shared" ref="R4:R11" si="2">L4/K4-1</f>
        <v>-7.3366406430738773E-2</v>
      </c>
      <c r="S4" s="78">
        <f t="shared" ref="S4:S11" si="3">K4/J4-1</f>
        <v>0.1494100063224415</v>
      </c>
      <c r="T4" s="78">
        <f t="shared" ref="T4:T11" si="4">J4/I4-1</f>
        <v>0.12714296545324233</v>
      </c>
      <c r="U4" s="79">
        <f t="shared" ref="U4:U11" si="5">I4/H4-1</f>
        <v>4.1193569277579112E-2</v>
      </c>
      <c r="V4" s="79">
        <f t="shared" ref="V4:V11" si="6">H4/G4-1</f>
        <v>0.21151354381597631</v>
      </c>
      <c r="W4" s="79">
        <f t="shared" ref="W4:W11" si="7">G4/F4-1</f>
        <v>6.8153519670498541E-2</v>
      </c>
      <c r="X4" s="79">
        <f t="shared" ref="X4:X11" si="8">F4/E4-1</f>
        <v>8.688299322983517E-2</v>
      </c>
      <c r="Y4" s="79">
        <f t="shared" ref="Y4:Y11" si="9">E4/D4-1</f>
        <v>7.9839688138475529E-2</v>
      </c>
      <c r="Z4" s="79">
        <f t="shared" ref="Z4:Z11" si="10">D4/C4-1</f>
        <v>9.2419035757584478E-2</v>
      </c>
      <c r="AA4" s="49"/>
      <c r="AI4" s="141"/>
      <c r="AJ4" s="165">
        <f>+'2022 Expectations'!H3</f>
        <v>2016</v>
      </c>
      <c r="AK4" s="165">
        <f>+'2022 Expectations'!I3</f>
        <v>2017</v>
      </c>
      <c r="AL4" s="165">
        <f>+'2022 Expectations'!J3</f>
        <v>2018</v>
      </c>
      <c r="AM4" s="165">
        <f>+'2022 Expectations'!K3</f>
        <v>2019</v>
      </c>
      <c r="AN4" s="165">
        <f>+'2022 Expectations'!L3</f>
        <v>2020</v>
      </c>
      <c r="AO4" s="165" t="s">
        <v>157</v>
      </c>
      <c r="AP4" s="165" t="s">
        <v>215</v>
      </c>
      <c r="AQ4" s="165" t="s">
        <v>216</v>
      </c>
      <c r="AV4" s="165" t="s">
        <v>181</v>
      </c>
      <c r="AW4" s="165" t="s">
        <v>182</v>
      </c>
    </row>
    <row r="5" spans="1:49" x14ac:dyDescent="0.3">
      <c r="A5" s="5" t="s">
        <v>5</v>
      </c>
      <c r="B5" s="63">
        <f>'2022 Expectations'!G112</f>
        <v>4334.7209999999995</v>
      </c>
      <c r="C5" s="63">
        <f>'2022 Expectations'!H112</f>
        <v>4454.2510000000002</v>
      </c>
      <c r="D5" s="63">
        <f>'2022 Expectations'!I112</f>
        <v>6050.7659999999996</v>
      </c>
      <c r="E5" s="63">
        <f>'2022 Expectations'!J112</f>
        <v>6285.4010000000007</v>
      </c>
      <c r="F5" s="63">
        <f>'2022 Expectations'!K112</f>
        <v>6666.7059999999992</v>
      </c>
      <c r="G5" s="63">
        <f>'2022 Expectations'!L112</f>
        <v>7400.5209999999997</v>
      </c>
      <c r="H5" s="63">
        <f>'2022 Expectations'!M112</f>
        <v>14948.911</v>
      </c>
      <c r="I5" s="63">
        <f>'2022 Expectations'!N112</f>
        <v>12865.268</v>
      </c>
      <c r="J5" s="63">
        <f>'2022 Expectations'!O112</f>
        <v>14707.266999999998</v>
      </c>
      <c r="K5" s="63">
        <f>'2022 Expectations'!P112</f>
        <v>18264.306</v>
      </c>
      <c r="L5" s="63">
        <f>'2022 Expectations'!Q112</f>
        <v>10811.689</v>
      </c>
      <c r="M5" s="63">
        <f>'2022 Expectations'!R112</f>
        <v>8111.735999999999</v>
      </c>
      <c r="N5" s="56">
        <f>G61</f>
        <v>8811.2380484471323</v>
      </c>
      <c r="O5" s="63"/>
      <c r="P5" s="77">
        <f t="shared" si="0"/>
        <v>8.6233335065038386E-2</v>
      </c>
      <c r="Q5" s="78">
        <f t="shared" si="1"/>
        <v>-0.24972536668415091</v>
      </c>
      <c r="R5" s="78">
        <f t="shared" si="2"/>
        <v>-0.40804271457125174</v>
      </c>
      <c r="S5" s="78">
        <f t="shared" si="3"/>
        <v>0.24185587981778012</v>
      </c>
      <c r="T5" s="78">
        <f t="shared" si="4"/>
        <v>0.14317610795204572</v>
      </c>
      <c r="U5" s="79">
        <f t="shared" si="5"/>
        <v>-0.13938426685395344</v>
      </c>
      <c r="V5" s="79">
        <f t="shared" si="6"/>
        <v>1.0199808905345988</v>
      </c>
      <c r="W5" s="79">
        <f t="shared" si="7"/>
        <v>0.11007160057755661</v>
      </c>
      <c r="X5" s="79">
        <f t="shared" si="8"/>
        <v>6.0665182698764752E-2</v>
      </c>
      <c r="Y5" s="79">
        <f t="shared" si="9"/>
        <v>3.8777734918190809E-2</v>
      </c>
      <c r="Z5" s="79">
        <f t="shared" si="10"/>
        <v>0.358425019155858</v>
      </c>
      <c r="AA5" s="49"/>
      <c r="AI5" s="141" t="s">
        <v>188</v>
      </c>
      <c r="AJ5" s="163">
        <f>+'2022 Expectations'!H14/1000</f>
        <v>35.279063999999998</v>
      </c>
      <c r="AK5" s="163">
        <f>+'2022 Expectations'!I14/1000</f>
        <v>38.603854000000005</v>
      </c>
      <c r="AL5" s="163">
        <f>+'2022 Expectations'!J14/1000</f>
        <v>28.965461000000001</v>
      </c>
      <c r="AM5" s="163">
        <f>+'2022 Expectations'!K14/1000</f>
        <v>41.063524000000001</v>
      </c>
      <c r="AN5" s="163">
        <f>+'2022 Expectations'!L14/1000</f>
        <v>30.564748999999999</v>
      </c>
      <c r="AO5" s="163">
        <f>+'2022 Expectations'!M14/1000</f>
        <v>48.412073333333332</v>
      </c>
      <c r="AP5" s="163">
        <f>+'2022 Expectations'!N14/1000</f>
        <v>51.985032332809602</v>
      </c>
      <c r="AQ5" s="164">
        <f>+Dashboard!E27/1000</f>
        <v>55.408225533431036</v>
      </c>
      <c r="AV5" s="141">
        <v>0</v>
      </c>
      <c r="AW5" s="150">
        <v>0</v>
      </c>
    </row>
    <row r="6" spans="1:49" x14ac:dyDescent="0.3">
      <c r="A6" s="6" t="s">
        <v>10</v>
      </c>
      <c r="B6" s="64">
        <f>B4-B5</f>
        <v>34062.563999999998</v>
      </c>
      <c r="C6" s="64">
        <f t="shared" ref="C6:L6" si="11">C4-C5</f>
        <v>35010.887000000002</v>
      </c>
      <c r="D6" s="64">
        <f t="shared" si="11"/>
        <v>37061.702000000005</v>
      </c>
      <c r="E6" s="64">
        <f t="shared" si="11"/>
        <v>40269.153000000006</v>
      </c>
      <c r="F6" s="64">
        <f t="shared" si="11"/>
        <v>43932.647000000004</v>
      </c>
      <c r="G6" s="64">
        <f t="shared" si="11"/>
        <v>46647.356</v>
      </c>
      <c r="H6" s="64">
        <f t="shared" si="11"/>
        <v>50530.823999999993</v>
      </c>
      <c r="I6" s="64">
        <f t="shared" si="11"/>
        <v>55311.811000000016</v>
      </c>
      <c r="J6" s="64">
        <f t="shared" si="11"/>
        <v>62138.047999999988</v>
      </c>
      <c r="K6" s="64">
        <f t="shared" si="11"/>
        <v>70062.467999999993</v>
      </c>
      <c r="L6" s="64">
        <f t="shared" si="11"/>
        <v>71034.866999999984</v>
      </c>
      <c r="M6" s="64">
        <f t="shared" ref="M6" si="12">M4-M5</f>
        <v>79556.34</v>
      </c>
      <c r="N6" s="76">
        <f>G62</f>
        <v>90524.093015028222</v>
      </c>
      <c r="O6" s="64"/>
      <c r="P6" s="77">
        <f t="shared" si="0"/>
        <v>0.13786145786782322</v>
      </c>
      <c r="Q6" s="78">
        <f t="shared" si="1"/>
        <v>0.11996183508022917</v>
      </c>
      <c r="R6" s="78">
        <f t="shared" si="2"/>
        <v>1.3879028640555235E-2</v>
      </c>
      <c r="S6" s="78">
        <f t="shared" si="3"/>
        <v>0.12752927159861871</v>
      </c>
      <c r="T6" s="78">
        <f t="shared" si="4"/>
        <v>0.12341373165308167</v>
      </c>
      <c r="U6" s="79">
        <f t="shared" si="5"/>
        <v>9.4615258995183193E-2</v>
      </c>
      <c r="V6" s="79">
        <f t="shared" si="6"/>
        <v>8.3251620949320149E-2</v>
      </c>
      <c r="W6" s="79">
        <f t="shared" si="7"/>
        <v>6.1792520719272659E-2</v>
      </c>
      <c r="X6" s="79">
        <f t="shared" si="8"/>
        <v>9.0975193841300817E-2</v>
      </c>
      <c r="Y6" s="79">
        <f t="shared" si="9"/>
        <v>8.6543542981377453E-2</v>
      </c>
      <c r="Z6" s="79">
        <f t="shared" si="10"/>
        <v>5.8576493648961225E-2</v>
      </c>
      <c r="AA6" s="49"/>
      <c r="AI6" s="141" t="s">
        <v>171</v>
      </c>
      <c r="AJ6" s="142">
        <f>+'2022 Expectations'!H24</f>
        <v>0.1309683893317744</v>
      </c>
      <c r="AK6" s="142">
        <f>+'2022 Expectations'!I24</f>
        <v>0.13370945650597796</v>
      </c>
      <c r="AL6" s="142">
        <f>+'2022 Expectations'!J24</f>
        <v>9.7977953603095039E-2</v>
      </c>
      <c r="AM6" s="142">
        <f>+'2022 Expectations'!K24</f>
        <v>0.13060888140128898</v>
      </c>
      <c r="AN6" s="142">
        <f>+'2022 Expectations'!L24</f>
        <v>8.7553871101808761E-2</v>
      </c>
      <c r="AO6" s="142">
        <f>+'2022 Expectations'!M24</f>
        <v>0.11632119875637775</v>
      </c>
      <c r="AP6" s="142">
        <f>+'2022 Expectations'!N24</f>
        <v>0.10553865021561257</v>
      </c>
      <c r="AQ6" s="142">
        <f>+Dashboard!F37</f>
        <v>0.11248832733628701</v>
      </c>
      <c r="AV6" s="141">
        <f t="shared" ref="AV6:AV13" si="13">+AV5+25</f>
        <v>25</v>
      </c>
      <c r="AW6" s="150">
        <v>0.05</v>
      </c>
    </row>
    <row r="7" spans="1:49" x14ac:dyDescent="0.3">
      <c r="A7" s="5" t="s">
        <v>30</v>
      </c>
      <c r="B7" s="63">
        <f>'2022 Expectations'!G127</f>
        <v>8558.2639999999992</v>
      </c>
      <c r="C7" s="63">
        <f>'2022 Expectations'!H127</f>
        <v>5326.799</v>
      </c>
      <c r="D7" s="63">
        <f>'2022 Expectations'!I127</f>
        <v>7209.4250000000002</v>
      </c>
      <c r="E7" s="63">
        <f>'2022 Expectations'!J127</f>
        <v>6351.1460000000006</v>
      </c>
      <c r="F7" s="63">
        <f>'2022 Expectations'!K127</f>
        <v>6213.1050000000005</v>
      </c>
      <c r="G7" s="63">
        <f>'2022 Expectations'!L127</f>
        <v>6126.7539999999999</v>
      </c>
      <c r="H7" s="63">
        <f>'2022 Expectations'!M127</f>
        <v>8437.594000000001</v>
      </c>
      <c r="I7" s="63">
        <f>'2022 Expectations'!N127</f>
        <v>8765.15</v>
      </c>
      <c r="J7" s="63">
        <f>'2022 Expectations'!O127</f>
        <v>7227.576</v>
      </c>
      <c r="K7" s="63">
        <f>'2022 Expectations'!P127</f>
        <v>11366.758000000002</v>
      </c>
      <c r="L7" s="63">
        <f>'2022 Expectations'!Q127</f>
        <v>15790.703000000001</v>
      </c>
      <c r="M7" s="63">
        <f>'2022 Expectations'!R127</f>
        <v>12643.638666666666</v>
      </c>
      <c r="N7" s="56">
        <f>G63</f>
        <v>16005.131498002846</v>
      </c>
      <c r="O7" s="63"/>
      <c r="P7" s="77">
        <f t="shared" si="0"/>
        <v>0.26586435439651757</v>
      </c>
      <c r="Q7" s="78">
        <f t="shared" si="1"/>
        <v>-0.19929855772306881</v>
      </c>
      <c r="R7" s="78">
        <f t="shared" si="2"/>
        <v>0.38920024513586005</v>
      </c>
      <c r="S7" s="78">
        <f t="shared" si="3"/>
        <v>0.57269297479542258</v>
      </c>
      <c r="T7" s="78">
        <f t="shared" si="4"/>
        <v>-0.17541901735851639</v>
      </c>
      <c r="U7" s="79">
        <f t="shared" si="5"/>
        <v>3.8821019356939823E-2</v>
      </c>
      <c r="V7" s="79">
        <f t="shared" si="6"/>
        <v>0.37717199025781034</v>
      </c>
      <c r="W7" s="79">
        <f t="shared" si="7"/>
        <v>-1.3898203877127591E-2</v>
      </c>
      <c r="X7" s="79">
        <f t="shared" si="8"/>
        <v>-2.1734817621890667E-2</v>
      </c>
      <c r="Y7" s="79">
        <f t="shared" si="9"/>
        <v>-0.11904957746283507</v>
      </c>
      <c r="Z7" s="79">
        <f t="shared" si="10"/>
        <v>0.35342538736678453</v>
      </c>
      <c r="AA7" s="49"/>
      <c r="AI7" s="142" t="s">
        <v>189</v>
      </c>
      <c r="AJ7" s="142">
        <f>+'2022 Expectations'!H27</f>
        <v>4.4754850761647556E-2</v>
      </c>
      <c r="AK7" s="142">
        <f>+'2022 Expectations'!I27</f>
        <v>4.7697418069347394E-2</v>
      </c>
      <c r="AL7" s="142">
        <f>+'2022 Expectations'!J27</f>
        <v>5.3159163280255418E-2</v>
      </c>
      <c r="AM7" s="142">
        <f>+'2022 Expectations'!K27</f>
        <v>5.6316488863754614E-2</v>
      </c>
      <c r="AN7" s="142">
        <f>+'2022 Expectations'!L27</f>
        <v>5.02100383722748E-2</v>
      </c>
      <c r="AO7" s="142">
        <f>+'2022 Expectations'!M27</f>
        <v>4.5853470774784952E-2</v>
      </c>
      <c r="AP7" s="142">
        <f>+'2022 Expectations'!N27</f>
        <v>4.1939042396118946E-2</v>
      </c>
      <c r="AQ7" s="142">
        <f>+Dashboard!F35</f>
        <v>4.4200098902459968E-2</v>
      </c>
      <c r="AV7" s="141">
        <f t="shared" si="13"/>
        <v>50</v>
      </c>
      <c r="AW7" s="150">
        <v>0.1</v>
      </c>
    </row>
    <row r="8" spans="1:49" x14ac:dyDescent="0.3">
      <c r="A8" s="6" t="s">
        <v>11</v>
      </c>
      <c r="B8" s="64">
        <f>B6-B7</f>
        <v>25504.3</v>
      </c>
      <c r="C8" s="64">
        <f t="shared" ref="C8:L8" si="14">C6-C7</f>
        <v>29684.088000000003</v>
      </c>
      <c r="D8" s="64">
        <f t="shared" si="14"/>
        <v>29852.277000000006</v>
      </c>
      <c r="E8" s="64">
        <f t="shared" si="14"/>
        <v>33918.007000000005</v>
      </c>
      <c r="F8" s="64">
        <f t="shared" si="14"/>
        <v>37719.542000000001</v>
      </c>
      <c r="G8" s="64">
        <f t="shared" si="14"/>
        <v>40520.601999999999</v>
      </c>
      <c r="H8" s="64">
        <f t="shared" si="14"/>
        <v>42093.229999999996</v>
      </c>
      <c r="I8" s="64">
        <f t="shared" si="14"/>
        <v>46546.661000000015</v>
      </c>
      <c r="J8" s="64">
        <f t="shared" si="14"/>
        <v>54910.471999999987</v>
      </c>
      <c r="K8" s="64">
        <f t="shared" si="14"/>
        <v>58695.709999999992</v>
      </c>
      <c r="L8" s="64">
        <f t="shared" si="14"/>
        <v>55244.163999999982</v>
      </c>
      <c r="M8" s="64">
        <f t="shared" ref="M8" si="15">M6-M7</f>
        <v>66912.701333333331</v>
      </c>
      <c r="N8" s="76">
        <f>N6-N7</f>
        <v>74518.961517025382</v>
      </c>
      <c r="O8" s="64"/>
      <c r="P8" s="77">
        <f t="shared" si="0"/>
        <v>0.11367438516344741</v>
      </c>
      <c r="Q8" s="78">
        <f t="shared" si="1"/>
        <v>0.21121755654286578</v>
      </c>
      <c r="R8" s="78">
        <f t="shared" si="2"/>
        <v>-5.880405910414932E-2</v>
      </c>
      <c r="S8" s="78">
        <f t="shared" si="3"/>
        <v>6.8934719774399467E-2</v>
      </c>
      <c r="T8" s="78">
        <f t="shared" si="4"/>
        <v>0.17968659449063318</v>
      </c>
      <c r="U8" s="79">
        <f t="shared" si="5"/>
        <v>0.10579922234525641</v>
      </c>
      <c r="V8" s="79">
        <f t="shared" si="6"/>
        <v>3.8810578381831551E-2</v>
      </c>
      <c r="W8" s="79">
        <f t="shared" si="7"/>
        <v>7.4260180571651624E-2</v>
      </c>
      <c r="X8" s="79">
        <f t="shared" si="8"/>
        <v>0.11208014079364959</v>
      </c>
      <c r="Y8" s="79">
        <f t="shared" si="9"/>
        <v>0.13619497098998501</v>
      </c>
      <c r="Z8" s="79">
        <f t="shared" si="10"/>
        <v>5.6659648765360338E-3</v>
      </c>
      <c r="AA8" s="49"/>
      <c r="AI8" s="141" t="s">
        <v>190</v>
      </c>
      <c r="AJ8" s="142">
        <f>+'2022 Expectations'!H52</f>
        <v>1.9051292196559537E-2</v>
      </c>
      <c r="AK8" s="142">
        <f>+'2022 Expectations'!I52</f>
        <v>2.045884437003586E-2</v>
      </c>
      <c r="AL8" s="142">
        <f>+'2022 Expectations'!J52</f>
        <v>1.5046540854247625E-2</v>
      </c>
      <c r="AM8" s="142">
        <f>+'2022 Expectations'!K52</f>
        <v>1.9820430901022673E-2</v>
      </c>
      <c r="AN8" s="142">
        <f>+'2022 Expectations'!L52</f>
        <v>1.3107221093232299E-2</v>
      </c>
      <c r="AO8" s="142">
        <f>+'2022 Expectations'!M52</f>
        <v>1.733891380354181E-2</v>
      </c>
      <c r="AP8" s="142">
        <f>+'2022 Expectations'!N52</f>
        <v>1.534293363661509E-2</v>
      </c>
      <c r="AQ8" s="142">
        <f>+Dashboard!F38</f>
        <v>1.6353259565936445E-2</v>
      </c>
      <c r="AV8" s="141">
        <f t="shared" si="13"/>
        <v>75</v>
      </c>
      <c r="AW8" s="150">
        <v>0.15</v>
      </c>
    </row>
    <row r="9" spans="1:49" x14ac:dyDescent="0.3">
      <c r="A9" s="5" t="s">
        <v>12</v>
      </c>
      <c r="B9" s="63">
        <f>'2022 Expectations'!G142</f>
        <v>13474.683000000001</v>
      </c>
      <c r="C9" s="63">
        <f>'2022 Expectations'!H142</f>
        <v>15631.743999999999</v>
      </c>
      <c r="D9" s="63">
        <f>'2022 Expectations'!I142</f>
        <v>17203.460999999999</v>
      </c>
      <c r="E9" s="63">
        <f>'2022 Expectations'!J142</f>
        <v>22007.858000000004</v>
      </c>
      <c r="F9" s="63">
        <f>'2022 Expectations'!K142</f>
        <v>24247.055</v>
      </c>
      <c r="G9" s="63">
        <f>'2022 Expectations'!L142</f>
        <v>25877.772000000001</v>
      </c>
      <c r="H9" s="63">
        <f>'2022 Expectations'!M142</f>
        <v>25457.561000000002</v>
      </c>
      <c r="I9" s="63">
        <f>'2022 Expectations'!N142</f>
        <v>24666.382000000001</v>
      </c>
      <c r="J9" s="63">
        <f>'2022 Expectations'!O142</f>
        <v>22693.43</v>
      </c>
      <c r="K9" s="63">
        <f>'2022 Expectations'!P142</f>
        <v>24513.665000000001</v>
      </c>
      <c r="L9" s="63">
        <f>'2022 Expectations'!Q142</f>
        <v>26712.496999999996</v>
      </c>
      <c r="M9" s="63">
        <f>'2022 Expectations'!R142</f>
        <v>28635.867999999999</v>
      </c>
      <c r="N9" s="56">
        <f>G64</f>
        <v>28478.213720860069</v>
      </c>
      <c r="O9" s="63"/>
      <c r="P9" s="77">
        <f t="shared" si="0"/>
        <v>-5.5054828140683743E-3</v>
      </c>
      <c r="Q9" s="78">
        <f t="shared" si="1"/>
        <v>7.2002666018081474E-2</v>
      </c>
      <c r="R9" s="78">
        <f t="shared" si="2"/>
        <v>8.9698215260753278E-2</v>
      </c>
      <c r="S9" s="78">
        <f t="shared" si="3"/>
        <v>8.020977877738189E-2</v>
      </c>
      <c r="T9" s="78">
        <f t="shared" si="4"/>
        <v>-7.9985463616026098E-2</v>
      </c>
      <c r="U9" s="79">
        <f t="shared" si="5"/>
        <v>-3.1078350357286788E-2</v>
      </c>
      <c r="V9" s="79">
        <f t="shared" si="6"/>
        <v>-1.6238299031307579E-2</v>
      </c>
      <c r="W9" s="79">
        <f t="shared" si="7"/>
        <v>6.7254229431161772E-2</v>
      </c>
      <c r="X9" s="79">
        <f t="shared" si="8"/>
        <v>0.10174534023256587</v>
      </c>
      <c r="Y9" s="79">
        <f t="shared" si="9"/>
        <v>0.27926921216608713</v>
      </c>
      <c r="Z9" s="79">
        <f t="shared" si="10"/>
        <v>0.10054649052594522</v>
      </c>
      <c r="AA9" s="49"/>
      <c r="AI9" s="149" t="s">
        <v>196</v>
      </c>
      <c r="AJ9" s="192">
        <f>'2022 Expectations'!M334/'2022 Expectations'!M232</f>
        <v>0.33793123697531496</v>
      </c>
      <c r="AK9" s="192">
        <f>'2022 Expectations'!N334/'2022 Expectations'!N232</f>
        <v>0.31682943219014731</v>
      </c>
      <c r="AL9" s="192">
        <f>'2022 Expectations'!O334/'2022 Expectations'!O232</f>
        <v>0.29643743266340727</v>
      </c>
      <c r="AM9" s="192">
        <f>'2022 Expectations'!P334/'2022 Expectations'!P232</f>
        <v>0.30461674857882504</v>
      </c>
      <c r="AN9" s="192">
        <f>'2022 Expectations'!Q334/'2022 Expectations'!Q232</f>
        <v>0.25029329062532579</v>
      </c>
      <c r="AO9" s="192">
        <f>'2022 Expectations'!R334/'2022 Expectations'!R232</f>
        <v>0.25827882969005123</v>
      </c>
      <c r="AP9" s="192">
        <f>'2022 Expectations'!S334/'2022 Expectations'!N18</f>
        <v>0.28741427982117573</v>
      </c>
      <c r="AQ9" s="192">
        <f>'2022 Expectations'!S334/'2022 Expectations'!N18</f>
        <v>0.28741427982117573</v>
      </c>
      <c r="AV9" s="141">
        <f t="shared" si="13"/>
        <v>100</v>
      </c>
      <c r="AW9" s="150">
        <v>0.2</v>
      </c>
    </row>
    <row r="10" spans="1:49" x14ac:dyDescent="0.3">
      <c r="A10" s="5" t="s">
        <v>31</v>
      </c>
      <c r="B10" s="63">
        <f>'2022 Expectations'!G157</f>
        <v>-17564.738000000001</v>
      </c>
      <c r="C10" s="63">
        <f>'2022 Expectations'!H157</f>
        <v>-19099.450999999997</v>
      </c>
      <c r="D10" s="63">
        <f>'2022 Expectations'!I157</f>
        <v>-21576.862999999998</v>
      </c>
      <c r="E10" s="63">
        <f>'2022 Expectations'!J157</f>
        <v>-24396.806</v>
      </c>
      <c r="F10" s="63">
        <f>'2022 Expectations'!K157</f>
        <v>-27314.898000000001</v>
      </c>
      <c r="G10" s="63">
        <f>'2022 Expectations'!L157</f>
        <v>-30076.225999999991</v>
      </c>
      <c r="H10" s="63">
        <f>'2022 Expectations'!M157</f>
        <v>-32356.414999999997</v>
      </c>
      <c r="I10" s="63">
        <f>'2022 Expectations'!N157</f>
        <v>-32607.836999999996</v>
      </c>
      <c r="J10" s="63">
        <f>'2022 Expectations'!O157</f>
        <v>-34352.554000000004</v>
      </c>
      <c r="K10" s="63">
        <f>'2022 Expectations'!P157</f>
        <v>-36865.868999999992</v>
      </c>
      <c r="L10" s="63">
        <f>'2022 Expectations'!Q157</f>
        <v>-46482.246999999996</v>
      </c>
      <c r="M10" s="63">
        <f>'2022 Expectations'!R157</f>
        <v>-40684.437333333335</v>
      </c>
      <c r="N10" s="56">
        <f>G65</f>
        <v>-43745.842713209851</v>
      </c>
      <c r="O10" s="63"/>
      <c r="P10" s="77">
        <f t="shared" si="0"/>
        <v>7.5247578202790155E-2</v>
      </c>
      <c r="Q10" s="78">
        <f t="shared" si="1"/>
        <v>-0.1247316995382487</v>
      </c>
      <c r="R10" s="78">
        <f t="shared" si="2"/>
        <v>0.26084772340508255</v>
      </c>
      <c r="S10" s="78">
        <f t="shared" si="3"/>
        <v>7.3162391361061285E-2</v>
      </c>
      <c r="T10" s="78">
        <f t="shared" si="4"/>
        <v>5.3506063588333319E-2</v>
      </c>
      <c r="U10" s="79">
        <f t="shared" si="5"/>
        <v>7.7703911264581649E-3</v>
      </c>
      <c r="V10" s="79">
        <f t="shared" si="6"/>
        <v>7.5813667579170518E-2</v>
      </c>
      <c r="W10" s="79">
        <f t="shared" si="7"/>
        <v>0.101092378232567</v>
      </c>
      <c r="X10" s="79">
        <f t="shared" si="8"/>
        <v>0.11960959151784056</v>
      </c>
      <c r="Y10" s="79">
        <f t="shared" si="9"/>
        <v>0.13069290934460698</v>
      </c>
      <c r="Z10" s="79">
        <f t="shared" si="10"/>
        <v>0.12971116290201223</v>
      </c>
      <c r="AA10" s="49"/>
      <c r="AM10" s="160"/>
      <c r="AV10" s="141">
        <f t="shared" si="13"/>
        <v>125</v>
      </c>
      <c r="AW10" s="150">
        <v>0.25</v>
      </c>
    </row>
    <row r="11" spans="1:49" x14ac:dyDescent="0.3">
      <c r="A11" s="5" t="s">
        <v>14</v>
      </c>
      <c r="B11" s="63">
        <f>'2022 Expectations'!G172</f>
        <v>21414.244999999999</v>
      </c>
      <c r="C11" s="63">
        <f>'2022 Expectations'!H172</f>
        <v>26216.381000000001</v>
      </c>
      <c r="D11" s="63">
        <f>'2022 Expectations'!I172</f>
        <v>25478.875</v>
      </c>
      <c r="E11" s="63">
        <f>'2022 Expectations'!J172</f>
        <v>31529.059000000001</v>
      </c>
      <c r="F11" s="63">
        <f>'2022 Expectations'!K172</f>
        <v>34651.699000000001</v>
      </c>
      <c r="G11" s="63">
        <f>'2022 Expectations'!L172</f>
        <v>36322.147999999994</v>
      </c>
      <c r="H11" s="63">
        <f>'2022 Expectations'!M172</f>
        <v>35194.376000000004</v>
      </c>
      <c r="I11" s="63">
        <f>'2022 Expectations'!N172</f>
        <v>38605.205999999998</v>
      </c>
      <c r="J11" s="63">
        <f>'2022 Expectations'!O172</f>
        <v>43251.347999999998</v>
      </c>
      <c r="K11" s="63">
        <f>'2022 Expectations'!P172</f>
        <v>46343.505999999994</v>
      </c>
      <c r="L11" s="63">
        <f>'2022 Expectations'!Q172</f>
        <v>35474.414000000004</v>
      </c>
      <c r="M11" s="63">
        <f>'2022 Expectations'!R172</f>
        <v>54864.131999999998</v>
      </c>
      <c r="N11" s="56">
        <f>N8+N9+N10</f>
        <v>59251.332524675592</v>
      </c>
      <c r="O11" s="63"/>
      <c r="P11" s="77">
        <f t="shared" si="0"/>
        <v>7.9964821546353759E-2</v>
      </c>
      <c r="Q11" s="78">
        <f t="shared" si="1"/>
        <v>0.54658317964040193</v>
      </c>
      <c r="R11" s="78">
        <f t="shared" si="2"/>
        <v>-0.23453322672652321</v>
      </c>
      <c r="S11" s="78">
        <f t="shared" si="3"/>
        <v>7.1492754399238523E-2</v>
      </c>
      <c r="T11" s="78">
        <f t="shared" si="4"/>
        <v>0.12035014137730538</v>
      </c>
      <c r="U11" s="79">
        <f t="shared" si="5"/>
        <v>9.6914063769733882E-2</v>
      </c>
      <c r="V11" s="79">
        <f t="shared" si="6"/>
        <v>-3.1049154912313859E-2</v>
      </c>
      <c r="W11" s="79">
        <f t="shared" si="7"/>
        <v>4.8206842613979672E-2</v>
      </c>
      <c r="X11" s="79">
        <f t="shared" si="8"/>
        <v>9.9040063326977235E-2</v>
      </c>
      <c r="Y11" s="79">
        <f t="shared" si="9"/>
        <v>0.23745883599648732</v>
      </c>
      <c r="Z11" s="79">
        <f t="shared" si="10"/>
        <v>-2.813149534254944E-2</v>
      </c>
      <c r="AA11" s="49"/>
      <c r="AV11" s="141">
        <f t="shared" si="13"/>
        <v>150</v>
      </c>
      <c r="AW11" s="150">
        <v>0.3</v>
      </c>
    </row>
    <row r="12" spans="1:49" x14ac:dyDescent="0.3">
      <c r="A12" s="5" t="s">
        <v>32</v>
      </c>
      <c r="B12" s="63">
        <f>'2022 Expectations'!G187</f>
        <v>0</v>
      </c>
      <c r="C12" s="63">
        <f>'2022 Expectations'!H187</f>
        <v>0</v>
      </c>
      <c r="D12" s="63">
        <f>'2022 Expectations'!I187</f>
        <v>0</v>
      </c>
      <c r="E12" s="63">
        <f>'2022 Expectations'!J187</f>
        <v>0</v>
      </c>
      <c r="F12" s="63">
        <f>'2022 Expectations'!K187</f>
        <v>0</v>
      </c>
      <c r="G12" s="128">
        <v>0</v>
      </c>
      <c r="H12" s="128">
        <v>0</v>
      </c>
      <c r="I12" s="128">
        <v>0</v>
      </c>
      <c r="J12" s="63">
        <f>'2022 Expectations'!L187</f>
        <v>14223.852999999996</v>
      </c>
      <c r="K12" s="63">
        <f>'2022 Expectations'!M187</f>
        <v>5370.5159999999996</v>
      </c>
      <c r="L12" s="63">
        <f>'2022 Expectations'!N187</f>
        <v>4828.3589999999995</v>
      </c>
      <c r="M12" s="63">
        <f>'2022 Expectations'!O187</f>
        <v>6359.4373333333333</v>
      </c>
      <c r="N12" s="56">
        <f>P46*N11</f>
        <v>7266.3001918659838</v>
      </c>
      <c r="O12" s="63"/>
      <c r="P12" s="77"/>
      <c r="Q12" s="78"/>
      <c r="R12" s="78"/>
      <c r="S12" s="78"/>
      <c r="T12" s="78"/>
      <c r="U12" s="79"/>
      <c r="V12" s="79"/>
      <c r="W12" s="79"/>
      <c r="X12" s="79"/>
      <c r="Y12" s="79"/>
      <c r="Z12" s="79"/>
      <c r="AA12" s="49"/>
      <c r="AI12" s="3" t="s">
        <v>180</v>
      </c>
      <c r="AV12" s="141">
        <f t="shared" si="13"/>
        <v>175</v>
      </c>
      <c r="AW12" s="150">
        <v>0.35</v>
      </c>
    </row>
    <row r="13" spans="1:49" x14ac:dyDescent="0.3">
      <c r="A13" s="7" t="s">
        <v>16</v>
      </c>
      <c r="B13" s="65">
        <f>B11-B12-B14</f>
        <v>-66.061000000001513</v>
      </c>
      <c r="C13" s="65">
        <f t="shared" ref="C13:L13" si="16">C11-C12-C14</f>
        <v>-64.908999999996013</v>
      </c>
      <c r="D13" s="65">
        <f t="shared" si="16"/>
        <v>-178.59699999999793</v>
      </c>
      <c r="E13" s="65">
        <f t="shared" si="16"/>
        <v>-81.507000000001426</v>
      </c>
      <c r="F13" s="65">
        <f t="shared" si="16"/>
        <v>13.111000000004424</v>
      </c>
      <c r="G13" s="65">
        <f t="shared" si="16"/>
        <v>-152.16999999999825</v>
      </c>
      <c r="H13" s="65">
        <f t="shared" si="16"/>
        <v>-84.687999999994645</v>
      </c>
      <c r="I13" s="65">
        <f t="shared" si="16"/>
        <v>1.3519999999916763</v>
      </c>
      <c r="J13" s="65">
        <f t="shared" si="16"/>
        <v>62.033999999999651</v>
      </c>
      <c r="K13" s="65">
        <f t="shared" si="16"/>
        <v>-90.534000000006927</v>
      </c>
      <c r="L13" s="65">
        <f t="shared" si="16"/>
        <v>81.306000000004133</v>
      </c>
      <c r="M13" s="65">
        <f t="shared" ref="M13" si="17">M11-M12-M14</f>
        <v>92.621333333328948</v>
      </c>
      <c r="N13" s="1">
        <v>0</v>
      </c>
      <c r="O13" s="65"/>
      <c r="P13" s="77"/>
      <c r="Q13" s="78"/>
      <c r="R13" s="78"/>
      <c r="S13" s="78"/>
      <c r="T13" s="78"/>
      <c r="U13" s="79"/>
      <c r="V13" s="79"/>
      <c r="W13" s="79"/>
      <c r="X13" s="79"/>
      <c r="Y13" s="79"/>
      <c r="Z13" s="79"/>
      <c r="AA13" s="49"/>
      <c r="AI13" s="165" t="s">
        <v>191</v>
      </c>
      <c r="AJ13" s="165"/>
      <c r="AK13" s="165" t="s">
        <v>149</v>
      </c>
      <c r="AM13" s="152"/>
      <c r="AN13" s="21"/>
      <c r="AV13" s="141">
        <f t="shared" si="13"/>
        <v>200</v>
      </c>
      <c r="AW13" s="150">
        <v>0.4</v>
      </c>
    </row>
    <row r="14" spans="1:49" x14ac:dyDescent="0.3">
      <c r="A14" s="8" t="s">
        <v>64</v>
      </c>
      <c r="B14" s="63">
        <f>'2022 Expectations'!G202</f>
        <v>21480.306</v>
      </c>
      <c r="C14" s="63">
        <f>'2022 Expectations'!H202</f>
        <v>26281.289999999997</v>
      </c>
      <c r="D14" s="63">
        <f>'2022 Expectations'!I202</f>
        <v>25657.471999999998</v>
      </c>
      <c r="E14" s="63">
        <f>'2022 Expectations'!J202</f>
        <v>31610.566000000003</v>
      </c>
      <c r="F14" s="63">
        <f>'2022 Expectations'!K202</f>
        <v>34638.587999999996</v>
      </c>
      <c r="G14" s="63">
        <f>'2022 Expectations'!L202</f>
        <v>36474.317999999992</v>
      </c>
      <c r="H14" s="63">
        <f>'2022 Expectations'!M202</f>
        <v>35279.063999999998</v>
      </c>
      <c r="I14" s="63">
        <f>'2022 Expectations'!N202</f>
        <v>38603.854000000007</v>
      </c>
      <c r="J14" s="63">
        <f>'2022 Expectations'!O202</f>
        <v>28965.461000000003</v>
      </c>
      <c r="K14" s="63">
        <f>'2022 Expectations'!P202</f>
        <v>41063.523999999998</v>
      </c>
      <c r="L14" s="63">
        <f>'2022 Expectations'!Q202</f>
        <v>30564.749</v>
      </c>
      <c r="M14" s="63">
        <f>'2022 Expectations'!R202</f>
        <v>48412.073333333334</v>
      </c>
      <c r="N14" s="56">
        <f>N11-N12-N13</f>
        <v>51985.032332809606</v>
      </c>
      <c r="O14" s="63"/>
      <c r="P14" s="77">
        <f>N14/M14-1</f>
        <v>7.3803056829961688E-2</v>
      </c>
      <c r="Q14" s="78">
        <f>M14/L14-1</f>
        <v>0.5839185636150106</v>
      </c>
      <c r="R14" s="78">
        <f>L14/K14-1</f>
        <v>-0.25567155415107579</v>
      </c>
      <c r="S14" s="78">
        <f>K14/J14-1</f>
        <v>0.41767203359891258</v>
      </c>
      <c r="T14" s="78">
        <f>J14/I14-1</f>
        <v>-0.24967437189043362</v>
      </c>
      <c r="U14" s="79">
        <f>I14/H14-1</f>
        <v>9.4242579678418092E-2</v>
      </c>
      <c r="V14" s="79">
        <f>H14/G14-1</f>
        <v>-3.2769742260842061E-2</v>
      </c>
      <c r="W14" s="79">
        <f>G14/F14-1</f>
        <v>5.2996675268633719E-2</v>
      </c>
      <c r="X14" s="79">
        <f>F14/E14-1</f>
        <v>9.5791451503905112E-2</v>
      </c>
      <c r="Y14" s="79">
        <f>E14/D14-1</f>
        <v>0.23202184533222936</v>
      </c>
      <c r="Z14" s="79">
        <f>D14/C14-1</f>
        <v>-2.3736201685685909E-2</v>
      </c>
      <c r="AA14" s="49"/>
      <c r="AI14" s="149" t="s">
        <v>35</v>
      </c>
      <c r="AJ14" s="149"/>
      <c r="AK14" s="151">
        <f>+AL50+(Dashboard!$F$7*0.0001)*Dashboard!$F$8</f>
        <v>5.0363636363636347E-2</v>
      </c>
      <c r="AM14" s="152"/>
      <c r="AN14" s="21"/>
      <c r="AV14" s="141"/>
      <c r="AW14" s="150">
        <v>0.45</v>
      </c>
    </row>
    <row r="15" spans="1:49" x14ac:dyDescent="0.3">
      <c r="A15" s="8"/>
      <c r="B15" s="8"/>
      <c r="C15" s="18"/>
      <c r="D15" s="18"/>
      <c r="E15" s="18"/>
      <c r="F15" s="18"/>
      <c r="G15" s="18"/>
      <c r="H15" s="18"/>
      <c r="I15" s="18"/>
      <c r="J15" s="18"/>
      <c r="K15" s="18"/>
      <c r="L15" s="18"/>
      <c r="M15" s="18"/>
      <c r="N15" s="18"/>
      <c r="P15" s="77"/>
      <c r="Q15" s="78"/>
      <c r="R15" s="78"/>
      <c r="S15" s="78"/>
      <c r="T15" s="78"/>
      <c r="U15" s="79"/>
      <c r="V15" s="79"/>
      <c r="W15" s="79"/>
      <c r="X15" s="79"/>
      <c r="Y15" s="79"/>
      <c r="Z15" s="79"/>
      <c r="AA15" s="49"/>
      <c r="AI15" s="149" t="s">
        <v>36</v>
      </c>
      <c r="AJ15" s="149"/>
      <c r="AK15" s="151">
        <f>+AL51+(Dashboard!$F$10*0.0001)*Dashboard!$F$11</f>
        <v>2.2503339245390785E-2</v>
      </c>
      <c r="AM15" s="127"/>
      <c r="AV15" s="141"/>
      <c r="AW15" s="150">
        <v>0.5</v>
      </c>
    </row>
    <row r="16" spans="1:49" x14ac:dyDescent="0.3">
      <c r="A16" s="12" t="s">
        <v>29</v>
      </c>
      <c r="B16" s="66">
        <v>2010</v>
      </c>
      <c r="C16" s="66">
        <v>2011</v>
      </c>
      <c r="D16" s="66">
        <v>2012</v>
      </c>
      <c r="E16" s="66">
        <v>2013</v>
      </c>
      <c r="F16" s="66">
        <v>2014</v>
      </c>
      <c r="G16" s="66">
        <v>2015</v>
      </c>
      <c r="H16" s="66">
        <v>2016</v>
      </c>
      <c r="I16" s="66">
        <v>2017</v>
      </c>
      <c r="J16" s="67">
        <v>2018</v>
      </c>
      <c r="K16" s="67">
        <v>2019</v>
      </c>
      <c r="L16" s="67">
        <v>2020</v>
      </c>
      <c r="M16" s="67" t="s">
        <v>150</v>
      </c>
      <c r="N16" s="67" t="s">
        <v>149</v>
      </c>
      <c r="P16" s="77"/>
      <c r="Q16" s="78"/>
      <c r="R16" s="78"/>
      <c r="S16" s="78"/>
      <c r="T16" s="78"/>
      <c r="U16" s="79"/>
      <c r="V16" s="79"/>
      <c r="W16" s="79"/>
      <c r="X16" s="79"/>
      <c r="Y16" s="79"/>
      <c r="Z16" s="79"/>
      <c r="AA16" s="49"/>
      <c r="AI16" s="149" t="s">
        <v>23</v>
      </c>
      <c r="AJ16" s="149"/>
      <c r="AK16" s="142">
        <f>+AL52</f>
        <v>7.3090909090909083E-3</v>
      </c>
      <c r="AM16" s="127"/>
      <c r="AV16" s="141"/>
      <c r="AW16" s="150">
        <v>0.55000000000000004</v>
      </c>
    </row>
    <row r="17" spans="1:49" x14ac:dyDescent="0.3">
      <c r="A17" s="9" t="s">
        <v>18</v>
      </c>
      <c r="B17" s="63">
        <f>'2022 Expectations'!G217</f>
        <v>651026.00099999993</v>
      </c>
      <c r="C17" s="63">
        <f>'2022 Expectations'!H217</f>
        <v>728392.79100000008</v>
      </c>
      <c r="D17" s="63">
        <f>'2022 Expectations'!I217</f>
        <v>857767.39500000002</v>
      </c>
      <c r="E17" s="63">
        <f>'2022 Expectations'!J217</f>
        <v>967290.53600000008</v>
      </c>
      <c r="F17" s="63">
        <f>'2022 Expectations'!K217</f>
        <v>1086550.6029999999</v>
      </c>
      <c r="G17" s="63">
        <f>'2022 Expectations'!L217</f>
        <v>1167298.9210000001</v>
      </c>
      <c r="H17" s="63">
        <f>'2022 Expectations'!M217</f>
        <v>1213537.2399999998</v>
      </c>
      <c r="I17" s="63">
        <f>'2022 Expectations'!N217</f>
        <v>1196985.0029999998</v>
      </c>
      <c r="J17" s="63">
        <f>'2022 Expectations'!O217</f>
        <v>1234620.8840000001</v>
      </c>
      <c r="K17" s="63">
        <f>'2022 Expectations'!P217</f>
        <v>1365338.112</v>
      </c>
      <c r="L17" s="63">
        <f>'2022 Expectations'!Q217</f>
        <v>1541277.3199999998</v>
      </c>
      <c r="M17" s="63">
        <f>'2022 Expectations'!R217</f>
        <v>1990687.9972640355</v>
      </c>
      <c r="N17" s="56">
        <f>G58</f>
        <v>2388825.5967168426</v>
      </c>
      <c r="P17" s="77">
        <f>N17/M17-1</f>
        <v>0.19999999999999996</v>
      </c>
      <c r="Q17" s="78">
        <f>M17/L17-1</f>
        <v>0.29158326761340758</v>
      </c>
      <c r="R17" s="78">
        <f>L17/K17-1</f>
        <v>0.12886127359491728</v>
      </c>
      <c r="S17" s="78">
        <f>K17/J17-1</f>
        <v>0.10587641088371536</v>
      </c>
      <c r="T17" s="78">
        <f>J17/I17-1</f>
        <v>3.1442232697714401E-2</v>
      </c>
      <c r="U17" s="79">
        <f>I17/H17-1</f>
        <v>-1.3639661358888278E-2</v>
      </c>
      <c r="V17" s="79">
        <f>H17/G17-1</f>
        <v>3.9611378172429212E-2</v>
      </c>
      <c r="W17" s="79">
        <f>G17/F17-1</f>
        <v>7.4316205593233819E-2</v>
      </c>
      <c r="X17" s="79">
        <f>F17/E17-1</f>
        <v>0.12329291206876825</v>
      </c>
      <c r="Y17" s="79">
        <f>E17/D17-1</f>
        <v>0.12768396378600988</v>
      </c>
      <c r="Z17" s="79">
        <f>D17/C17-1</f>
        <v>0.17761653547172451</v>
      </c>
      <c r="AA17" s="49"/>
      <c r="AI17" s="149" t="s">
        <v>158</v>
      </c>
      <c r="AJ17" s="149"/>
      <c r="AK17" s="142">
        <f>+AL53</f>
        <v>0.12263521987188875</v>
      </c>
      <c r="AV17" s="141"/>
      <c r="AW17" s="150">
        <v>0.6</v>
      </c>
    </row>
    <row r="18" spans="1:49" x14ac:dyDescent="0.3">
      <c r="A18" s="5" t="s">
        <v>19</v>
      </c>
      <c r="B18" s="63">
        <f>'2022 Expectations'!G232</f>
        <v>924228.99800000002</v>
      </c>
      <c r="C18" s="63">
        <f>'2022 Expectations'!H232</f>
        <v>1027209.5149999999</v>
      </c>
      <c r="D18" s="63">
        <f>'2022 Expectations'!I232</f>
        <v>1190912.18</v>
      </c>
      <c r="E18" s="63">
        <f>'2022 Expectations'!J232</f>
        <v>1280831.817</v>
      </c>
      <c r="F18" s="63">
        <f>'2022 Expectations'!K232</f>
        <v>1434418.5910000002</v>
      </c>
      <c r="G18" s="63">
        <f>'2022 Expectations'!L232</f>
        <v>1448819.297</v>
      </c>
      <c r="H18" s="63">
        <f>'2022 Expectations'!M232</f>
        <v>1467810.4470000002</v>
      </c>
      <c r="I18" s="63">
        <f>'2022 Expectations'!N232</f>
        <v>1433427.4340000004</v>
      </c>
      <c r="J18" s="63">
        <f>'2022 Expectations'!O232</f>
        <v>1494487.3730000001</v>
      </c>
      <c r="K18" s="63">
        <f>'2022 Expectations'!P232</f>
        <v>1646879.2420000001</v>
      </c>
      <c r="L18" s="63">
        <f>'2022 Expectations'!Q232</f>
        <v>1893646.4449999998</v>
      </c>
      <c r="M18" s="63">
        <f>'2022 Expectations'!R232</f>
        <v>2387869.3898230712</v>
      </c>
      <c r="N18" s="56">
        <f>G59</f>
        <v>2757989.1452456475</v>
      </c>
      <c r="P18" s="77">
        <f>N18/M18-1</f>
        <v>0.15500000000000003</v>
      </c>
      <c r="Q18" s="78">
        <f>M18/L18-1</f>
        <v>0.26099008404025037</v>
      </c>
      <c r="R18" s="78">
        <f>L18/K18-1</f>
        <v>0.14983928190164164</v>
      </c>
      <c r="S18" s="78">
        <f>K18/J18-1</f>
        <v>0.10196932523698199</v>
      </c>
      <c r="T18" s="78">
        <f>J18/I18-1</f>
        <v>4.2597160868905082E-2</v>
      </c>
      <c r="U18" s="79">
        <f>I18/H18-1</f>
        <v>-2.3424695654860495E-2</v>
      </c>
      <c r="V18" s="79">
        <f>H18/G18-1</f>
        <v>1.3108018397687049E-2</v>
      </c>
      <c r="W18" s="79">
        <f>G18/F18-1</f>
        <v>1.0039402786853335E-2</v>
      </c>
      <c r="X18" s="79">
        <f>F18/E18-1</f>
        <v>0.11991174169902763</v>
      </c>
      <c r="Y18" s="79">
        <f>E18/D18-1</f>
        <v>7.5504842850796949E-2</v>
      </c>
      <c r="Z18" s="79">
        <f>D18/C18-1</f>
        <v>0.15936638301096728</v>
      </c>
      <c r="AA18" s="49"/>
      <c r="AV18" s="141"/>
      <c r="AW18" s="150">
        <v>0.65</v>
      </c>
    </row>
    <row r="19" spans="1:49" x14ac:dyDescent="0.3">
      <c r="A19" s="5" t="s">
        <v>20</v>
      </c>
      <c r="B19" s="63">
        <f>'2022 Expectations'!G262</f>
        <v>170511.94000000006</v>
      </c>
      <c r="C19" s="63">
        <f>'2022 Expectations'!H262</f>
        <v>183857.99500000002</v>
      </c>
      <c r="D19" s="63">
        <f>'2022 Expectations'!I262</f>
        <v>202118.16999999995</v>
      </c>
      <c r="E19" s="63">
        <f>'2022 Expectations'!J262</f>
        <v>216345.97</v>
      </c>
      <c r="F19" s="63">
        <f>'2022 Expectations'!K262</f>
        <v>237631.56100000002</v>
      </c>
      <c r="G19" s="63">
        <f>'2022 Expectations'!L262</f>
        <v>259143.31800000003</v>
      </c>
      <c r="H19" s="63">
        <f>'2022 Expectations'!M262</f>
        <v>279598.34600000002</v>
      </c>
      <c r="I19" s="63">
        <f>'2022 Expectations'!N262</f>
        <v>297830.58099999995</v>
      </c>
      <c r="J19" s="63">
        <f>'2022 Expectations'!O262</f>
        <v>293434.28899999999</v>
      </c>
      <c r="K19" s="63">
        <f>'2022 Expectations'!P262</f>
        <v>335367.11499999999</v>
      </c>
      <c r="L19" s="63">
        <f>'2022 Expectations'!Q262</f>
        <v>362825.86300000001</v>
      </c>
      <c r="M19" s="63">
        <f>'2022 Expectations'!R262</f>
        <v>469560.21711128252</v>
      </c>
      <c r="N19" s="56">
        <f>G70</f>
        <v>515577.11838818825</v>
      </c>
      <c r="O19" s="1"/>
      <c r="P19" s="77">
        <f>N19/M19-1</f>
        <v>9.8000000000000087E-2</v>
      </c>
      <c r="Q19" s="78">
        <f>M19/L19-1</f>
        <v>0.29417515396713179</v>
      </c>
      <c r="R19" s="78">
        <f>L19/K19-1</f>
        <v>8.1876686090704087E-2</v>
      </c>
      <c r="S19" s="78">
        <f>K19/J19-1</f>
        <v>0.14290363318787191</v>
      </c>
      <c r="T19" s="78">
        <f>J19/I19-1</f>
        <v>-1.4761049672061599E-2</v>
      </c>
      <c r="U19" s="79">
        <f>I19/H19-1</f>
        <v>6.5208665433235113E-2</v>
      </c>
      <c r="V19" s="79">
        <f>H19/G19-1</f>
        <v>7.8933264256499047E-2</v>
      </c>
      <c r="W19" s="79">
        <f>G19/F19-1</f>
        <v>9.0525673060743106E-2</v>
      </c>
      <c r="X19" s="79">
        <f>F19/E19-1</f>
        <v>9.8386815340262723E-2</v>
      </c>
      <c r="Y19" s="79">
        <f>E19/D19-1</f>
        <v>7.0393473283475894E-2</v>
      </c>
      <c r="Z19" s="79">
        <f>D19/C19-1</f>
        <v>9.9316730828049815E-2</v>
      </c>
      <c r="AA19" s="49"/>
      <c r="AV19" s="141"/>
      <c r="AW19" s="150">
        <v>0.7</v>
      </c>
    </row>
    <row r="20" spans="1:49" x14ac:dyDescent="0.3">
      <c r="A20" s="5" t="s">
        <v>21</v>
      </c>
      <c r="B20" s="63">
        <f>'2022 Expectations'!G247</f>
        <v>1137570.1699999997</v>
      </c>
      <c r="C20" s="63">
        <f>'2022 Expectations'!H247</f>
        <v>1254670.7009999999</v>
      </c>
      <c r="D20" s="63">
        <f>'2022 Expectations'!I247</f>
        <v>1447532.0239999997</v>
      </c>
      <c r="E20" s="63">
        <f>'2022 Expectations'!J247</f>
        <v>1587488.1570000001</v>
      </c>
      <c r="F20" s="63">
        <f>'2022 Expectations'!K247</f>
        <v>1784505.5999999999</v>
      </c>
      <c r="G20" s="63">
        <f>'2022 Expectations'!L247</f>
        <v>1826260.95</v>
      </c>
      <c r="H20" s="63">
        <f>'2022 Expectations'!M247</f>
        <v>1877326.5690000004</v>
      </c>
      <c r="I20" s="63">
        <f>'2022 Expectations'!N247</f>
        <v>1896479.351</v>
      </c>
      <c r="J20" s="63">
        <f>'2022 Expectations'!O247</f>
        <v>1953636.2709999999</v>
      </c>
      <c r="K20" s="63">
        <f>'2022 Expectations'!P247</f>
        <v>2189918.852</v>
      </c>
      <c r="L20" s="63">
        <f>'2022 Expectations'!Q247</f>
        <v>2473884.2200000002</v>
      </c>
      <c r="M20" s="63">
        <f>'2022 Expectations'!R247</f>
        <v>3110326.4037870821</v>
      </c>
      <c r="N20" s="56">
        <f>G69</f>
        <v>3666087.2292289813</v>
      </c>
      <c r="O20" s="1"/>
      <c r="P20" s="77">
        <f>N20/M20-1</f>
        <v>0.17868247678610638</v>
      </c>
      <c r="Q20" s="78">
        <f>M20/L20-1</f>
        <v>0.25726433704608942</v>
      </c>
      <c r="R20" s="78">
        <f>L20/K20-1</f>
        <v>0.12966935635110932</v>
      </c>
      <c r="S20" s="78">
        <f>K20/J20-1</f>
        <v>0.12094502160274434</v>
      </c>
      <c r="T20" s="78">
        <f>J20/I20-1</f>
        <v>3.0138435185103063E-2</v>
      </c>
      <c r="U20" s="79">
        <f>I20/H20-1</f>
        <v>1.0202157853762106E-2</v>
      </c>
      <c r="V20" s="79">
        <f>H20/G20-1</f>
        <v>2.796184137869262E-2</v>
      </c>
      <c r="W20" s="79">
        <f>G20/F20-1</f>
        <v>2.3398833828260468E-2</v>
      </c>
      <c r="X20" s="79">
        <f>F20/E20-1</f>
        <v>0.12410640175881316</v>
      </c>
      <c r="Y20" s="79">
        <f>E20/D20-1</f>
        <v>9.6686035734985909E-2</v>
      </c>
      <c r="Z20" s="79">
        <f>D20/C20-1</f>
        <v>0.15371469409964322</v>
      </c>
      <c r="AA20" s="49"/>
      <c r="AI20" s="319" t="s">
        <v>9</v>
      </c>
      <c r="AJ20" s="320"/>
      <c r="AK20" s="320"/>
      <c r="AL20" s="321"/>
      <c r="AV20" s="141"/>
      <c r="AW20" s="150">
        <v>0.75</v>
      </c>
    </row>
    <row r="21" spans="1:49" x14ac:dyDescent="0.3">
      <c r="A21" s="5" t="s">
        <v>22</v>
      </c>
      <c r="B21" s="63">
        <f>B6+B9</f>
        <v>47537.247000000003</v>
      </c>
      <c r="C21" s="63">
        <f t="shared" ref="C21:M21" si="18">C6+C9</f>
        <v>50642.631000000001</v>
      </c>
      <c r="D21" s="63">
        <f t="shared" si="18"/>
        <v>54265.163</v>
      </c>
      <c r="E21" s="63">
        <f t="shared" si="18"/>
        <v>62277.011000000013</v>
      </c>
      <c r="F21" s="63">
        <f t="shared" si="18"/>
        <v>68179.702000000005</v>
      </c>
      <c r="G21" s="63">
        <f t="shared" si="18"/>
        <v>72525.127999999997</v>
      </c>
      <c r="H21" s="63">
        <f t="shared" si="18"/>
        <v>75988.384999999995</v>
      </c>
      <c r="I21" s="63">
        <f t="shared" si="18"/>
        <v>79978.193000000014</v>
      </c>
      <c r="J21" s="63">
        <f t="shared" si="18"/>
        <v>84831.477999999988</v>
      </c>
      <c r="K21" s="63">
        <f t="shared" si="18"/>
        <v>94576.133000000002</v>
      </c>
      <c r="L21" s="63">
        <f t="shared" si="18"/>
        <v>97747.363999999972</v>
      </c>
      <c r="M21" s="63">
        <f t="shared" si="18"/>
        <v>108192.208</v>
      </c>
      <c r="N21" s="56">
        <f>N6+N9</f>
        <v>119002.3067358883</v>
      </c>
      <c r="O21" s="1"/>
      <c r="P21" s="77">
        <f>N21/M21-1</f>
        <v>9.9915686496464762E-2</v>
      </c>
      <c r="Q21" s="78">
        <f>M21/L21-1</f>
        <v>0.10685550558683121</v>
      </c>
      <c r="R21" s="78">
        <f>L21/K21-1</f>
        <v>3.3530986089270298E-2</v>
      </c>
      <c r="S21" s="78">
        <f>K21/J21-1</f>
        <v>0.11487074408865094</v>
      </c>
      <c r="T21" s="78">
        <f>J21/I21-1</f>
        <v>6.0682603819268266E-2</v>
      </c>
      <c r="U21" s="79">
        <f>I21/H21-1</f>
        <v>5.2505498044207899E-2</v>
      </c>
      <c r="V21" s="79">
        <f>H21/G21-1</f>
        <v>4.7752511377849638E-2</v>
      </c>
      <c r="W21" s="79">
        <f>G21/F21-1</f>
        <v>6.373489282778011E-2</v>
      </c>
      <c r="X21" s="79">
        <f>F21/E21-1</f>
        <v>9.47812187068513E-2</v>
      </c>
      <c r="Y21" s="79">
        <f>E21/D21-1</f>
        <v>0.14764256766353046</v>
      </c>
      <c r="Z21" s="79">
        <f>D21/C21-1</f>
        <v>7.1531275695372099E-2</v>
      </c>
      <c r="AA21" s="49"/>
      <c r="AI21" s="153" t="s">
        <v>137</v>
      </c>
      <c r="AJ21" s="184">
        <v>2020</v>
      </c>
      <c r="AK21" s="184" t="s">
        <v>150</v>
      </c>
      <c r="AL21" s="183" t="s">
        <v>149</v>
      </c>
      <c r="AV21" s="141"/>
      <c r="AW21" s="150">
        <v>0.8</v>
      </c>
    </row>
    <row r="22" spans="1:49" x14ac:dyDescent="0.3">
      <c r="A22" s="9" t="s">
        <v>23</v>
      </c>
      <c r="B22" s="63"/>
      <c r="C22" s="50">
        <f>C7/AVERAGE(B17:C17)</f>
        <v>7.7232513155439169E-3</v>
      </c>
      <c r="D22" s="50">
        <f t="shared" ref="D22:M22" si="19">D7/AVERAGE(C17:D17)</f>
        <v>9.0904122592823655E-3</v>
      </c>
      <c r="E22" s="50">
        <f t="shared" si="19"/>
        <v>6.9599390705587421E-3</v>
      </c>
      <c r="F22" s="50">
        <f t="shared" si="19"/>
        <v>6.0502293794982755E-3</v>
      </c>
      <c r="G22" s="50">
        <f t="shared" si="19"/>
        <v>5.4367019046831448E-3</v>
      </c>
      <c r="H22" s="50">
        <f t="shared" si="19"/>
        <v>7.0879249384855104E-3</v>
      </c>
      <c r="I22" s="50">
        <f t="shared" si="19"/>
        <v>7.2724074838582606E-3</v>
      </c>
      <c r="J22" s="50">
        <f t="shared" si="19"/>
        <v>5.9446936188471237E-3</v>
      </c>
      <c r="K22" s="50">
        <f t="shared" si="19"/>
        <v>8.7437978964188257E-3</v>
      </c>
      <c r="L22" s="50">
        <f t="shared" si="19"/>
        <v>1.0865354133989888E-2</v>
      </c>
      <c r="M22" s="50">
        <f t="shared" si="19"/>
        <v>7.1595485974142023E-3</v>
      </c>
      <c r="N22" s="57">
        <f>N7/N17</f>
        <v>6.7000000000000002E-3</v>
      </c>
      <c r="O22" s="1"/>
      <c r="P22" s="1"/>
      <c r="Q22" s="1"/>
      <c r="R22" s="47"/>
      <c r="S22" s="48"/>
      <c r="T22" s="48"/>
      <c r="U22" s="48"/>
      <c r="V22" s="48"/>
      <c r="W22" s="49"/>
      <c r="X22" s="49"/>
      <c r="Y22" s="49"/>
      <c r="Z22" s="49"/>
      <c r="AA22" s="49"/>
      <c r="AB22" s="49"/>
      <c r="AC22" s="49"/>
      <c r="AI22" s="138" t="s">
        <v>4</v>
      </c>
      <c r="AJ22" s="168">
        <f>'2022 Expectations'!Q96</f>
        <v>81846.555999999982</v>
      </c>
      <c r="AK22" s="168">
        <f>'2022 Expectations'!R96</f>
        <v>87668.076000000001</v>
      </c>
      <c r="AL22" s="168">
        <f>+'2022 Expectations'!N4</f>
        <v>99335.331063475358</v>
      </c>
      <c r="AV22" s="141"/>
      <c r="AW22" s="150">
        <v>0.85</v>
      </c>
    </row>
    <row r="23" spans="1:49" x14ac:dyDescent="0.3">
      <c r="A23" s="5" t="s">
        <v>24</v>
      </c>
      <c r="B23" s="5"/>
      <c r="C23" s="50">
        <f>C14/AVERAGE(B20:C20)</f>
        <v>2.1972110182210833E-2</v>
      </c>
      <c r="D23" s="50">
        <f t="shared" ref="D23:M23" si="20">D14/AVERAGE(C20:D20)</f>
        <v>1.8990042281154165E-2</v>
      </c>
      <c r="E23" s="50">
        <f t="shared" si="20"/>
        <v>2.0830547485575356E-2</v>
      </c>
      <c r="F23" s="50">
        <f t="shared" si="20"/>
        <v>2.0544870777469824E-2</v>
      </c>
      <c r="G23" s="50">
        <f t="shared" si="20"/>
        <v>2.0203088454998561E-2</v>
      </c>
      <c r="H23" s="50">
        <f t="shared" si="20"/>
        <v>1.9051292196559537E-2</v>
      </c>
      <c r="I23" s="50">
        <f t="shared" si="20"/>
        <v>2.045884437003586E-2</v>
      </c>
      <c r="J23" s="50">
        <f t="shared" si="20"/>
        <v>1.5046540854247625E-2</v>
      </c>
      <c r="K23" s="50">
        <f t="shared" si="20"/>
        <v>1.9820430901022673E-2</v>
      </c>
      <c r="L23" s="50">
        <f t="shared" si="20"/>
        <v>1.3107221093232299E-2</v>
      </c>
      <c r="M23" s="50">
        <f t="shared" si="20"/>
        <v>1.733891380354181E-2</v>
      </c>
      <c r="N23" s="57">
        <f>N14/(AVERAGE(M20:N20))</f>
        <v>1.534293363661509E-2</v>
      </c>
      <c r="O23" s="1"/>
      <c r="P23" s="1"/>
      <c r="Q23" s="1"/>
      <c r="R23" s="1"/>
      <c r="S23" s="1"/>
      <c r="T23" s="1"/>
      <c r="U23" s="1"/>
      <c r="V23" s="1"/>
      <c r="W23" s="1"/>
      <c r="X23" s="1"/>
      <c r="Y23" s="1"/>
      <c r="Z23" s="1"/>
      <c r="AA23" s="1"/>
      <c r="AI23" s="138" t="s">
        <v>5</v>
      </c>
      <c r="AJ23" s="168">
        <f>'2022 Expectations'!Q112</f>
        <v>10811.689</v>
      </c>
      <c r="AK23" s="168">
        <f>'2022 Expectations'!R112</f>
        <v>8111.735999999999</v>
      </c>
      <c r="AL23" s="168">
        <f>+'2022 Expectations'!N5</f>
        <v>8811.2380484471323</v>
      </c>
      <c r="AV23" s="141"/>
      <c r="AW23" s="150">
        <v>0.9</v>
      </c>
    </row>
    <row r="24" spans="1:49" x14ac:dyDescent="0.3">
      <c r="A24" s="133" t="s">
        <v>25</v>
      </c>
      <c r="B24" s="133"/>
      <c r="C24" s="134">
        <f>C14/AVERAGE(B19:C19)</f>
        <v>0.14832686074229176</v>
      </c>
      <c r="D24" s="134">
        <f t="shared" ref="D24:M24" si="21">D14/AVERAGE(C19:D19)</f>
        <v>0.13294847882640629</v>
      </c>
      <c r="E24" s="134">
        <f t="shared" si="21"/>
        <v>0.1510789717847747</v>
      </c>
      <c r="F24" s="134">
        <f t="shared" si="21"/>
        <v>0.15260045105624398</v>
      </c>
      <c r="G24" s="134">
        <f t="shared" si="21"/>
        <v>0.14684445426637602</v>
      </c>
      <c r="H24" s="134">
        <f t="shared" si="21"/>
        <v>0.1309683893317744</v>
      </c>
      <c r="I24" s="134">
        <f t="shared" si="21"/>
        <v>0.13370945650597796</v>
      </c>
      <c r="J24" s="134">
        <f t="shared" si="21"/>
        <v>9.7977953603095039E-2</v>
      </c>
      <c r="K24" s="134">
        <f t="shared" si="21"/>
        <v>0.13060888140128898</v>
      </c>
      <c r="L24" s="134">
        <f t="shared" si="21"/>
        <v>8.7553871101808761E-2</v>
      </c>
      <c r="M24" s="134">
        <f t="shared" si="21"/>
        <v>0.11632119875637775</v>
      </c>
      <c r="N24" s="134">
        <f>N14/(AVERAGE(M19:N19))</f>
        <v>0.10553865021561257</v>
      </c>
      <c r="O24" s="1"/>
      <c r="P24" s="1"/>
      <c r="Q24" s="1"/>
      <c r="R24" s="1"/>
      <c r="S24" s="1"/>
      <c r="T24" s="1"/>
      <c r="U24" s="1"/>
      <c r="V24" s="1"/>
      <c r="W24" s="1"/>
      <c r="X24" s="1"/>
      <c r="Y24" s="1"/>
      <c r="Z24" s="1"/>
      <c r="AA24" s="1"/>
      <c r="AI24" s="139" t="s">
        <v>10</v>
      </c>
      <c r="AJ24" s="169">
        <f>+AJ22-AJ23</f>
        <v>71034.866999999984</v>
      </c>
      <c r="AK24" s="169">
        <f>+AK22-AK23</f>
        <v>79556.34</v>
      </c>
      <c r="AL24" s="169">
        <f>+AL22-AL23</f>
        <v>90524.093015028222</v>
      </c>
      <c r="AV24" s="141"/>
      <c r="AW24" s="150">
        <v>0.95</v>
      </c>
    </row>
    <row r="25" spans="1:49" x14ac:dyDescent="0.3">
      <c r="A25" s="5" t="s">
        <v>26</v>
      </c>
      <c r="B25" s="5"/>
      <c r="C25" s="50">
        <f>C17/C18</f>
        <v>0.70909856301321372</v>
      </c>
      <c r="D25" s="50">
        <f t="shared" ref="D25:M25" si="22">D17/D18</f>
        <v>0.72026082981198503</v>
      </c>
      <c r="E25" s="50">
        <f t="shared" si="22"/>
        <v>0.75520495599930904</v>
      </c>
      <c r="F25" s="50">
        <f t="shared" si="22"/>
        <v>0.7574850255130301</v>
      </c>
      <c r="G25" s="50">
        <f t="shared" si="22"/>
        <v>0.80568979403923557</v>
      </c>
      <c r="H25" s="50">
        <f t="shared" si="22"/>
        <v>0.82676700011251492</v>
      </c>
      <c r="I25" s="50">
        <f t="shared" si="22"/>
        <v>0.83505099358939683</v>
      </c>
      <c r="J25" s="50">
        <f t="shared" si="22"/>
        <v>0.82611663792223955</v>
      </c>
      <c r="K25" s="50">
        <f t="shared" si="22"/>
        <v>0.82904567449760835</v>
      </c>
      <c r="L25" s="50">
        <f t="shared" si="22"/>
        <v>0.8139203197458541</v>
      </c>
      <c r="M25" s="50">
        <f t="shared" si="22"/>
        <v>0.83366703629109928</v>
      </c>
      <c r="N25" s="57">
        <f>N17/N18</f>
        <v>0.8661475701725706</v>
      </c>
      <c r="O25" s="1"/>
      <c r="P25" s="1"/>
      <c r="Q25" s="1"/>
      <c r="R25" s="1"/>
      <c r="S25" s="1"/>
      <c r="T25" s="1"/>
      <c r="U25" s="1"/>
      <c r="V25" s="1"/>
      <c r="W25" s="1"/>
      <c r="X25" s="1"/>
      <c r="Y25" s="1"/>
      <c r="Z25" s="1"/>
      <c r="AA25" s="1"/>
      <c r="AI25" s="138" t="s">
        <v>30</v>
      </c>
      <c r="AJ25" s="170">
        <f>'2022 Expectations'!Q127</f>
        <v>15790.703000000001</v>
      </c>
      <c r="AK25" s="170">
        <f>'2022 Expectations'!R127</f>
        <v>12643.638666666666</v>
      </c>
      <c r="AL25" s="170">
        <f>+'2022 Expectations'!N7</f>
        <v>16005.131498002846</v>
      </c>
      <c r="AV25" s="141"/>
      <c r="AW25" s="150">
        <v>1</v>
      </c>
    </row>
    <row r="26" spans="1:49" x14ac:dyDescent="0.3">
      <c r="A26" s="5" t="s">
        <v>27</v>
      </c>
      <c r="B26" s="5"/>
      <c r="C26" s="50">
        <f>-C10/C21</f>
        <v>0.37714176026912971</v>
      </c>
      <c r="D26" s="50">
        <f t="shared" ref="D26:M26" si="23">-D10/D21</f>
        <v>0.3976190581054736</v>
      </c>
      <c r="E26" s="50">
        <f t="shared" si="23"/>
        <v>0.39174657884592429</v>
      </c>
      <c r="F26" s="50">
        <f t="shared" si="23"/>
        <v>0.40063093851598236</v>
      </c>
      <c r="G26" s="50">
        <f t="shared" si="23"/>
        <v>0.41470076412688295</v>
      </c>
      <c r="H26" s="50">
        <f t="shared" si="23"/>
        <v>0.42580737832499005</v>
      </c>
      <c r="I26" s="50">
        <f t="shared" si="23"/>
        <v>0.40770909890399737</v>
      </c>
      <c r="J26" s="50">
        <f t="shared" si="23"/>
        <v>0.40495055384983403</v>
      </c>
      <c r="K26" s="50">
        <f t="shared" si="23"/>
        <v>0.38980097653178514</v>
      </c>
      <c r="L26" s="50">
        <f t="shared" si="23"/>
        <v>0.47553453206165242</v>
      </c>
      <c r="M26" s="50">
        <f t="shared" si="23"/>
        <v>0.37603851594685389</v>
      </c>
      <c r="N26" s="57">
        <f>-N10/N21</f>
        <v>0.36760499786192075</v>
      </c>
      <c r="O26" s="1"/>
      <c r="P26" s="1"/>
      <c r="Q26" s="1"/>
      <c r="R26" s="1"/>
      <c r="S26" s="1"/>
      <c r="T26" s="1"/>
      <c r="U26" s="1"/>
      <c r="V26" s="1"/>
      <c r="W26" s="1"/>
      <c r="X26" s="1"/>
      <c r="Y26" s="1"/>
      <c r="Z26" s="1"/>
      <c r="AA26" s="1"/>
      <c r="AI26" s="139" t="s">
        <v>11</v>
      </c>
      <c r="AJ26" s="171">
        <f>AJ24-AJ25</f>
        <v>55244.163999999982</v>
      </c>
      <c r="AK26" s="171">
        <f>AK24-AK25</f>
        <v>66912.701333333331</v>
      </c>
      <c r="AL26" s="171">
        <f>AL24-AL25</f>
        <v>74518.961517025382</v>
      </c>
    </row>
    <row r="27" spans="1:49" x14ac:dyDescent="0.3">
      <c r="A27" s="10" t="s">
        <v>28</v>
      </c>
      <c r="B27" s="5"/>
      <c r="C27" s="50">
        <f>C39</f>
        <v>5.2654856328832475E-2</v>
      </c>
      <c r="D27" s="50">
        <f t="shared" ref="D27:M27" si="24">D39</f>
        <v>4.8905043031830596E-2</v>
      </c>
      <c r="E27" s="50">
        <f t="shared" si="24"/>
        <v>4.5931267298323766E-2</v>
      </c>
      <c r="F27" s="50">
        <f t="shared" si="24"/>
        <v>4.4362334107705632E-2</v>
      </c>
      <c r="G27" s="50">
        <f t="shared" si="24"/>
        <v>4.2827022437446141E-2</v>
      </c>
      <c r="H27" s="50">
        <f t="shared" si="24"/>
        <v>4.4754850761647556E-2</v>
      </c>
      <c r="I27" s="50">
        <f t="shared" si="24"/>
        <v>4.7697418069347394E-2</v>
      </c>
      <c r="J27" s="50">
        <f t="shared" si="24"/>
        <v>5.3159163280255418E-2</v>
      </c>
      <c r="K27" s="50">
        <f t="shared" si="24"/>
        <v>5.6316488863754614E-2</v>
      </c>
      <c r="L27" s="50">
        <f t="shared" si="24"/>
        <v>5.02100383722748E-2</v>
      </c>
      <c r="M27" s="50">
        <f t="shared" si="24"/>
        <v>4.5853470774784952E-2</v>
      </c>
      <c r="N27" s="57">
        <f>N39</f>
        <v>4.1939042396118946E-2</v>
      </c>
      <c r="AI27" s="138" t="s">
        <v>12</v>
      </c>
      <c r="AJ27" s="168">
        <f>'2022 Expectations'!Q142</f>
        <v>26712.496999999996</v>
      </c>
      <c r="AK27" s="168">
        <f>'2022 Expectations'!R142</f>
        <v>28635.867999999999</v>
      </c>
      <c r="AL27" s="168">
        <f>+'2022 Expectations'!N9</f>
        <v>28478.213720860069</v>
      </c>
    </row>
    <row r="28" spans="1:49" x14ac:dyDescent="0.3">
      <c r="A28" s="5" t="s">
        <v>151</v>
      </c>
      <c r="B28" s="84">
        <v>0.03</v>
      </c>
      <c r="C28" s="69">
        <v>2.1999999999999999E-2</v>
      </c>
      <c r="D28" s="69">
        <v>1.7000000000000001E-2</v>
      </c>
      <c r="E28" s="69">
        <v>1.2999999999999999E-2</v>
      </c>
      <c r="F28" s="69">
        <v>1.0999999999999999E-2</v>
      </c>
      <c r="G28" s="69">
        <v>1.2E-2</v>
      </c>
      <c r="H28" s="69">
        <v>1.4E-2</v>
      </c>
      <c r="I28" s="69">
        <v>1.6E-2</v>
      </c>
      <c r="J28" s="69">
        <v>0.02</v>
      </c>
      <c r="K28" s="69">
        <v>1.9E-2</v>
      </c>
      <c r="L28" s="69">
        <v>2.1999999999999999E-2</v>
      </c>
      <c r="M28" s="69">
        <v>2.1999999999999999E-2</v>
      </c>
      <c r="N28" s="57">
        <f>N29/N17</f>
        <v>2.6620268620268624E-2</v>
      </c>
      <c r="O28" s="18"/>
      <c r="P28" s="18"/>
      <c r="Q28" s="18"/>
      <c r="R28" s="18"/>
      <c r="S28" s="1"/>
      <c r="AI28" s="138" t="s">
        <v>31</v>
      </c>
      <c r="AJ28" s="168">
        <f>'2022 Expectations'!Q157</f>
        <v>-46482.246999999996</v>
      </c>
      <c r="AK28" s="168">
        <f>'2022 Expectations'!R157</f>
        <v>-40684.437333333335</v>
      </c>
      <c r="AL28" s="168">
        <f>+'2022 Expectations'!N10</f>
        <v>-43745.842713209851</v>
      </c>
    </row>
    <row r="29" spans="1:49" x14ac:dyDescent="0.3">
      <c r="A29" s="5" t="s">
        <v>66</v>
      </c>
      <c r="B29" s="2">
        <f>B28*B17</f>
        <v>19530.780029999998</v>
      </c>
      <c r="C29" s="2">
        <f t="shared" ref="C29:M29" si="25">C28*C17</f>
        <v>16024.641402000001</v>
      </c>
      <c r="D29" s="2">
        <f t="shared" si="25"/>
        <v>14582.045715000002</v>
      </c>
      <c r="E29" s="2">
        <f t="shared" si="25"/>
        <v>12574.776968</v>
      </c>
      <c r="F29" s="2">
        <f t="shared" si="25"/>
        <v>11952.056632999998</v>
      </c>
      <c r="G29" s="2">
        <f t="shared" si="25"/>
        <v>14007.587052000001</v>
      </c>
      <c r="H29" s="2">
        <f t="shared" si="25"/>
        <v>16989.521359999995</v>
      </c>
      <c r="I29" s="2">
        <f t="shared" si="25"/>
        <v>19151.760047999996</v>
      </c>
      <c r="J29" s="2">
        <f t="shared" si="25"/>
        <v>24692.417680000002</v>
      </c>
      <c r="K29" s="2">
        <f t="shared" si="25"/>
        <v>25941.424127999999</v>
      </c>
      <c r="L29" s="2">
        <f t="shared" si="25"/>
        <v>33908.101039999994</v>
      </c>
      <c r="M29" s="2">
        <f t="shared" si="25"/>
        <v>43795.135939808781</v>
      </c>
      <c r="N29" s="1">
        <f>G71</f>
        <v>63591.179071575832</v>
      </c>
      <c r="O29" s="18"/>
      <c r="P29" s="18"/>
      <c r="Q29" s="18"/>
      <c r="R29" s="18"/>
      <c r="S29" s="1"/>
      <c r="AI29" s="138" t="s">
        <v>14</v>
      </c>
      <c r="AJ29" s="168">
        <f>'2022 Expectations'!Q172</f>
        <v>35474.414000000004</v>
      </c>
      <c r="AK29" s="168">
        <f>'2022 Expectations'!R172</f>
        <v>54864.131999999998</v>
      </c>
      <c r="AL29" s="168">
        <f>+'2022 Expectations'!N11</f>
        <v>59251.332524675592</v>
      </c>
    </row>
    <row r="30" spans="1:49" x14ac:dyDescent="0.3">
      <c r="A30" s="5"/>
      <c r="B30" s="2"/>
      <c r="C30" s="2"/>
      <c r="D30" s="2"/>
      <c r="E30" s="2"/>
      <c r="F30" s="2"/>
      <c r="G30" s="2"/>
      <c r="H30" s="2"/>
      <c r="I30" s="2"/>
      <c r="J30" s="2"/>
      <c r="K30" s="2"/>
      <c r="L30" s="2"/>
      <c r="M30" s="2"/>
      <c r="N30" s="18"/>
      <c r="O30" s="18"/>
      <c r="P30" s="18"/>
      <c r="Q30" s="18"/>
      <c r="R30" s="18"/>
      <c r="S30" s="1"/>
      <c r="AI30" s="138" t="s">
        <v>32</v>
      </c>
      <c r="AJ30" s="168">
        <f>'2022 Expectations'!N187</f>
        <v>4828.3589999999995</v>
      </c>
      <c r="AK30" s="168">
        <f>'2022 Expectations'!O187</f>
        <v>6359.4373333333333</v>
      </c>
      <c r="AL30" s="168">
        <f>+'2022 Expectations'!N12</f>
        <v>7266.3001918659838</v>
      </c>
    </row>
    <row r="31" spans="1:49" x14ac:dyDescent="0.3">
      <c r="A31" s="5"/>
      <c r="B31" s="2"/>
      <c r="C31" s="2"/>
      <c r="D31" s="2"/>
      <c r="E31" s="2"/>
      <c r="F31" s="2"/>
      <c r="G31" s="2"/>
      <c r="H31" s="2"/>
      <c r="I31" s="2"/>
      <c r="J31" s="2"/>
      <c r="K31" s="2"/>
      <c r="L31" s="2"/>
      <c r="M31" s="2"/>
      <c r="N31" s="18"/>
      <c r="O31" s="18"/>
      <c r="P31" s="18"/>
      <c r="Q31" s="18"/>
      <c r="R31" s="18"/>
      <c r="S31" s="1"/>
      <c r="AI31" s="140" t="s">
        <v>16</v>
      </c>
      <c r="AJ31" s="172">
        <f>AJ29-AJ30-AJ32</f>
        <v>81.306000000004133</v>
      </c>
      <c r="AK31" s="172">
        <f>AK29-AK30-AK32</f>
        <v>92.621333333328948</v>
      </c>
      <c r="AL31" s="172">
        <f>+'2022 Expectations'!N13</f>
        <v>0</v>
      </c>
    </row>
    <row r="32" spans="1:49" x14ac:dyDescent="0.3">
      <c r="A32" s="5"/>
      <c r="N32" s="18"/>
      <c r="O32" s="18"/>
      <c r="P32" s="18"/>
      <c r="Q32" s="18"/>
      <c r="R32" s="18"/>
      <c r="S32" s="1"/>
      <c r="AI32" s="154" t="s">
        <v>64</v>
      </c>
      <c r="AJ32" s="168">
        <f>'2022 Expectations'!Q202</f>
        <v>30564.749</v>
      </c>
      <c r="AK32" s="168">
        <f>'2022 Expectations'!R202</f>
        <v>48412.073333333334</v>
      </c>
      <c r="AL32" s="168">
        <f>+'2022 Expectations'!N14</f>
        <v>51985.032332809606</v>
      </c>
    </row>
    <row r="33" spans="1:38" x14ac:dyDescent="0.3">
      <c r="C33" s="18"/>
      <c r="D33" s="18"/>
      <c r="E33" s="18"/>
      <c r="F33" s="18"/>
      <c r="G33" s="18"/>
      <c r="H33" s="18"/>
      <c r="I33" s="18"/>
      <c r="J33" s="18"/>
      <c r="K33" s="18"/>
      <c r="L33" s="18"/>
      <c r="M33" s="18"/>
      <c r="N33" s="18"/>
      <c r="O33" s="18"/>
      <c r="P33" s="81"/>
      <c r="Q33" s="117"/>
      <c r="R33" s="41" t="s">
        <v>155</v>
      </c>
      <c r="S33" s="42"/>
      <c r="T33" s="42"/>
      <c r="U33" s="42"/>
      <c r="V33" s="41" t="s">
        <v>154</v>
      </c>
      <c r="W33" s="42"/>
      <c r="X33" s="43"/>
      <c r="Y33" s="41" t="s">
        <v>156</v>
      </c>
      <c r="Z33" s="42"/>
      <c r="AA33" s="43"/>
      <c r="AI33" s="154"/>
      <c r="AJ33" s="173">
        <f>AJ32/AJ26</f>
        <v>0.55326656766857785</v>
      </c>
      <c r="AK33" s="173">
        <f>AK32/AK26</f>
        <v>0.72351096830126482</v>
      </c>
      <c r="AL33" s="173">
        <f>AL32/AL26</f>
        <v>0.69760811576705295</v>
      </c>
    </row>
    <row r="34" spans="1:38" x14ac:dyDescent="0.3">
      <c r="A34" s="12" t="s">
        <v>46</v>
      </c>
      <c r="B34" s="66">
        <v>2010</v>
      </c>
      <c r="C34" s="66">
        <v>2011</v>
      </c>
      <c r="D34" s="66">
        <v>2012</v>
      </c>
      <c r="E34" s="66">
        <v>2013</v>
      </c>
      <c r="F34" s="66">
        <v>2014</v>
      </c>
      <c r="G34" s="66">
        <v>2015</v>
      </c>
      <c r="H34" s="66">
        <v>2016</v>
      </c>
      <c r="I34" s="66">
        <v>2017</v>
      </c>
      <c r="J34" s="67">
        <v>2018</v>
      </c>
      <c r="K34" s="67">
        <v>2019</v>
      </c>
      <c r="L34" s="67">
        <v>2020</v>
      </c>
      <c r="M34" s="67" t="s">
        <v>150</v>
      </c>
      <c r="N34" s="67" t="s">
        <v>149</v>
      </c>
      <c r="P34" s="97" t="s">
        <v>54</v>
      </c>
      <c r="Q34" s="98" t="s">
        <v>49</v>
      </c>
      <c r="R34" s="31" t="s">
        <v>50</v>
      </c>
      <c r="S34" s="31" t="s">
        <v>51</v>
      </c>
      <c r="T34" s="31"/>
      <c r="U34" s="24" t="s">
        <v>49</v>
      </c>
      <c r="V34" s="25" t="s">
        <v>50</v>
      </c>
      <c r="W34" s="25" t="s">
        <v>51</v>
      </c>
      <c r="X34" s="24" t="s">
        <v>49</v>
      </c>
      <c r="Y34" s="25" t="s">
        <v>50</v>
      </c>
      <c r="Z34" s="109" t="s">
        <v>51</v>
      </c>
      <c r="AI34" s="155" t="s">
        <v>29</v>
      </c>
      <c r="AJ34" s="167">
        <f>+AJ21</f>
        <v>2020</v>
      </c>
      <c r="AK34" s="167" t="str">
        <f>+AK21</f>
        <v>2021e</v>
      </c>
      <c r="AL34" s="167" t="str">
        <f>+AL21</f>
        <v>2022f</v>
      </c>
    </row>
    <row r="35" spans="1:38" x14ac:dyDescent="0.3">
      <c r="A35" s="19" t="s">
        <v>33</v>
      </c>
      <c r="B35" s="19"/>
      <c r="C35" s="50">
        <f t="shared" ref="C35:N35" si="26">C17/B17-1</f>
        <v>0.11883824898108819</v>
      </c>
      <c r="D35" s="50">
        <f t="shared" si="26"/>
        <v>0.17761653547172451</v>
      </c>
      <c r="E35" s="50">
        <f t="shared" si="26"/>
        <v>0.12768396378600988</v>
      </c>
      <c r="F35" s="50">
        <f t="shared" si="26"/>
        <v>0.12329291206876825</v>
      </c>
      <c r="G35" s="50">
        <f t="shared" si="26"/>
        <v>7.4316205593233819E-2</v>
      </c>
      <c r="H35" s="50">
        <f t="shared" si="26"/>
        <v>3.9611378172429212E-2</v>
      </c>
      <c r="I35" s="50">
        <f t="shared" si="26"/>
        <v>-1.3639661358888278E-2</v>
      </c>
      <c r="J35" s="50">
        <f t="shared" si="26"/>
        <v>3.1442232697714401E-2</v>
      </c>
      <c r="K35" s="50">
        <f t="shared" si="26"/>
        <v>0.10587641088371536</v>
      </c>
      <c r="L35" s="50">
        <f t="shared" si="26"/>
        <v>0.12886127359491728</v>
      </c>
      <c r="M35" s="50">
        <f t="shared" si="26"/>
        <v>0.29158326761340758</v>
      </c>
      <c r="N35" s="57">
        <f t="shared" si="26"/>
        <v>0.19999999999999996</v>
      </c>
      <c r="O35" s="16"/>
      <c r="P35" s="50">
        <f>(M17/C17)^0.1-1</f>
        <v>0.10576733351947309</v>
      </c>
      <c r="Q35" s="51"/>
      <c r="R35" s="90">
        <v>0.2</v>
      </c>
      <c r="S35" s="53"/>
      <c r="T35" s="5" t="s">
        <v>33</v>
      </c>
      <c r="U35" s="105">
        <f>(Q35+1)*$M$17</f>
        <v>1990687.9972640355</v>
      </c>
      <c r="V35" s="44">
        <f>(R35+1)*$M$17</f>
        <v>2388825.5967168426</v>
      </c>
      <c r="W35" s="101">
        <f>(S35+1)*$M$17</f>
        <v>1990687.9972640355</v>
      </c>
      <c r="X35" s="92">
        <f>U35/$M$17-1</f>
        <v>0</v>
      </c>
      <c r="Y35" s="92">
        <f>V35/$M$17-1</f>
        <v>0.19999999999999996</v>
      </c>
      <c r="Z35" s="110">
        <f>W35/$M$17-1</f>
        <v>0</v>
      </c>
      <c r="AB35" t="s">
        <v>106</v>
      </c>
      <c r="AI35" s="156" t="s">
        <v>18</v>
      </c>
      <c r="AJ35" s="168">
        <f>'2022 Expectations'!Q217</f>
        <v>1541277.3199999998</v>
      </c>
      <c r="AK35" s="168">
        <f>'2022 Expectations'!R217</f>
        <v>1990687.9972640355</v>
      </c>
      <c r="AL35" s="168">
        <f>+'2022 Expectations'!N17</f>
        <v>2388825.5967168426</v>
      </c>
    </row>
    <row r="36" spans="1:38" x14ac:dyDescent="0.3">
      <c r="A36" s="19" t="s">
        <v>34</v>
      </c>
      <c r="B36" s="19"/>
      <c r="C36" s="50">
        <f t="shared" ref="C36:N36" si="27">C18/B18-1</f>
        <v>0.11142316160047594</v>
      </c>
      <c r="D36" s="50">
        <f t="shared" si="27"/>
        <v>0.15936638301096728</v>
      </c>
      <c r="E36" s="50">
        <f t="shared" si="27"/>
        <v>7.5504842850796949E-2</v>
      </c>
      <c r="F36" s="50">
        <f t="shared" si="27"/>
        <v>0.11991174169902763</v>
      </c>
      <c r="G36" s="50">
        <f t="shared" si="27"/>
        <v>1.0039402786853335E-2</v>
      </c>
      <c r="H36" s="50">
        <f t="shared" si="27"/>
        <v>1.3108018397687049E-2</v>
      </c>
      <c r="I36" s="50">
        <f t="shared" si="27"/>
        <v>-2.3424695654860495E-2</v>
      </c>
      <c r="J36" s="50">
        <f t="shared" si="27"/>
        <v>4.2597160868905082E-2</v>
      </c>
      <c r="K36" s="50">
        <f t="shared" si="27"/>
        <v>0.10196932523698199</v>
      </c>
      <c r="L36" s="50">
        <f t="shared" si="27"/>
        <v>0.14983928190164164</v>
      </c>
      <c r="M36" s="50">
        <f t="shared" si="27"/>
        <v>0.26099008404025037</v>
      </c>
      <c r="N36" s="57">
        <f t="shared" si="27"/>
        <v>0.15500000000000003</v>
      </c>
      <c r="O36" s="16"/>
      <c r="P36" s="50">
        <f>(M18/C18)^0.1-1</f>
        <v>8.8015678014774279E-2</v>
      </c>
      <c r="Q36" s="51">
        <f>R36+1%</f>
        <v>0.17</v>
      </c>
      <c r="R36" s="30">
        <v>0.16</v>
      </c>
      <c r="S36" s="53">
        <f>R36-2%</f>
        <v>0.14000000000000001</v>
      </c>
      <c r="T36" s="5" t="s">
        <v>34</v>
      </c>
      <c r="U36" s="105">
        <f>(Q36+1)*$M$18</f>
        <v>2793807.1860929932</v>
      </c>
      <c r="V36" s="44">
        <f>(R36+1)*$M$18</f>
        <v>2769928.4921947625</v>
      </c>
      <c r="W36" s="101">
        <f>(S36+1)*$M$18</f>
        <v>2722171.1043983013</v>
      </c>
      <c r="X36" s="92">
        <f>U36/$M$18-1</f>
        <v>0.16999999999999993</v>
      </c>
      <c r="Y36" s="92">
        <f>V36/$M$18-1</f>
        <v>0.15999999999999992</v>
      </c>
      <c r="Z36" s="110">
        <f>W36/$M$18-1</f>
        <v>0.14000000000000012</v>
      </c>
      <c r="AI36" s="138" t="s">
        <v>19</v>
      </c>
      <c r="AJ36" s="168">
        <f>+'2022 Expectations'!Q334</f>
        <v>473967</v>
      </c>
      <c r="AK36" s="168">
        <f>+'2022 Expectations'!R334</f>
        <v>616736.11145619955</v>
      </c>
      <c r="AL36" s="168">
        <f>+'2022 Expectations'!S334</f>
        <v>792685.4639353978</v>
      </c>
    </row>
    <row r="37" spans="1:38" x14ac:dyDescent="0.3">
      <c r="A37" s="19" t="s">
        <v>35</v>
      </c>
      <c r="B37" s="19"/>
      <c r="C37" s="50">
        <f t="shared" ref="C37:N37" si="28">C4/(AVERAGE(B17:C17))</f>
        <v>5.7219951227110731E-2</v>
      </c>
      <c r="D37" s="50">
        <f t="shared" si="28"/>
        <v>5.4360799597071713E-2</v>
      </c>
      <c r="E37" s="50">
        <f t="shared" si="28"/>
        <v>5.1017069879520448E-2</v>
      </c>
      <c r="F37" s="50">
        <f t="shared" si="28"/>
        <v>4.9272898511163774E-2</v>
      </c>
      <c r="G37" s="50">
        <f t="shared" si="28"/>
        <v>4.7960501732235428E-2</v>
      </c>
      <c r="H37" s="50">
        <f t="shared" si="28"/>
        <v>5.5005662357293136E-2</v>
      </c>
      <c r="I37" s="50">
        <f t="shared" si="28"/>
        <v>5.6566230988311206E-2</v>
      </c>
      <c r="J37" s="50">
        <f t="shared" si="28"/>
        <v>6.3205402989715651E-2</v>
      </c>
      <c r="K37" s="50">
        <f t="shared" si="28"/>
        <v>6.7944743848567968E-2</v>
      </c>
      <c r="L37" s="50">
        <f t="shared" si="28"/>
        <v>5.6317430299805814E-2</v>
      </c>
      <c r="M37" s="50">
        <f t="shared" si="28"/>
        <v>4.9642659610208334E-2</v>
      </c>
      <c r="N37" s="57">
        <f t="shared" si="28"/>
        <v>4.5363636363636349E-2</v>
      </c>
      <c r="O37" s="16"/>
      <c r="P37" s="50">
        <f>AVERAGE(D37:M37)</f>
        <v>5.5129339981389344E-2</v>
      </c>
      <c r="Q37" s="51">
        <f>R37+0.25%</f>
        <v>4.7500000000000001E-2</v>
      </c>
      <c r="R37" s="30">
        <v>4.4999999999999998E-2</v>
      </c>
      <c r="S37" s="53">
        <f>R37-0.25%</f>
        <v>4.2499999999999996E-2</v>
      </c>
      <c r="T37" s="5" t="s">
        <v>111</v>
      </c>
      <c r="U37" s="105">
        <f t="shared" ref="U37:W38" si="29">Q37*U35</f>
        <v>94557.679870041684</v>
      </c>
      <c r="V37" s="44">
        <f t="shared" si="29"/>
        <v>107497.15185225791</v>
      </c>
      <c r="W37" s="101">
        <f t="shared" si="29"/>
        <v>84604.239883721501</v>
      </c>
      <c r="X37" s="92">
        <f>U37/$M$4-1</f>
        <v>7.858737392664672E-2</v>
      </c>
      <c r="Y37" s="92">
        <f>V37/$M$4-1</f>
        <v>0.2261835408850299</v>
      </c>
      <c r="Z37" s="110">
        <f>W37/$M$4-1</f>
        <v>-3.4948139118263555E-2</v>
      </c>
      <c r="AB37" t="s">
        <v>107</v>
      </c>
      <c r="AI37" s="138" t="s">
        <v>20</v>
      </c>
      <c r="AJ37" s="168">
        <f>'2022 Expectations'!Q262</f>
        <v>362825.86300000001</v>
      </c>
      <c r="AK37" s="168">
        <f>'2022 Expectations'!R262</f>
        <v>469560.21711128252</v>
      </c>
      <c r="AL37" s="168">
        <f>+'2022 Expectations'!N19</f>
        <v>515577.11838818825</v>
      </c>
    </row>
    <row r="38" spans="1:38" x14ac:dyDescent="0.3">
      <c r="A38" s="19" t="s">
        <v>36</v>
      </c>
      <c r="B38" s="19"/>
      <c r="C38" s="50">
        <f t="shared" ref="C38:N38" si="30">C5/(AVERAGE(B18:C18))</f>
        <v>4.5650948982782534E-3</v>
      </c>
      <c r="D38" s="50">
        <f t="shared" si="30"/>
        <v>5.4557565652411152E-3</v>
      </c>
      <c r="E38" s="50">
        <f t="shared" si="30"/>
        <v>5.0858025811966814E-3</v>
      </c>
      <c r="F38" s="50">
        <f t="shared" si="30"/>
        <v>4.910564403458142E-3</v>
      </c>
      <c r="G38" s="50">
        <f t="shared" si="30"/>
        <v>5.1334792947892883E-3</v>
      </c>
      <c r="H38" s="50">
        <f t="shared" si="30"/>
        <v>1.025081159564558E-2</v>
      </c>
      <c r="I38" s="50">
        <f t="shared" si="30"/>
        <v>8.8688129189638115E-3</v>
      </c>
      <c r="J38" s="50">
        <f t="shared" si="30"/>
        <v>1.0046239709460232E-2</v>
      </c>
      <c r="K38" s="50">
        <f t="shared" si="30"/>
        <v>1.1628254984813353E-2</v>
      </c>
      <c r="L38" s="50">
        <f t="shared" si="30"/>
        <v>6.1073919275310149E-3</v>
      </c>
      <c r="M38" s="50">
        <f t="shared" si="30"/>
        <v>3.7891888354233813E-3</v>
      </c>
      <c r="N38" s="57">
        <f t="shared" si="30"/>
        <v>3.4245939675174009E-3</v>
      </c>
      <c r="O38" s="16"/>
      <c r="P38" s="50">
        <f>AVERAGE(D38:M38)</f>
        <v>7.1276302816522599E-3</v>
      </c>
      <c r="Q38" s="51">
        <f>R38-0.1%</f>
        <v>2E-3</v>
      </c>
      <c r="R38" s="30">
        <v>3.0000000000000001E-3</v>
      </c>
      <c r="S38" s="53">
        <f>R38+0.1%</f>
        <v>4.0000000000000001E-3</v>
      </c>
      <c r="T38" s="5" t="s">
        <v>36</v>
      </c>
      <c r="U38" s="105">
        <f t="shared" si="29"/>
        <v>5587.6143721859862</v>
      </c>
      <c r="V38" s="44">
        <f t="shared" si="29"/>
        <v>8309.7854765842876</v>
      </c>
      <c r="W38" s="101">
        <f t="shared" si="29"/>
        <v>10888.684417593206</v>
      </c>
      <c r="X38" s="92">
        <f>U38/$M$5-1</f>
        <v>-0.31116910459290259</v>
      </c>
      <c r="Y38" s="92">
        <f>V38/$M$5-1</f>
        <v>2.4415177784914199E-2</v>
      </c>
      <c r="Z38" s="110">
        <f>W38/$M$5-1</f>
        <v>0.34233712951126694</v>
      </c>
      <c r="AB38" t="s">
        <v>108</v>
      </c>
      <c r="AI38" s="138" t="s">
        <v>21</v>
      </c>
      <c r="AJ38" s="168">
        <f>'2022 Expectations'!Q247</f>
        <v>2473884.2200000002</v>
      </c>
      <c r="AK38" s="168">
        <f>'2022 Expectations'!R247</f>
        <v>3110326.4037870821</v>
      </c>
      <c r="AL38" s="168">
        <f>+'2022 Expectations'!N20</f>
        <v>3666087.2292289813</v>
      </c>
    </row>
    <row r="39" spans="1:38" x14ac:dyDescent="0.3">
      <c r="A39" s="19" t="s">
        <v>28</v>
      </c>
      <c r="B39" s="19"/>
      <c r="C39" s="69">
        <f>C37-C38</f>
        <v>5.2654856328832475E-2</v>
      </c>
      <c r="D39" s="69">
        <f>D37-D38</f>
        <v>4.8905043031830596E-2</v>
      </c>
      <c r="E39" s="69">
        <f t="shared" ref="E39:L39" si="31">E37-E38</f>
        <v>4.5931267298323766E-2</v>
      </c>
      <c r="F39" s="69">
        <f t="shared" si="31"/>
        <v>4.4362334107705632E-2</v>
      </c>
      <c r="G39" s="69">
        <f t="shared" si="31"/>
        <v>4.2827022437446141E-2</v>
      </c>
      <c r="H39" s="69">
        <f t="shared" si="31"/>
        <v>4.4754850761647556E-2</v>
      </c>
      <c r="I39" s="69">
        <f t="shared" si="31"/>
        <v>4.7697418069347394E-2</v>
      </c>
      <c r="J39" s="69">
        <f t="shared" si="31"/>
        <v>5.3159163280255418E-2</v>
      </c>
      <c r="K39" s="69">
        <f t="shared" si="31"/>
        <v>5.6316488863754614E-2</v>
      </c>
      <c r="L39" s="69">
        <f t="shared" si="31"/>
        <v>5.02100383722748E-2</v>
      </c>
      <c r="M39" s="69">
        <f>M37-M38</f>
        <v>4.5853470774784952E-2</v>
      </c>
      <c r="N39" s="72">
        <f>N37-N38</f>
        <v>4.1939042396118946E-2</v>
      </c>
      <c r="O39" s="21"/>
      <c r="P39" s="50">
        <f>AVERAGE(D39:M39)</f>
        <v>4.8001709699737091E-2</v>
      </c>
      <c r="Q39" s="51"/>
      <c r="R39" s="30"/>
      <c r="S39" s="53"/>
      <c r="T39" s="44" t="s">
        <v>10</v>
      </c>
      <c r="U39" s="105"/>
      <c r="V39" s="44"/>
      <c r="W39" s="101"/>
      <c r="X39" s="92"/>
      <c r="Y39" s="92"/>
      <c r="Z39" s="110"/>
      <c r="AB39" t="s">
        <v>109</v>
      </c>
      <c r="AI39" s="138" t="s">
        <v>22</v>
      </c>
      <c r="AJ39" s="174">
        <f>AJ24+AJ27</f>
        <v>97747.363999999972</v>
      </c>
      <c r="AK39" s="174">
        <f>AK24+AK27</f>
        <v>108192.208</v>
      </c>
      <c r="AL39" s="174">
        <f>+'2022 Expectations'!N21</f>
        <v>119002.3067358883</v>
      </c>
    </row>
    <row r="40" spans="1:38" x14ac:dyDescent="0.3">
      <c r="A40" s="20" t="s">
        <v>37</v>
      </c>
      <c r="B40" s="20"/>
      <c r="C40" s="50">
        <f t="shared" ref="C40:M40" si="32">C7/AVERAGE(B17:C17)</f>
        <v>7.7232513155439169E-3</v>
      </c>
      <c r="D40" s="50">
        <f t="shared" si="32"/>
        <v>9.0904122592823655E-3</v>
      </c>
      <c r="E40" s="50">
        <f t="shared" si="32"/>
        <v>6.9599390705587421E-3</v>
      </c>
      <c r="F40" s="50">
        <f t="shared" si="32"/>
        <v>6.0502293794982755E-3</v>
      </c>
      <c r="G40" s="50">
        <f t="shared" si="32"/>
        <v>5.4367019046831448E-3</v>
      </c>
      <c r="H40" s="50">
        <f t="shared" si="32"/>
        <v>7.0879249384855104E-3</v>
      </c>
      <c r="I40" s="50">
        <f t="shared" si="32"/>
        <v>7.2724074838582606E-3</v>
      </c>
      <c r="J40" s="50">
        <f t="shared" si="32"/>
        <v>5.9446936188471237E-3</v>
      </c>
      <c r="K40" s="50">
        <f t="shared" si="32"/>
        <v>8.7437978964188257E-3</v>
      </c>
      <c r="L40" s="50">
        <f t="shared" si="32"/>
        <v>1.0865354133989888E-2</v>
      </c>
      <c r="M40" s="50">
        <f t="shared" si="32"/>
        <v>7.1595485974142023E-3</v>
      </c>
      <c r="N40" s="57">
        <f>N7/N17</f>
        <v>6.7000000000000002E-3</v>
      </c>
      <c r="O40" s="17"/>
      <c r="P40" s="50">
        <f t="shared" ref="P40:P45" si="33">AVERAGE(D40:M40)</f>
        <v>7.4611009283036319E-3</v>
      </c>
      <c r="Q40" s="52">
        <f>R40-0.1%</f>
        <v>6.0000000000000001E-3</v>
      </c>
      <c r="R40" s="71">
        <v>7.0000000000000001E-3</v>
      </c>
      <c r="S40" s="54">
        <f>R40+0.1%</f>
        <v>8.0000000000000002E-3</v>
      </c>
      <c r="T40" s="44" t="s">
        <v>37</v>
      </c>
      <c r="U40" s="105">
        <f>Q40*U35</f>
        <v>11944.127983584212</v>
      </c>
      <c r="V40" s="44">
        <f>R40*V35</f>
        <v>16721.779177017899</v>
      </c>
      <c r="W40" s="101">
        <f>S40*W35</f>
        <v>15925.503978112285</v>
      </c>
      <c r="X40" s="93">
        <f>U40/$M$7-1</f>
        <v>-5.5325108659315281E-2</v>
      </c>
      <c r="Y40" s="93">
        <f>V40/$M$7-1</f>
        <v>0.32254484787695881</v>
      </c>
      <c r="Z40" s="111">
        <f>W40/$M$7-1</f>
        <v>0.25956652178757977</v>
      </c>
      <c r="AB40" t="s">
        <v>110</v>
      </c>
      <c r="AI40" s="156" t="s">
        <v>23</v>
      </c>
      <c r="AJ40" s="185"/>
      <c r="AK40" s="175">
        <f>AK25/AVERAGE(AJ35:AK35)</f>
        <v>7.1595485974142023E-3</v>
      </c>
      <c r="AL40" s="175">
        <f>AL25/AVERAGE(AK35:AL35)</f>
        <v>7.3090909090909083E-3</v>
      </c>
    </row>
    <row r="41" spans="1:38" x14ac:dyDescent="0.3">
      <c r="A41" s="19" t="s">
        <v>11</v>
      </c>
      <c r="B41" s="19"/>
      <c r="C41" s="50">
        <f>C39-C40</f>
        <v>4.4931605013288557E-2</v>
      </c>
      <c r="D41" s="50">
        <f>D39-D40</f>
        <v>3.981463077254823E-2</v>
      </c>
      <c r="E41" s="50">
        <f t="shared" ref="E41:L41" si="34">E39-E40</f>
        <v>3.8971328227765022E-2</v>
      </c>
      <c r="F41" s="50">
        <f t="shared" si="34"/>
        <v>3.8312104728207355E-2</v>
      </c>
      <c r="G41" s="50">
        <f t="shared" si="34"/>
        <v>3.7390320532762998E-2</v>
      </c>
      <c r="H41" s="50">
        <f t="shared" si="34"/>
        <v>3.7666925823162042E-2</v>
      </c>
      <c r="I41" s="50">
        <f t="shared" si="34"/>
        <v>4.0425010585489134E-2</v>
      </c>
      <c r="J41" s="50">
        <f t="shared" si="34"/>
        <v>4.7214469661408298E-2</v>
      </c>
      <c r="K41" s="50">
        <f t="shared" si="34"/>
        <v>4.7572690967335789E-2</v>
      </c>
      <c r="L41" s="50">
        <f t="shared" si="34"/>
        <v>3.934468423828491E-2</v>
      </c>
      <c r="M41" s="50">
        <f>M39-M40</f>
        <v>3.8693922177370749E-2</v>
      </c>
      <c r="N41" s="57">
        <f>N39-N40</f>
        <v>3.5239042396118948E-2</v>
      </c>
      <c r="O41" s="16"/>
      <c r="P41" s="50">
        <f>AVERAGE(D41:M41)</f>
        <v>4.0540608771433451E-2</v>
      </c>
      <c r="Q41" s="51"/>
      <c r="R41" s="30"/>
      <c r="S41" s="53"/>
      <c r="T41" s="44" t="s">
        <v>11</v>
      </c>
      <c r="U41" s="105"/>
      <c r="V41" s="44"/>
      <c r="W41" s="101"/>
      <c r="X41" s="92"/>
      <c r="Y41" s="92"/>
      <c r="Z41" s="110"/>
      <c r="AI41" s="138" t="s">
        <v>24</v>
      </c>
      <c r="AJ41" s="185"/>
      <c r="AK41" s="175">
        <f>AK32/AVERAGE(AJ38:AK38)</f>
        <v>1.733891380354181E-2</v>
      </c>
      <c r="AL41" s="175">
        <f>AL32/AVERAGE(AK38:AL38)</f>
        <v>1.534293363661509E-2</v>
      </c>
    </row>
    <row r="42" spans="1:38" x14ac:dyDescent="0.3">
      <c r="A42" s="19" t="s">
        <v>38</v>
      </c>
      <c r="B42" s="19"/>
      <c r="C42" s="50">
        <f t="shared" ref="C42:N42" si="35">C4/C21</f>
        <v>0.77928688183676709</v>
      </c>
      <c r="D42" s="50">
        <f t="shared" si="35"/>
        <v>0.79447781258852945</v>
      </c>
      <c r="E42" s="50">
        <f t="shared" si="35"/>
        <v>0.74753995499238068</v>
      </c>
      <c r="F42" s="50">
        <f t="shared" si="35"/>
        <v>0.74214687826004289</v>
      </c>
      <c r="G42" s="50">
        <f t="shared" si="35"/>
        <v>0.74522966715756778</v>
      </c>
      <c r="H42" s="50">
        <f t="shared" si="35"/>
        <v>0.86170715432365086</v>
      </c>
      <c r="I42" s="50">
        <f t="shared" si="35"/>
        <v>0.85244585358411384</v>
      </c>
      <c r="J42" s="50">
        <f t="shared" si="35"/>
        <v>0.90585849512135108</v>
      </c>
      <c r="K42" s="50">
        <f t="shared" si="35"/>
        <v>0.9339224516612451</v>
      </c>
      <c r="L42" s="50">
        <f t="shared" si="35"/>
        <v>0.83732750071909878</v>
      </c>
      <c r="M42" s="50">
        <f t="shared" si="35"/>
        <v>0.81029935168713818</v>
      </c>
      <c r="N42" s="57">
        <f t="shared" si="35"/>
        <v>0.83473450043231945</v>
      </c>
      <c r="O42" s="16"/>
      <c r="P42" s="50">
        <f t="shared" si="33"/>
        <v>0.82309551200951192</v>
      </c>
      <c r="Q42" s="51">
        <f>R42-5%</f>
        <v>0.35000000000000003</v>
      </c>
      <c r="R42" s="30">
        <v>0.4</v>
      </c>
      <c r="S42" s="53">
        <f>R42+5%</f>
        <v>0.45</v>
      </c>
      <c r="T42" s="5" t="s">
        <v>112</v>
      </c>
      <c r="U42" s="105">
        <f>U37/Q42</f>
        <v>270164.79962869053</v>
      </c>
      <c r="V42" s="44">
        <f>V37/R42</f>
        <v>268742.87963064475</v>
      </c>
      <c r="W42" s="101">
        <f>W37/S42</f>
        <v>188009.42196382556</v>
      </c>
      <c r="X42" s="92">
        <f>U42/$M$21-1</f>
        <v>1.4970818566591277</v>
      </c>
      <c r="Y42" s="92">
        <f>V42/$M$21-1</f>
        <v>1.4839393205714475</v>
      </c>
      <c r="Z42" s="110">
        <f>W42/$M$21-1</f>
        <v>0.73773532714874968</v>
      </c>
      <c r="AI42" s="157" t="s">
        <v>25</v>
      </c>
      <c r="AJ42" s="186"/>
      <c r="AK42" s="176">
        <f>AK32/AVERAGE(AJ37:AK37)</f>
        <v>0.11632119875637775</v>
      </c>
      <c r="AL42" s="176">
        <f>AL32/AVERAGE(AK37:AL37)</f>
        <v>0.10553865021561257</v>
      </c>
    </row>
    <row r="43" spans="1:38" x14ac:dyDescent="0.3">
      <c r="A43" s="19" t="s">
        <v>39</v>
      </c>
      <c r="B43" s="19"/>
      <c r="C43" s="50">
        <f t="shared" ref="C43:N43" si="36">C9/C21</f>
        <v>0.30866769145544587</v>
      </c>
      <c r="D43" s="50">
        <f t="shared" si="36"/>
        <v>0.31702587901560342</v>
      </c>
      <c r="E43" s="50">
        <f t="shared" si="36"/>
        <v>0.35338654901083805</v>
      </c>
      <c r="F43" s="50">
        <f t="shared" si="36"/>
        <v>0.35563451128020473</v>
      </c>
      <c r="G43" s="50">
        <f t="shared" si="36"/>
        <v>0.35681111793418691</v>
      </c>
      <c r="H43" s="50">
        <f t="shared" si="36"/>
        <v>0.33501910851243916</v>
      </c>
      <c r="I43" s="50">
        <f t="shared" si="36"/>
        <v>0.30841384475890821</v>
      </c>
      <c r="J43" s="50">
        <f t="shared" si="36"/>
        <v>0.26751190165518518</v>
      </c>
      <c r="K43" s="50">
        <f t="shared" si="36"/>
        <v>0.25919504448336878</v>
      </c>
      <c r="L43" s="50">
        <f t="shared" si="36"/>
        <v>0.27328099609929124</v>
      </c>
      <c r="M43" s="50">
        <f t="shared" si="36"/>
        <v>0.26467588127973135</v>
      </c>
      <c r="N43" s="57">
        <f t="shared" si="36"/>
        <v>0.23930808151529478</v>
      </c>
      <c r="O43" s="16"/>
      <c r="P43" s="50">
        <f t="shared" si="33"/>
        <v>0.30909548340297566</v>
      </c>
      <c r="Q43" s="51">
        <f>R43+3%</f>
        <v>0.15</v>
      </c>
      <c r="R43" s="30">
        <v>0.12</v>
      </c>
      <c r="S43" s="53">
        <f>R43-3%</f>
        <v>0.09</v>
      </c>
      <c r="T43" s="5" t="s">
        <v>39</v>
      </c>
      <c r="U43" s="105">
        <f>Q43*U42</f>
        <v>40524.719944303579</v>
      </c>
      <c r="V43" s="44">
        <f>R43*V42</f>
        <v>32249.145555677369</v>
      </c>
      <c r="W43" s="101">
        <f>S43*W42</f>
        <v>16920.847976744299</v>
      </c>
      <c r="X43" s="92">
        <f>U43/$M$9-1</f>
        <v>0.41517344416811741</v>
      </c>
      <c r="Y43" s="92">
        <f>V43/$M$9-1</f>
        <v>0.12618013030641739</v>
      </c>
      <c r="Z43" s="110">
        <f>W43/$M$9-1</f>
        <v>-0.40910301804910199</v>
      </c>
      <c r="AI43" s="138" t="s">
        <v>26</v>
      </c>
      <c r="AJ43" s="185"/>
      <c r="AK43" s="175">
        <f>AK35/AK36</f>
        <v>3.227779207810201</v>
      </c>
      <c r="AL43" s="175">
        <f>AL35/AL36</f>
        <v>3.0135857227117349</v>
      </c>
    </row>
    <row r="44" spans="1:38" x14ac:dyDescent="0.3">
      <c r="A44" s="19" t="s">
        <v>40</v>
      </c>
      <c r="B44" s="19"/>
      <c r="C44" s="50">
        <f t="shared" ref="C44:N44" si="37">C10/C21</f>
        <v>-0.37714176026912971</v>
      </c>
      <c r="D44" s="50">
        <f t="shared" si="37"/>
        <v>-0.3976190581054736</v>
      </c>
      <c r="E44" s="50">
        <f t="shared" si="37"/>
        <v>-0.39174657884592429</v>
      </c>
      <c r="F44" s="50">
        <f t="shared" si="37"/>
        <v>-0.40063093851598236</v>
      </c>
      <c r="G44" s="50">
        <f t="shared" si="37"/>
        <v>-0.41470076412688295</v>
      </c>
      <c r="H44" s="50">
        <f t="shared" si="37"/>
        <v>-0.42580737832499005</v>
      </c>
      <c r="I44" s="50">
        <f t="shared" si="37"/>
        <v>-0.40770909890399737</v>
      </c>
      <c r="J44" s="50">
        <f t="shared" si="37"/>
        <v>-0.40495055384983403</v>
      </c>
      <c r="K44" s="50">
        <f t="shared" si="37"/>
        <v>-0.38980097653178514</v>
      </c>
      <c r="L44" s="50">
        <f t="shared" si="37"/>
        <v>-0.47553453206165242</v>
      </c>
      <c r="M44" s="50">
        <f t="shared" si="37"/>
        <v>-0.37603851594685389</v>
      </c>
      <c r="N44" s="57">
        <f t="shared" si="37"/>
        <v>-0.36760499786192075</v>
      </c>
      <c r="O44" s="16"/>
      <c r="P44" s="50">
        <f t="shared" si="33"/>
        <v>-0.40845383952133762</v>
      </c>
      <c r="Q44" s="51">
        <f>R44-1%</f>
        <v>-0.19</v>
      </c>
      <c r="R44" s="30">
        <v>-0.18</v>
      </c>
      <c r="S44" s="53">
        <f>R44+1%</f>
        <v>-0.16999999999999998</v>
      </c>
      <c r="T44" s="5" t="s">
        <v>40</v>
      </c>
      <c r="U44" s="105">
        <f>Q44*U42</f>
        <v>-51331.3119294512</v>
      </c>
      <c r="V44" s="44">
        <f>R44*V42</f>
        <v>-48373.718333516052</v>
      </c>
      <c r="W44" s="101">
        <f>S44*W42</f>
        <v>-31961.601733850341</v>
      </c>
      <c r="X44" s="92">
        <f>U44/$M$10-1</f>
        <v>0.26169403570427963</v>
      </c>
      <c r="Y44" s="92">
        <f>V44/$M$10-1</f>
        <v>0.1889980912648086</v>
      </c>
      <c r="Z44" s="110">
        <f>W44/$M$10-1</f>
        <v>-0.21440226708840959</v>
      </c>
      <c r="AI44" s="138" t="s">
        <v>27</v>
      </c>
      <c r="AJ44" s="185"/>
      <c r="AK44" s="175">
        <f>-AK28/AK39</f>
        <v>0.37603851594685389</v>
      </c>
      <c r="AL44" s="175">
        <f>-AL28/AL39</f>
        <v>0.36760499786192075</v>
      </c>
    </row>
    <row r="45" spans="1:38" x14ac:dyDescent="0.3">
      <c r="A45" s="19" t="s">
        <v>41</v>
      </c>
      <c r="B45" s="19"/>
      <c r="C45" s="50">
        <f t="shared" ref="C45:N45" si="38">C11/C21</f>
        <v>0.51767415085523505</v>
      </c>
      <c r="D45" s="50">
        <f t="shared" si="38"/>
        <v>0.46952544858291495</v>
      </c>
      <c r="E45" s="50">
        <f t="shared" si="38"/>
        <v>0.50627123064721258</v>
      </c>
      <c r="F45" s="50">
        <f t="shared" si="38"/>
        <v>0.508240693102472</v>
      </c>
      <c r="G45" s="50">
        <f t="shared" si="38"/>
        <v>0.50082156352760931</v>
      </c>
      <c r="H45" s="50">
        <f t="shared" si="38"/>
        <v>0.46315467817877704</v>
      </c>
      <c r="I45" s="50">
        <f t="shared" si="38"/>
        <v>0.48269665207364704</v>
      </c>
      <c r="J45" s="50">
        <f t="shared" si="38"/>
        <v>0.50985022328621932</v>
      </c>
      <c r="K45" s="50">
        <f t="shared" si="38"/>
        <v>0.49001269696658029</v>
      </c>
      <c r="L45" s="50">
        <f t="shared" si="38"/>
        <v>0.36291939289534209</v>
      </c>
      <c r="M45" s="50">
        <f t="shared" si="38"/>
        <v>0.50709873672233396</v>
      </c>
      <c r="N45" s="57">
        <f t="shared" si="38"/>
        <v>0.49790070587603813</v>
      </c>
      <c r="O45" s="16"/>
      <c r="P45" s="50">
        <f t="shared" si="33"/>
        <v>0.48005913159831082</v>
      </c>
      <c r="Q45" s="51"/>
      <c r="R45" s="30"/>
      <c r="S45" s="53"/>
      <c r="T45" s="5" t="s">
        <v>41</v>
      </c>
      <c r="U45" s="105"/>
      <c r="V45" s="44"/>
      <c r="W45" s="101"/>
      <c r="X45" s="26"/>
      <c r="Y45" s="26"/>
      <c r="Z45" s="110"/>
      <c r="AI45" s="158" t="s">
        <v>28</v>
      </c>
      <c r="AJ45" s="185"/>
      <c r="AK45" s="175">
        <f>+'2022 Expectations'!M39</f>
        <v>4.5853470774784952E-2</v>
      </c>
      <c r="AL45" s="175">
        <f>+'2022 Expectations'!N39</f>
        <v>4.1939042396118946E-2</v>
      </c>
    </row>
    <row r="46" spans="1:38" x14ac:dyDescent="0.3">
      <c r="A46" s="19" t="s">
        <v>42</v>
      </c>
      <c r="B46" s="19"/>
      <c r="C46" s="50">
        <f t="shared" ref="C46:N46" si="39">C12/C11</f>
        <v>0</v>
      </c>
      <c r="D46" s="50">
        <f t="shared" si="39"/>
        <v>0</v>
      </c>
      <c r="E46" s="50">
        <f t="shared" si="39"/>
        <v>0</v>
      </c>
      <c r="F46" s="50">
        <f t="shared" si="39"/>
        <v>0</v>
      </c>
      <c r="G46" s="50">
        <f t="shared" si="39"/>
        <v>0</v>
      </c>
      <c r="H46" s="50">
        <f t="shared" si="39"/>
        <v>0</v>
      </c>
      <c r="I46" s="50">
        <f t="shared" si="39"/>
        <v>0</v>
      </c>
      <c r="J46" s="50">
        <f t="shared" si="39"/>
        <v>0.32886496393129749</v>
      </c>
      <c r="K46" s="50">
        <f t="shared" si="39"/>
        <v>0.11588497426155027</v>
      </c>
      <c r="L46" s="50">
        <f t="shared" si="39"/>
        <v>0.1361082102723388</v>
      </c>
      <c r="M46" s="50">
        <f t="shared" si="39"/>
        <v>0.11591247508177717</v>
      </c>
      <c r="N46" s="57">
        <f t="shared" si="39"/>
        <v>0.12263521987188875</v>
      </c>
      <c r="O46" s="16"/>
      <c r="P46" s="50">
        <f>AVERAGE(K46:M46)</f>
        <v>0.12263521987188875</v>
      </c>
      <c r="Q46" s="51"/>
      <c r="R46" s="30"/>
      <c r="S46" s="53"/>
      <c r="T46" s="5" t="s">
        <v>42</v>
      </c>
      <c r="U46" s="105"/>
      <c r="V46" s="44"/>
      <c r="W46" s="101"/>
      <c r="X46" s="26"/>
      <c r="Y46" s="26"/>
      <c r="Z46" s="110"/>
      <c r="AI46" s="138" t="s">
        <v>151</v>
      </c>
      <c r="AJ46" s="185"/>
      <c r="AK46" s="177">
        <f>+'2022 Expectations'!M28</f>
        <v>2.1999999999999999E-2</v>
      </c>
      <c r="AL46" s="177">
        <f>+'2022 Expectations'!N28</f>
        <v>2.6620268620268624E-2</v>
      </c>
    </row>
    <row r="47" spans="1:38" x14ac:dyDescent="0.3">
      <c r="A47" s="19" t="s">
        <v>43</v>
      </c>
      <c r="B47" s="19"/>
      <c r="C47" s="50">
        <f t="shared" ref="C47:N47" si="40">C14/C11</f>
        <v>1.0024758947468759</v>
      </c>
      <c r="D47" s="50">
        <f t="shared" si="40"/>
        <v>1.0070096109031501</v>
      </c>
      <c r="E47" s="50">
        <f t="shared" si="40"/>
        <v>1.0025851389982809</v>
      </c>
      <c r="F47" s="50">
        <f t="shared" si="40"/>
        <v>0.99962163471407262</v>
      </c>
      <c r="G47" s="50">
        <f t="shared" si="40"/>
        <v>1.0041894548747503</v>
      </c>
      <c r="H47" s="50">
        <f t="shared" si="40"/>
        <v>1.0024062935509921</v>
      </c>
      <c r="I47" s="50">
        <f t="shared" si="40"/>
        <v>0.99996497881658786</v>
      </c>
      <c r="J47" s="50">
        <f t="shared" si="40"/>
        <v>0.66970076863269101</v>
      </c>
      <c r="K47" s="50">
        <f t="shared" si="40"/>
        <v>0.8860685680535263</v>
      </c>
      <c r="L47" s="50">
        <f t="shared" si="40"/>
        <v>0.86159982797742607</v>
      </c>
      <c r="M47" s="50">
        <f t="shared" si="40"/>
        <v>0.88239933028254847</v>
      </c>
      <c r="N47" s="57">
        <f t="shared" si="40"/>
        <v>0.87736478012811125</v>
      </c>
      <c r="O47" s="16"/>
      <c r="P47" s="50">
        <f>AVERAGE(D47:M47)</f>
        <v>0.93155456068040254</v>
      </c>
      <c r="Q47" s="51"/>
      <c r="R47" s="30"/>
      <c r="S47" s="53"/>
      <c r="T47" s="5" t="s">
        <v>43</v>
      </c>
      <c r="U47" s="105"/>
      <c r="V47" s="44"/>
      <c r="W47" s="101"/>
      <c r="X47" s="26"/>
      <c r="Y47" s="26"/>
      <c r="Z47" s="112"/>
      <c r="AI47" s="138" t="s">
        <v>66</v>
      </c>
      <c r="AJ47" s="185"/>
      <c r="AK47" s="178">
        <f>AK46*AK35</f>
        <v>43795.135939808781</v>
      </c>
      <c r="AL47" s="178">
        <f>AL46*AL35</f>
        <v>63591.179071575832</v>
      </c>
    </row>
    <row r="48" spans="1:38" x14ac:dyDescent="0.3">
      <c r="A48" s="19" t="s">
        <v>44</v>
      </c>
      <c r="B48" s="19"/>
      <c r="C48" s="50">
        <f t="shared" ref="C48:N48" si="41">C17/C20</f>
        <v>0.58054499114345715</v>
      </c>
      <c r="D48" s="50">
        <f t="shared" si="41"/>
        <v>0.59257230981993125</v>
      </c>
      <c r="E48" s="50">
        <f t="shared" si="41"/>
        <v>0.60932141870460577</v>
      </c>
      <c r="F48" s="50">
        <f t="shared" si="41"/>
        <v>0.60888046694838049</v>
      </c>
      <c r="G48" s="50">
        <f t="shared" si="41"/>
        <v>0.63917422151527692</v>
      </c>
      <c r="H48" s="50">
        <f t="shared" si="41"/>
        <v>0.64641776238559134</v>
      </c>
      <c r="I48" s="50">
        <f t="shared" si="41"/>
        <v>0.63116163240524514</v>
      </c>
      <c r="J48" s="50">
        <f t="shared" si="41"/>
        <v>0.63196046384214588</v>
      </c>
      <c r="K48" s="50">
        <f t="shared" si="41"/>
        <v>0.62346516207806957</v>
      </c>
      <c r="L48" s="50">
        <f t="shared" si="41"/>
        <v>0.6230191807440365</v>
      </c>
      <c r="M48" s="50">
        <f t="shared" si="41"/>
        <v>0.64002543104164455</v>
      </c>
      <c r="N48" s="57">
        <f t="shared" si="41"/>
        <v>0.65160086145010765</v>
      </c>
      <c r="O48" s="16"/>
      <c r="P48" s="50">
        <f>AVERAGE(D48:M48)</f>
        <v>0.62459980494849276</v>
      </c>
      <c r="Q48" s="51">
        <f>R48+1%</f>
        <v>0.62</v>
      </c>
      <c r="R48" s="30">
        <v>0.61</v>
      </c>
      <c r="S48" s="53">
        <f>R48-1%</f>
        <v>0.6</v>
      </c>
      <c r="T48" s="5" t="s">
        <v>55</v>
      </c>
      <c r="U48" s="105">
        <f>U35/Q48</f>
        <v>3210787.0923613477</v>
      </c>
      <c r="V48" s="44">
        <f>V35/R48</f>
        <v>3916107.5356013812</v>
      </c>
      <c r="W48" s="101">
        <f>W35/S48</f>
        <v>3317813.3287733928</v>
      </c>
      <c r="X48" s="92">
        <f>U48/$M$20-1</f>
        <v>3.2299082325233375E-2</v>
      </c>
      <c r="Y48" s="92">
        <f>V48/$M$20-1</f>
        <v>0.25906642172126793</v>
      </c>
      <c r="Z48" s="110">
        <f>W48/$M$20-1</f>
        <v>6.6709051736074443E-2</v>
      </c>
      <c r="AI48" s="138"/>
      <c r="AJ48" s="185"/>
      <c r="AK48" s="179"/>
      <c r="AL48" s="179"/>
    </row>
    <row r="49" spans="1:44" x14ac:dyDescent="0.3">
      <c r="A49" s="22" t="s">
        <v>47</v>
      </c>
      <c r="B49" s="22"/>
      <c r="C49" s="50">
        <f t="shared" ref="C49:N49" si="42">C18/C20</f>
        <v>0.81870845806895109</v>
      </c>
      <c r="D49" s="50">
        <f t="shared" si="42"/>
        <v>0.82271905578235427</v>
      </c>
      <c r="E49" s="50">
        <f t="shared" si="42"/>
        <v>0.80682921088399651</v>
      </c>
      <c r="F49" s="50">
        <f t="shared" si="42"/>
        <v>0.80381848675621992</v>
      </c>
      <c r="G49" s="50">
        <f t="shared" si="42"/>
        <v>0.79332545384601261</v>
      </c>
      <c r="H49" s="50">
        <f t="shared" si="42"/>
        <v>0.78186207516461137</v>
      </c>
      <c r="I49" s="50">
        <f t="shared" si="42"/>
        <v>0.75583603546443268</v>
      </c>
      <c r="J49" s="50">
        <f t="shared" si="42"/>
        <v>0.7649772862965033</v>
      </c>
      <c r="K49" s="50">
        <f t="shared" si="42"/>
        <v>0.75202751941970136</v>
      </c>
      <c r="L49" s="50">
        <f t="shared" si="42"/>
        <v>0.76545475721575995</v>
      </c>
      <c r="M49" s="50">
        <f t="shared" si="42"/>
        <v>0.76772308749192397</v>
      </c>
      <c r="N49" s="57">
        <f t="shared" si="42"/>
        <v>0.75229774219684431</v>
      </c>
      <c r="O49" s="16"/>
      <c r="P49" s="50">
        <f>AVERAGE(D49:M49)</f>
        <v>0.78145729683215159</v>
      </c>
      <c r="Q49" s="51"/>
      <c r="R49" s="30"/>
      <c r="S49" s="53"/>
      <c r="T49" s="94" t="s">
        <v>47</v>
      </c>
      <c r="U49" s="105"/>
      <c r="V49" s="44"/>
      <c r="W49" s="101"/>
      <c r="X49" s="27"/>
      <c r="Y49" s="27"/>
      <c r="Z49" s="113"/>
      <c r="AI49" s="159"/>
      <c r="AJ49" s="179"/>
      <c r="AK49" s="179"/>
      <c r="AL49" s="179"/>
    </row>
    <row r="50" spans="1:44" x14ac:dyDescent="0.3">
      <c r="A50" s="22" t="s">
        <v>48</v>
      </c>
      <c r="B50" s="22"/>
      <c r="C50" s="50">
        <f t="shared" ref="C50:N50" si="43">C17/C18</f>
        <v>0.70909856301321372</v>
      </c>
      <c r="D50" s="50">
        <f t="shared" si="43"/>
        <v>0.72026082981198503</v>
      </c>
      <c r="E50" s="50">
        <f t="shared" si="43"/>
        <v>0.75520495599930904</v>
      </c>
      <c r="F50" s="50">
        <f t="shared" si="43"/>
        <v>0.7574850255130301</v>
      </c>
      <c r="G50" s="50">
        <f t="shared" si="43"/>
        <v>0.80568979403923557</v>
      </c>
      <c r="H50" s="50">
        <f t="shared" si="43"/>
        <v>0.82676700011251492</v>
      </c>
      <c r="I50" s="50">
        <f t="shared" si="43"/>
        <v>0.83505099358939683</v>
      </c>
      <c r="J50" s="50">
        <f t="shared" si="43"/>
        <v>0.82611663792223955</v>
      </c>
      <c r="K50" s="50">
        <f t="shared" si="43"/>
        <v>0.82904567449760835</v>
      </c>
      <c r="L50" s="50">
        <f t="shared" si="43"/>
        <v>0.8139203197458541</v>
      </c>
      <c r="M50" s="50">
        <f t="shared" si="43"/>
        <v>0.83366703629109928</v>
      </c>
      <c r="N50" s="57">
        <f t="shared" si="43"/>
        <v>0.8661475701725706</v>
      </c>
      <c r="O50" s="16"/>
      <c r="P50" s="50">
        <f>AVERAGE(D50:M50)</f>
        <v>0.80032082675222715</v>
      </c>
      <c r="Q50" s="51"/>
      <c r="R50" s="30"/>
      <c r="S50" s="53"/>
      <c r="T50" s="94" t="s">
        <v>48</v>
      </c>
      <c r="U50" s="105"/>
      <c r="V50" s="44"/>
      <c r="W50" s="101"/>
      <c r="X50" s="27"/>
      <c r="Y50" s="27"/>
      <c r="Z50" s="113"/>
      <c r="AI50" s="138" t="s">
        <v>35</v>
      </c>
      <c r="AJ50" s="179"/>
      <c r="AK50" s="180">
        <f>AK22/(AVERAGE(AJ35:AK35))</f>
        <v>4.9642659610208334E-2</v>
      </c>
      <c r="AL50" s="180">
        <f>AL22/(AVERAGE(AK35:AL35))</f>
        <v>4.5363636363636349E-2</v>
      </c>
    </row>
    <row r="51" spans="1:44" x14ac:dyDescent="0.3">
      <c r="A51" s="19" t="s">
        <v>45</v>
      </c>
      <c r="B51" s="19"/>
      <c r="C51" s="50">
        <f t="shared" ref="C51:N51" si="44">C19/B19-1</f>
        <v>7.8270501174287022E-2</v>
      </c>
      <c r="D51" s="50">
        <f t="shared" si="44"/>
        <v>9.9316730828049815E-2</v>
      </c>
      <c r="E51" s="50">
        <f t="shared" si="44"/>
        <v>7.0393473283475894E-2</v>
      </c>
      <c r="F51" s="50">
        <f t="shared" si="44"/>
        <v>9.8386815340262723E-2</v>
      </c>
      <c r="G51" s="50">
        <f t="shared" si="44"/>
        <v>9.0525673060743106E-2</v>
      </c>
      <c r="H51" s="50">
        <f t="shared" si="44"/>
        <v>7.8933264256499047E-2</v>
      </c>
      <c r="I51" s="50">
        <f t="shared" si="44"/>
        <v>6.5208665433235113E-2</v>
      </c>
      <c r="J51" s="50">
        <f t="shared" si="44"/>
        <v>-1.4761049672061599E-2</v>
      </c>
      <c r="K51" s="50">
        <f t="shared" si="44"/>
        <v>0.14290363318787191</v>
      </c>
      <c r="L51" s="50">
        <f t="shared" si="44"/>
        <v>8.1876686090704087E-2</v>
      </c>
      <c r="M51" s="50">
        <f t="shared" si="44"/>
        <v>0.29417515396713179</v>
      </c>
      <c r="N51" s="57">
        <f t="shared" si="44"/>
        <v>9.8000000000000087E-2</v>
      </c>
      <c r="O51" s="16"/>
      <c r="P51" s="50">
        <f>(M19/C19)^0.1-1</f>
        <v>9.8299731676625868E-2</v>
      </c>
      <c r="Q51" s="51">
        <f>R51+1%</f>
        <v>0.11</v>
      </c>
      <c r="R51" s="30">
        <v>0.1</v>
      </c>
      <c r="S51" s="53">
        <f>R51-1%</f>
        <v>9.0000000000000011E-2</v>
      </c>
      <c r="T51" s="5" t="s">
        <v>45</v>
      </c>
      <c r="U51" s="106">
        <f>(Q51+1)*$M$19</f>
        <v>521211.84099352366</v>
      </c>
      <c r="V51" s="95">
        <f>(R51+1)*$M$19</f>
        <v>516516.23882241081</v>
      </c>
      <c r="W51" s="102">
        <f>(S51+1)*$M$19</f>
        <v>511820.63665129797</v>
      </c>
      <c r="X51" s="30">
        <f>U51/$M$19-1</f>
        <v>0.1100000000000001</v>
      </c>
      <c r="Y51" s="30">
        <f>V51/$M$19-1</f>
        <v>0.10000000000000009</v>
      </c>
      <c r="Z51" s="53">
        <f>W51/$M$19-1</f>
        <v>9.000000000000008E-2</v>
      </c>
      <c r="AI51" s="138" t="s">
        <v>36</v>
      </c>
      <c r="AJ51" s="179"/>
      <c r="AK51" s="175">
        <f>AK23/(AVERAGE(AJ36:AK36))</f>
        <v>1.4874324488118507E-2</v>
      </c>
      <c r="AL51" s="175">
        <f>AL23/(AVERAGE(AK36:AL36))</f>
        <v>1.2503339245390785E-2</v>
      </c>
    </row>
    <row r="52" spans="1:44" x14ac:dyDescent="0.3">
      <c r="A52" s="5" t="s">
        <v>7</v>
      </c>
      <c r="B52" s="68"/>
      <c r="C52" s="50">
        <f t="shared" ref="C52:N52" si="45">C14/(AVERAGE(B20:C20))</f>
        <v>2.1972110182210833E-2</v>
      </c>
      <c r="D52" s="50">
        <f t="shared" si="45"/>
        <v>1.8990042281154165E-2</v>
      </c>
      <c r="E52" s="50">
        <f t="shared" si="45"/>
        <v>2.0830547485575356E-2</v>
      </c>
      <c r="F52" s="50">
        <f t="shared" si="45"/>
        <v>2.0544870777469824E-2</v>
      </c>
      <c r="G52" s="50">
        <f t="shared" si="45"/>
        <v>2.0203088454998561E-2</v>
      </c>
      <c r="H52" s="50">
        <f t="shared" si="45"/>
        <v>1.9051292196559537E-2</v>
      </c>
      <c r="I52" s="50">
        <f t="shared" si="45"/>
        <v>2.045884437003586E-2</v>
      </c>
      <c r="J52" s="50">
        <f t="shared" si="45"/>
        <v>1.5046540854247625E-2</v>
      </c>
      <c r="K52" s="50">
        <f t="shared" si="45"/>
        <v>1.9820430901022673E-2</v>
      </c>
      <c r="L52" s="50">
        <f t="shared" si="45"/>
        <v>1.3107221093232299E-2</v>
      </c>
      <c r="M52" s="50">
        <f t="shared" si="45"/>
        <v>1.733891380354181E-2</v>
      </c>
      <c r="N52" s="57">
        <f t="shared" si="45"/>
        <v>1.534293363661509E-2</v>
      </c>
      <c r="O52" s="17"/>
      <c r="P52" s="69">
        <f>AVERAGE(D52:M52)</f>
        <v>1.8539179221783768E-2</v>
      </c>
      <c r="Q52" s="99"/>
      <c r="R52" s="28"/>
      <c r="S52" s="100"/>
      <c r="T52" s="5" t="s">
        <v>7</v>
      </c>
      <c r="U52" s="107"/>
      <c r="V52" s="29"/>
      <c r="W52" s="103"/>
      <c r="X52" s="28"/>
      <c r="Y52" s="28"/>
      <c r="Z52" s="100"/>
      <c r="AI52" s="156" t="s">
        <v>23</v>
      </c>
      <c r="AJ52" s="179"/>
      <c r="AK52" s="175">
        <f>AK25/AVERAGE(AJ35:AK35)</f>
        <v>7.1595485974142023E-3</v>
      </c>
      <c r="AL52" s="175">
        <f>AL25/AVERAGE(AK35:AL35)</f>
        <v>7.3090909090909083E-3</v>
      </c>
    </row>
    <row r="53" spans="1:44" x14ac:dyDescent="0.3">
      <c r="A53" s="10" t="s">
        <v>6</v>
      </c>
      <c r="B53" s="68"/>
      <c r="C53" s="50">
        <f t="shared" ref="C53:N53" si="46">C14/(AVERAGE(B19:C19))</f>
        <v>0.14832686074229176</v>
      </c>
      <c r="D53" s="50">
        <f t="shared" si="46"/>
        <v>0.13294847882640629</v>
      </c>
      <c r="E53" s="50">
        <f t="shared" si="46"/>
        <v>0.1510789717847747</v>
      </c>
      <c r="F53" s="50">
        <f t="shared" si="46"/>
        <v>0.15260045105624398</v>
      </c>
      <c r="G53" s="50">
        <f t="shared" si="46"/>
        <v>0.14684445426637602</v>
      </c>
      <c r="H53" s="50">
        <f t="shared" si="46"/>
        <v>0.1309683893317744</v>
      </c>
      <c r="I53" s="50">
        <f t="shared" si="46"/>
        <v>0.13370945650597796</v>
      </c>
      <c r="J53" s="50">
        <f t="shared" si="46"/>
        <v>9.7977953603095039E-2</v>
      </c>
      <c r="K53" s="50">
        <f t="shared" si="46"/>
        <v>0.13060888140128898</v>
      </c>
      <c r="L53" s="50">
        <f t="shared" si="46"/>
        <v>8.7553871101808761E-2</v>
      </c>
      <c r="M53" s="50">
        <f t="shared" si="46"/>
        <v>0.11632119875637775</v>
      </c>
      <c r="N53" s="57">
        <f t="shared" si="46"/>
        <v>0.10553865021561257</v>
      </c>
      <c r="O53" s="17"/>
      <c r="P53" s="69">
        <f>AVERAGE(D53:M53)</f>
        <v>0.12806121066341239</v>
      </c>
      <c r="Q53" s="99"/>
      <c r="R53" s="28"/>
      <c r="S53" s="100"/>
      <c r="T53" s="5" t="s">
        <v>6</v>
      </c>
      <c r="U53" s="108"/>
      <c r="V53" s="96"/>
      <c r="W53" s="104"/>
      <c r="X53" s="28"/>
      <c r="Y53" s="28"/>
      <c r="Z53" s="100"/>
      <c r="AI53" s="138" t="s">
        <v>158</v>
      </c>
      <c r="AJ53" s="179"/>
      <c r="AK53" s="181">
        <f>AK30/AK29</f>
        <v>0.11591247508177717</v>
      </c>
      <c r="AL53" s="181">
        <f>AL30/AL29</f>
        <v>0.12263521987188875</v>
      </c>
    </row>
    <row r="54" spans="1:44" x14ac:dyDescent="0.3">
      <c r="A54" s="5" t="s">
        <v>67</v>
      </c>
      <c r="C54" s="50">
        <f t="shared" ref="C54:N54" si="47">C7/AVERAGE(B29:C29)</f>
        <v>0.29963357403525881</v>
      </c>
      <c r="D54" s="50">
        <f t="shared" si="47"/>
        <v>0.47110129707541193</v>
      </c>
      <c r="E54" s="50">
        <f t="shared" si="47"/>
        <v>0.46773851817177253</v>
      </c>
      <c r="F54" s="50">
        <f t="shared" si="47"/>
        <v>0.50663735083575423</v>
      </c>
      <c r="G54" s="50">
        <f t="shared" si="47"/>
        <v>0.47202142481949094</v>
      </c>
      <c r="H54" s="50">
        <f t="shared" si="47"/>
        <v>0.54441168433204767</v>
      </c>
      <c r="I54" s="50">
        <f t="shared" si="47"/>
        <v>0.48504921012899138</v>
      </c>
      <c r="J54" s="50">
        <f t="shared" si="47"/>
        <v>0.32969376435057596</v>
      </c>
      <c r="K54" s="50">
        <f t="shared" si="47"/>
        <v>0.44897869069868157</v>
      </c>
      <c r="L54" s="50">
        <f t="shared" si="47"/>
        <v>0.5276801430144975</v>
      </c>
      <c r="M54" s="50">
        <f t="shared" si="47"/>
        <v>0.32543402715519104</v>
      </c>
      <c r="N54" s="57">
        <f t="shared" si="47"/>
        <v>0.29808512372002066</v>
      </c>
      <c r="P54" s="69">
        <f>AVERAGE(C54:M54)</f>
        <v>0.4434890622379703</v>
      </c>
      <c r="Q54" s="125">
        <f>R54+5%</f>
        <v>0.75</v>
      </c>
      <c r="R54" s="127">
        <v>0.7</v>
      </c>
      <c r="S54" s="126">
        <f>R54-5%</f>
        <v>0.64999999999999991</v>
      </c>
      <c r="T54" s="5" t="s">
        <v>66</v>
      </c>
      <c r="U54" s="114">
        <f>$M$29/Q54</f>
        <v>58393.514586411708</v>
      </c>
      <c r="V54" s="118">
        <f t="shared" ref="V54:W54" si="48">$M$29/R54</f>
        <v>62564.479914012547</v>
      </c>
      <c r="W54" s="119">
        <f t="shared" si="48"/>
        <v>67377.132215090445</v>
      </c>
      <c r="X54" s="120">
        <f>U54/$M$29-1</f>
        <v>0.33333333333333326</v>
      </c>
      <c r="Y54" s="115">
        <f t="shared" ref="Y54:Z54" si="49">V54/$M$29-1</f>
        <v>0.4285714285714286</v>
      </c>
      <c r="Z54" s="121">
        <f t="shared" si="49"/>
        <v>0.53846153846153877</v>
      </c>
      <c r="AI54" s="161"/>
      <c r="AJ54" s="182"/>
      <c r="AK54" s="182"/>
      <c r="AL54" s="182"/>
    </row>
    <row r="56" spans="1:44" x14ac:dyDescent="0.3">
      <c r="A56" s="32"/>
      <c r="B56" s="32"/>
      <c r="C56" s="317" t="s">
        <v>52</v>
      </c>
      <c r="D56" s="317"/>
      <c r="E56" s="317"/>
      <c r="F56" s="19"/>
      <c r="G56" s="19"/>
    </row>
    <row r="57" spans="1:44" ht="26.4" x14ac:dyDescent="0.3">
      <c r="A57" s="33"/>
      <c r="B57" s="33"/>
      <c r="C57" s="34" t="s">
        <v>49</v>
      </c>
      <c r="D57" s="35" t="s">
        <v>50</v>
      </c>
      <c r="E57" s="35" t="s">
        <v>51</v>
      </c>
      <c r="F57" s="36" t="s">
        <v>152</v>
      </c>
      <c r="G57" s="37" t="s">
        <v>153</v>
      </c>
    </row>
    <row r="58" spans="1:44" x14ac:dyDescent="0.3">
      <c r="A58" s="19" t="s">
        <v>18</v>
      </c>
      <c r="B58" s="19"/>
      <c r="C58" s="70">
        <v>0.1</v>
      </c>
      <c r="D58" s="70">
        <v>0.6</v>
      </c>
      <c r="E58" s="70">
        <v>0.3</v>
      </c>
      <c r="F58" s="73">
        <f>R35</f>
        <v>0.2</v>
      </c>
      <c r="G58" s="39">
        <f>(F58+1)*M17</f>
        <v>2388825.5967168426</v>
      </c>
      <c r="J58" s="136"/>
      <c r="AI58" s="162" t="s">
        <v>187</v>
      </c>
    </row>
    <row r="59" spans="1:44" x14ac:dyDescent="0.3">
      <c r="A59" s="19" t="s">
        <v>19</v>
      </c>
      <c r="B59" s="19"/>
      <c r="C59" s="70">
        <v>0.1</v>
      </c>
      <c r="D59" s="70">
        <v>0.6</v>
      </c>
      <c r="E59" s="70">
        <v>0.3</v>
      </c>
      <c r="F59" s="74">
        <f>SUMPRODUCT(C59:E59,X36:Z36)</f>
        <v>0.15499999999999997</v>
      </c>
      <c r="G59" s="39">
        <f>(F59+1)*M18</f>
        <v>2757989.1452456475</v>
      </c>
      <c r="J59" s="136"/>
      <c r="AI59" s="3" t="s">
        <v>161</v>
      </c>
    </row>
    <row r="60" spans="1:44" x14ac:dyDescent="0.3">
      <c r="A60" s="19" t="s">
        <v>4</v>
      </c>
      <c r="B60" s="19"/>
      <c r="C60" s="70">
        <v>0.1</v>
      </c>
      <c r="D60" s="70">
        <v>0.6</v>
      </c>
      <c r="E60" s="70">
        <v>0.3</v>
      </c>
      <c r="F60" s="74">
        <f>SUMPRODUCT(C60:E60,X37:Z37)</f>
        <v>0.13308442018820354</v>
      </c>
      <c r="G60" s="39">
        <f>(F60+1)*M4</f>
        <v>99335.331063475358</v>
      </c>
      <c r="J60" s="136"/>
      <c r="AI60" t="s">
        <v>162</v>
      </c>
      <c r="AJ60" s="1">
        <v>1956</v>
      </c>
      <c r="AK60" s="148">
        <f>+AK35/1000</f>
        <v>1990.6879972640354</v>
      </c>
      <c r="AL60" s="148"/>
      <c r="AN60" s="141">
        <v>1956</v>
      </c>
      <c r="AO60" s="141">
        <f>+AN60*AO62/AN62</f>
        <v>65.41806020066889</v>
      </c>
      <c r="AP60" s="142">
        <f>AO60/AN60</f>
        <v>3.3444816053511704E-2</v>
      </c>
      <c r="AQ60" s="142">
        <f>+AP60+0.5%</f>
        <v>3.8444816053511702E-2</v>
      </c>
      <c r="AR60" s="141">
        <f>+AN60*AQ60</f>
        <v>75.198060200668891</v>
      </c>
    </row>
    <row r="61" spans="1:44" x14ac:dyDescent="0.3">
      <c r="A61" s="19" t="s">
        <v>5</v>
      </c>
      <c r="B61" s="19"/>
      <c r="C61" s="70">
        <v>0.1</v>
      </c>
      <c r="D61" s="70">
        <v>0.6</v>
      </c>
      <c r="E61" s="70">
        <v>0.3</v>
      </c>
      <c r="F61" s="74">
        <f>SUMPRODUCT(C61:E61,X38:Z38)</f>
        <v>8.623333506503833E-2</v>
      </c>
      <c r="G61" s="39">
        <f>(F61+1)*M5</f>
        <v>8811.2380484471323</v>
      </c>
      <c r="J61" s="78"/>
      <c r="AI61" t="s">
        <v>163</v>
      </c>
      <c r="AJ61">
        <v>461</v>
      </c>
      <c r="AK61" s="148">
        <f>AK36/1000</f>
        <v>616.73611145619952</v>
      </c>
      <c r="AL61" s="148"/>
      <c r="AN61" s="146">
        <v>-461</v>
      </c>
      <c r="AO61" s="141">
        <f>AN61*AO62/AN62</f>
        <v>-15.418060200668897</v>
      </c>
      <c r="AP61" s="142">
        <f>AO61/AN61</f>
        <v>3.3444816053511704E-2</v>
      </c>
      <c r="AQ61" s="142">
        <f>+AP61+1%</f>
        <v>4.3444816053511706E-2</v>
      </c>
      <c r="AR61" s="141">
        <f>+AN61*AQ61</f>
        <v>-20.028060200668897</v>
      </c>
    </row>
    <row r="62" spans="1:44" x14ac:dyDescent="0.3">
      <c r="A62" s="19" t="s">
        <v>10</v>
      </c>
      <c r="B62" s="19"/>
      <c r="C62" s="70">
        <v>0.1</v>
      </c>
      <c r="D62" s="70">
        <v>0.6</v>
      </c>
      <c r="E62" s="70">
        <v>0.3</v>
      </c>
      <c r="F62" s="74"/>
      <c r="G62" s="39">
        <f>G60-G61</f>
        <v>90524.093015028222</v>
      </c>
      <c r="J62" s="78"/>
      <c r="AI62" t="s">
        <v>164</v>
      </c>
      <c r="AJ62">
        <v>50</v>
      </c>
      <c r="AK62" s="2">
        <f>+AK32/1000</f>
        <v>48.412073333333332</v>
      </c>
      <c r="AL62" s="2"/>
      <c r="AN62" s="141">
        <f>+AN60+AN61</f>
        <v>1495</v>
      </c>
      <c r="AO62" s="141">
        <v>50</v>
      </c>
      <c r="AP62" s="141"/>
      <c r="AQ62" s="141"/>
      <c r="AR62" s="141">
        <f>+AR60+AR61</f>
        <v>55.169999999999995</v>
      </c>
    </row>
    <row r="63" spans="1:44" x14ac:dyDescent="0.3">
      <c r="A63" s="19" t="s">
        <v>8</v>
      </c>
      <c r="B63" s="19"/>
      <c r="C63" s="70">
        <v>0.1</v>
      </c>
      <c r="D63" s="70">
        <v>0.6</v>
      </c>
      <c r="E63" s="70">
        <v>0.3</v>
      </c>
      <c r="F63" s="74">
        <f>SUMPRODUCT(C63:E63,X40:Z40)</f>
        <v>0.26586435439651768</v>
      </c>
      <c r="G63" s="39">
        <f>(F63+1)*M7</f>
        <v>16005.131498002846</v>
      </c>
      <c r="J63" s="78"/>
      <c r="AI63" t="s">
        <v>165</v>
      </c>
      <c r="AJ63" s="15">
        <v>0.01</v>
      </c>
      <c r="AK63" s="137">
        <f>+AJ63</f>
        <v>0.01</v>
      </c>
      <c r="AL63" s="137"/>
      <c r="AN63" s="141"/>
      <c r="AO63" s="141"/>
      <c r="AP63" s="142"/>
      <c r="AQ63" s="141"/>
      <c r="AR63" s="143">
        <f>+AR62-AO62</f>
        <v>5.1699999999999946</v>
      </c>
    </row>
    <row r="64" spans="1:44" x14ac:dyDescent="0.3">
      <c r="A64" s="19" t="s">
        <v>12</v>
      </c>
      <c r="B64" s="19"/>
      <c r="C64" s="70">
        <v>0.1</v>
      </c>
      <c r="D64" s="70">
        <v>0.6</v>
      </c>
      <c r="E64" s="70">
        <v>0.3</v>
      </c>
      <c r="F64" s="74">
        <f>SUMPRODUCT(C64:E64,X43:Z43)</f>
        <v>-5.505482814068402E-3</v>
      </c>
      <c r="G64" s="39">
        <f>(F64+1)*M9</f>
        <v>28478.213720860069</v>
      </c>
      <c r="H64" s="38"/>
      <c r="J64" s="78"/>
      <c r="M64" s="38"/>
      <c r="N64" s="39"/>
      <c r="AI64" t="s">
        <v>166</v>
      </c>
      <c r="AJ64" s="15">
        <v>0.5</v>
      </c>
      <c r="AK64" s="137">
        <f>+AJ64</f>
        <v>0.5</v>
      </c>
      <c r="AL64" s="137"/>
    </row>
    <row r="65" spans="1:44" x14ac:dyDescent="0.3">
      <c r="A65" s="19" t="s">
        <v>13</v>
      </c>
      <c r="B65" s="19"/>
      <c r="C65" s="70">
        <v>0.1</v>
      </c>
      <c r="D65" s="70">
        <v>0.6</v>
      </c>
      <c r="E65" s="70">
        <v>0.3</v>
      </c>
      <c r="F65" s="74">
        <f>SUMPRODUCT(C65:E65,X44:Z44)</f>
        <v>7.5247578202790252E-2</v>
      </c>
      <c r="G65" s="39">
        <f>(F65+1)*M10</f>
        <v>-43745.842713209851</v>
      </c>
      <c r="H65" s="38"/>
      <c r="J65" s="136"/>
      <c r="M65" s="38"/>
      <c r="N65" s="39"/>
      <c r="AI65" t="s">
        <v>167</v>
      </c>
      <c r="AJ65">
        <v>5.2</v>
      </c>
      <c r="AK65" s="85">
        <f>+AR68</f>
        <v>3.7860788717581784</v>
      </c>
      <c r="AL65" s="85"/>
      <c r="AN65" s="144">
        <f>+AK60</f>
        <v>1990.6879972640354</v>
      </c>
      <c r="AO65" s="144">
        <f>+AN65*AO67/AN67</f>
        <v>70.143164620840253</v>
      </c>
      <c r="AP65" s="142">
        <f>AO65/AN65</f>
        <v>3.5235639496115773E-2</v>
      </c>
      <c r="AQ65" s="142">
        <f>+AP65+0.5%</f>
        <v>4.023563949611577E-2</v>
      </c>
      <c r="AR65" s="141">
        <f>+AN65*AQ65</f>
        <v>80.09660460716043</v>
      </c>
    </row>
    <row r="66" spans="1:44" x14ac:dyDescent="0.3">
      <c r="A66" s="19" t="s">
        <v>53</v>
      </c>
      <c r="B66" s="19"/>
      <c r="C66" s="70">
        <v>0.1</v>
      </c>
      <c r="D66" s="70">
        <v>0.6</v>
      </c>
      <c r="E66" s="70">
        <v>0.3</v>
      </c>
      <c r="F66" s="73"/>
      <c r="G66" s="40"/>
      <c r="H66" s="38"/>
      <c r="J66" s="136"/>
      <c r="M66" s="38"/>
      <c r="N66" s="40"/>
      <c r="AI66" t="s">
        <v>168</v>
      </c>
      <c r="AJ66" s="21">
        <f>+AJ65/AJ62</f>
        <v>0.10400000000000001</v>
      </c>
      <c r="AK66" s="147">
        <f>AK65/AK62</f>
        <v>7.8205261850484237E-2</v>
      </c>
      <c r="AN66" s="145">
        <f>-AK61</f>
        <v>-616.73611145619952</v>
      </c>
      <c r="AO66" s="144">
        <f>AN66*AO67/AN67</f>
        <v>-21.731091287506924</v>
      </c>
      <c r="AP66" s="142">
        <f>AO66/AN66</f>
        <v>3.5235639496115773E-2</v>
      </c>
      <c r="AQ66" s="142">
        <f>+AP66+1%</f>
        <v>4.5235639496115775E-2</v>
      </c>
      <c r="AR66" s="141">
        <f>+AN66*AQ66</f>
        <v>-27.898452402068919</v>
      </c>
    </row>
    <row r="67" spans="1:44" x14ac:dyDescent="0.3">
      <c r="A67" s="19" t="s">
        <v>15</v>
      </c>
      <c r="B67" s="19"/>
      <c r="C67" s="70">
        <v>0.1</v>
      </c>
      <c r="D67" s="70">
        <v>0.6</v>
      </c>
      <c r="E67" s="70">
        <v>0.3</v>
      </c>
      <c r="F67" s="73"/>
      <c r="G67" s="40"/>
      <c r="H67" s="38"/>
      <c r="J67" s="136"/>
      <c r="M67" s="38"/>
      <c r="N67" s="40"/>
      <c r="AN67" s="144">
        <f>+AN65+AN66</f>
        <v>1373.9518858078359</v>
      </c>
      <c r="AO67" s="144">
        <f>+AK62</f>
        <v>48.412073333333332</v>
      </c>
      <c r="AP67" s="141"/>
      <c r="AQ67" s="141"/>
      <c r="AR67" s="141">
        <f>+AR65+AR66</f>
        <v>52.19815220509151</v>
      </c>
    </row>
    <row r="68" spans="1:44" x14ac:dyDescent="0.3">
      <c r="A68" s="19" t="s">
        <v>17</v>
      </c>
      <c r="B68" s="19"/>
      <c r="C68" s="70">
        <v>0.1</v>
      </c>
      <c r="D68" s="70">
        <v>0.6</v>
      </c>
      <c r="E68" s="70">
        <v>0.3</v>
      </c>
      <c r="F68" s="73"/>
      <c r="G68" s="40"/>
      <c r="I68" s="135"/>
      <c r="J68" s="136"/>
      <c r="AI68" t="s">
        <v>169</v>
      </c>
      <c r="AJ68">
        <v>4.2</v>
      </c>
      <c r="AN68" s="141"/>
      <c r="AO68" s="141"/>
      <c r="AP68" s="142"/>
      <c r="AQ68" s="141"/>
      <c r="AR68" s="143">
        <f>+AR67-AO67</f>
        <v>3.7860788717581784</v>
      </c>
    </row>
    <row r="69" spans="1:44" x14ac:dyDescent="0.3">
      <c r="A69" s="5" t="s">
        <v>21</v>
      </c>
      <c r="B69" s="5"/>
      <c r="C69" s="70">
        <v>0.1</v>
      </c>
      <c r="D69" s="70">
        <v>0.6</v>
      </c>
      <c r="E69" s="70">
        <v>0.3</v>
      </c>
      <c r="F69" s="75">
        <f>SUMPRODUCT(C69:E69,X48:Z48)</f>
        <v>0.17868247678610644</v>
      </c>
      <c r="G69" s="39">
        <f>(F69+1)*M20</f>
        <v>3666087.2292289813</v>
      </c>
      <c r="I69" s="135"/>
      <c r="J69" s="136"/>
      <c r="AI69" t="s">
        <v>170</v>
      </c>
      <c r="AJ69" s="21">
        <v>0.02</v>
      </c>
    </row>
    <row r="70" spans="1:44" x14ac:dyDescent="0.3">
      <c r="A70" s="5" t="s">
        <v>20</v>
      </c>
      <c r="B70" s="5"/>
      <c r="C70" s="116">
        <v>0.1</v>
      </c>
      <c r="D70" s="116">
        <v>0.6</v>
      </c>
      <c r="E70" s="116">
        <v>0.3</v>
      </c>
      <c r="F70" s="75">
        <f>SUMPRODUCT(C70:E70,X51:Z51)</f>
        <v>9.8000000000000087E-2</v>
      </c>
      <c r="G70" s="55">
        <f>(F70+1)*M19</f>
        <v>515577.11838818825</v>
      </c>
    </row>
    <row r="71" spans="1:44" x14ac:dyDescent="0.3">
      <c r="A71" s="5" t="s">
        <v>66</v>
      </c>
      <c r="C71" s="70">
        <v>0.1</v>
      </c>
      <c r="D71" s="70">
        <v>0.6</v>
      </c>
      <c r="E71" s="70">
        <v>0.3</v>
      </c>
      <c r="F71" s="15">
        <f>SUMPRODUCT(C71:E71,X54:Z54)</f>
        <v>0.45201465201465213</v>
      </c>
      <c r="G71" s="1">
        <f>M29*(1+F71)</f>
        <v>63591.179071575832</v>
      </c>
    </row>
    <row r="80" spans="1:44" s="207" customFormat="1" x14ac:dyDescent="0.3">
      <c r="A80" s="318" t="s">
        <v>219</v>
      </c>
      <c r="B80" s="318"/>
      <c r="C80" s="318"/>
      <c r="D80" s="318"/>
      <c r="E80" s="318"/>
      <c r="F80" s="318"/>
      <c r="G80" s="318"/>
      <c r="H80" s="318"/>
      <c r="I80" s="318"/>
      <c r="J80" s="318"/>
      <c r="K80" s="318"/>
      <c r="L80" s="318"/>
      <c r="M80" s="318"/>
      <c r="N80" s="318"/>
      <c r="O80" s="318"/>
    </row>
    <row r="82" spans="1:40" x14ac:dyDescent="0.3">
      <c r="B82" s="3" t="s">
        <v>136</v>
      </c>
      <c r="Y82" s="3" t="s">
        <v>136</v>
      </c>
    </row>
    <row r="83" spans="1:40" x14ac:dyDescent="0.3">
      <c r="B83" t="e">
        <f ca="1">_xll.TR($B$85:$B$95,"TR.InterestIncomeBank(Scale=6)","Period=FY0 Frq=FY SDate=0 EDate=-12 Curn=SAR CH=Fd;periodenddate RH=IN SORTA=periodenddate",D83)</f>
        <v>#NAME?</v>
      </c>
      <c r="E83" s="59" t="s">
        <v>56</v>
      </c>
      <c r="F83" s="59" t="s">
        <v>56</v>
      </c>
      <c r="G83" s="59" t="s">
        <v>56</v>
      </c>
      <c r="H83" s="59" t="s">
        <v>56</v>
      </c>
      <c r="I83" s="59" t="s">
        <v>56</v>
      </c>
      <c r="J83" s="59" t="s">
        <v>56</v>
      </c>
      <c r="K83" s="59" t="s">
        <v>56</v>
      </c>
      <c r="L83" s="59" t="s">
        <v>56</v>
      </c>
      <c r="M83" s="59" t="s">
        <v>56</v>
      </c>
      <c r="N83" s="59" t="s">
        <v>56</v>
      </c>
      <c r="O83" s="59" t="s">
        <v>56</v>
      </c>
      <c r="P83" s="59" t="s">
        <v>56</v>
      </c>
      <c r="Q83" s="59" t="s">
        <v>56</v>
      </c>
      <c r="Y83" t="e">
        <f ca="1">_xll.TR($B$85:$B$95,"TR.InterestIncomeBank(Scale=6)","Period=FQ0 Frq=FQ SDate=0 EDate=-7 Curn=SAR CH=Fd;periodenddate RH=IN SORTA=periodenddate",AA83)</f>
        <v>#NAME?</v>
      </c>
      <c r="AB83" s="59" t="s">
        <v>56</v>
      </c>
      <c r="AC83" s="59" t="s">
        <v>56</v>
      </c>
      <c r="AD83" s="59" t="s">
        <v>56</v>
      </c>
      <c r="AE83" s="59" t="s">
        <v>56</v>
      </c>
      <c r="AF83" s="59" t="s">
        <v>56</v>
      </c>
      <c r="AG83" s="59" t="s">
        <v>56</v>
      </c>
      <c r="AH83" s="59" t="s">
        <v>56</v>
      </c>
      <c r="AI83" s="59" t="s">
        <v>56</v>
      </c>
      <c r="AJ83" s="59"/>
      <c r="AK83" s="59"/>
      <c r="AL83" s="59"/>
      <c r="AM83" s="59"/>
      <c r="AN83" s="59"/>
    </row>
    <row r="84" spans="1:40" x14ac:dyDescent="0.3">
      <c r="E84" s="58">
        <v>39813</v>
      </c>
      <c r="F84" s="58">
        <v>40178</v>
      </c>
      <c r="G84" s="58">
        <v>40543</v>
      </c>
      <c r="H84" s="58">
        <v>40908</v>
      </c>
      <c r="I84" s="58">
        <v>41274</v>
      </c>
      <c r="J84" s="58">
        <v>41639</v>
      </c>
      <c r="K84" s="58">
        <v>42004</v>
      </c>
      <c r="L84" s="58">
        <v>42369</v>
      </c>
      <c r="M84" s="58">
        <v>42735</v>
      </c>
      <c r="N84" s="58">
        <v>43100</v>
      </c>
      <c r="O84" s="58">
        <v>43465</v>
      </c>
      <c r="P84" s="58">
        <v>43830</v>
      </c>
      <c r="Q84" s="58">
        <v>44196</v>
      </c>
      <c r="AB84" s="58">
        <v>43830</v>
      </c>
      <c r="AC84" s="58">
        <v>43921</v>
      </c>
      <c r="AD84" s="58">
        <v>44012</v>
      </c>
      <c r="AE84" s="58">
        <v>44104</v>
      </c>
      <c r="AF84" s="58">
        <v>44196</v>
      </c>
      <c r="AG84" s="58">
        <v>44286</v>
      </c>
      <c r="AH84" s="58">
        <v>44377</v>
      </c>
      <c r="AI84" s="58">
        <v>44469</v>
      </c>
      <c r="AJ84" s="58"/>
      <c r="AK84" s="58"/>
      <c r="AL84" s="58"/>
      <c r="AM84" s="58"/>
      <c r="AN84" s="58"/>
    </row>
    <row r="85" spans="1:40" x14ac:dyDescent="0.3">
      <c r="A85" s="123" t="s">
        <v>116</v>
      </c>
      <c r="B85" s="284" t="s">
        <v>115</v>
      </c>
      <c r="D85" s="60" t="s">
        <v>115</v>
      </c>
      <c r="E85" s="1">
        <v>9421.0499999999993</v>
      </c>
      <c r="F85" s="1">
        <v>9924.2950000000001</v>
      </c>
      <c r="G85" s="1">
        <v>9352.7649999999994</v>
      </c>
      <c r="H85" s="1">
        <v>9324.3970000000008</v>
      </c>
      <c r="I85" s="1">
        <v>9686.4060000000009</v>
      </c>
      <c r="J85" s="1">
        <v>10114.698</v>
      </c>
      <c r="K85" s="1">
        <v>10212.518</v>
      </c>
      <c r="L85" s="1">
        <v>10258.379999999999</v>
      </c>
      <c r="M85" s="1">
        <v>11751.445</v>
      </c>
      <c r="N85" s="1">
        <v>12581.004000000001</v>
      </c>
      <c r="O85" s="1">
        <v>14993.709000000001</v>
      </c>
      <c r="P85" s="1">
        <v>16962.582999999999</v>
      </c>
      <c r="Q85" s="1">
        <v>17377.963</v>
      </c>
      <c r="R85" s="2">
        <f t="shared" ref="R85:R94" si="50">SUM(AG85:AI85)*4/3</f>
        <v>20916.966666666667</v>
      </c>
      <c r="U85" s="59"/>
      <c r="X85" s="123" t="s">
        <v>116</v>
      </c>
      <c r="Y85" s="123" t="s">
        <v>115</v>
      </c>
      <c r="AA85" s="60" t="s">
        <v>115</v>
      </c>
      <c r="AB85" s="1">
        <v>4411.6090000000004</v>
      </c>
      <c r="AC85" s="1">
        <v>4252.884</v>
      </c>
      <c r="AD85" s="1">
        <v>4082.2359999999999</v>
      </c>
      <c r="AE85" s="1">
        <v>4282.3450000000003</v>
      </c>
      <c r="AF85" s="1">
        <v>4760.4979999999996</v>
      </c>
      <c r="AG85" s="1">
        <v>4914.5770000000002</v>
      </c>
      <c r="AH85" s="1">
        <v>5243.3190000000004</v>
      </c>
      <c r="AI85" s="1">
        <v>5529.8289999999997</v>
      </c>
      <c r="AJ85" s="1"/>
      <c r="AK85" s="1"/>
      <c r="AL85" s="1"/>
      <c r="AM85" s="1"/>
      <c r="AN85" s="1"/>
    </row>
    <row r="86" spans="1:40" x14ac:dyDescent="0.3">
      <c r="A86" s="123" t="s">
        <v>119</v>
      </c>
      <c r="B86" s="284" t="s">
        <v>118</v>
      </c>
      <c r="C86" s="59"/>
      <c r="D86" s="59" t="s">
        <v>118</v>
      </c>
      <c r="E86" s="1">
        <v>11847.342000000001</v>
      </c>
      <c r="F86" s="1">
        <v>10372.154</v>
      </c>
      <c r="G86" s="1">
        <v>9711.2540000000008</v>
      </c>
      <c r="H86" s="1">
        <v>10185.102999999999</v>
      </c>
      <c r="I86" s="1">
        <v>11096.187</v>
      </c>
      <c r="J86" s="1">
        <v>11809.691999999999</v>
      </c>
      <c r="K86" s="1">
        <v>13679.867</v>
      </c>
      <c r="L86" s="1">
        <v>15416.013000000001</v>
      </c>
      <c r="M86" s="1">
        <v>17518.944</v>
      </c>
      <c r="N86" s="1">
        <v>16980.901000000002</v>
      </c>
      <c r="O86" s="1">
        <v>19058.795999999998</v>
      </c>
      <c r="P86" s="1">
        <v>21117.39</v>
      </c>
      <c r="Q86" s="1">
        <v>19054.053</v>
      </c>
      <c r="R86" s="2">
        <f t="shared" si="50"/>
        <v>24492.217333333334</v>
      </c>
      <c r="U86" s="59"/>
      <c r="X86" s="123" t="s">
        <v>119</v>
      </c>
      <c r="Y86" s="123" t="s">
        <v>118</v>
      </c>
      <c r="Z86" s="59"/>
      <c r="AA86" s="59" t="s">
        <v>118</v>
      </c>
      <c r="AB86" s="1">
        <v>5911.817</v>
      </c>
      <c r="AC86" s="1">
        <v>4985.2030000000004</v>
      </c>
      <c r="AD86" s="1">
        <v>4703.7759999999998</v>
      </c>
      <c r="AE86" s="1">
        <v>4544.43</v>
      </c>
      <c r="AF86" s="1">
        <v>4965.2640000000001</v>
      </c>
      <c r="AG86" s="1">
        <v>4863.201</v>
      </c>
      <c r="AH86" s="1">
        <v>6645.0159999999996</v>
      </c>
      <c r="AI86" s="1">
        <v>6860.9459999999999</v>
      </c>
      <c r="AJ86" s="1"/>
      <c r="AK86" s="1"/>
      <c r="AL86" s="1"/>
      <c r="AM86" s="1"/>
      <c r="AN86" s="1"/>
    </row>
    <row r="87" spans="1:40" x14ac:dyDescent="0.3">
      <c r="A87" s="123" t="s">
        <v>121</v>
      </c>
      <c r="B87" s="284" t="s">
        <v>120</v>
      </c>
      <c r="C87" s="59"/>
      <c r="D87" s="59" t="s">
        <v>120</v>
      </c>
      <c r="E87" s="1">
        <v>6736.7079999999996</v>
      </c>
      <c r="F87" s="1">
        <v>5814.2939999999999</v>
      </c>
      <c r="G87" s="1">
        <v>4872.527</v>
      </c>
      <c r="H87" s="1">
        <v>4915.3630000000003</v>
      </c>
      <c r="I87" s="1">
        <v>5163.3010000000004</v>
      </c>
      <c r="J87" s="1">
        <v>5517.4359999999997</v>
      </c>
      <c r="K87" s="1">
        <v>5945.24</v>
      </c>
      <c r="L87" s="1">
        <v>5883.0349999999999</v>
      </c>
      <c r="M87" s="1">
        <v>7312.59</v>
      </c>
      <c r="N87" s="1">
        <v>7425.107</v>
      </c>
      <c r="O87" s="1">
        <v>8332.3649999999998</v>
      </c>
      <c r="P87" s="1">
        <v>10371.425999999999</v>
      </c>
      <c r="Q87" s="1">
        <v>9813.3940000000002</v>
      </c>
      <c r="R87" s="2">
        <f t="shared" si="50"/>
        <v>9507.0453333333335</v>
      </c>
      <c r="U87" s="59"/>
      <c r="X87" s="123" t="s">
        <v>121</v>
      </c>
      <c r="Y87" s="123" t="s">
        <v>120</v>
      </c>
      <c r="Z87" s="59"/>
      <c r="AA87" s="59" t="s">
        <v>120</v>
      </c>
      <c r="AB87" s="1">
        <v>2666.56</v>
      </c>
      <c r="AC87" s="1">
        <v>2608.3809999999999</v>
      </c>
      <c r="AD87" s="1">
        <v>2534.1570000000002</v>
      </c>
      <c r="AE87" s="1">
        <v>2376.413</v>
      </c>
      <c r="AF87" s="1">
        <v>2294.4430000000002</v>
      </c>
      <c r="AG87" s="1">
        <v>2322.6619999999998</v>
      </c>
      <c r="AH87" s="1">
        <v>2545.096</v>
      </c>
      <c r="AI87" s="1">
        <v>2262.5259999999998</v>
      </c>
      <c r="AJ87" s="1"/>
      <c r="AK87" s="1"/>
      <c r="AL87" s="1"/>
      <c r="AM87" s="1"/>
      <c r="AN87" s="1"/>
    </row>
    <row r="88" spans="1:40" x14ac:dyDescent="0.3">
      <c r="A88" s="123" t="s">
        <v>123</v>
      </c>
      <c r="B88" s="284" t="s">
        <v>122</v>
      </c>
      <c r="C88" s="59"/>
      <c r="D88" s="59" t="s">
        <v>122</v>
      </c>
      <c r="E88" s="1">
        <v>5864.9660000000003</v>
      </c>
      <c r="F88" s="1">
        <v>4573.5990000000002</v>
      </c>
      <c r="G88" s="1">
        <v>3724.9079999999999</v>
      </c>
      <c r="H88" s="1">
        <v>3515.88</v>
      </c>
      <c r="I88" s="1">
        <v>3999.9850000000001</v>
      </c>
      <c r="J88" s="1">
        <v>4386.1379999999999</v>
      </c>
      <c r="K88" s="1">
        <v>4625.951</v>
      </c>
      <c r="L88" s="1">
        <v>4813.4210000000003</v>
      </c>
      <c r="M88" s="1">
        <v>6075.1019999999999</v>
      </c>
      <c r="N88" s="1">
        <v>6051.2879999999996</v>
      </c>
      <c r="O88" s="1">
        <v>6642.0020000000004</v>
      </c>
      <c r="P88" s="1">
        <v>8743.6759999999995</v>
      </c>
      <c r="Q88" s="1">
        <v>7811.5749999999998</v>
      </c>
      <c r="R88" s="2">
        <f t="shared" si="50"/>
        <v>6429.2013333333334</v>
      </c>
      <c r="U88" s="59"/>
      <c r="X88" s="123" t="s">
        <v>123</v>
      </c>
      <c r="Y88" s="123" t="s">
        <v>122</v>
      </c>
      <c r="Z88" s="59"/>
      <c r="AA88" s="59" t="s">
        <v>122</v>
      </c>
      <c r="AB88" s="1">
        <v>2394.2959999999998</v>
      </c>
      <c r="AC88" s="1">
        <v>2237.5650000000001</v>
      </c>
      <c r="AD88" s="1">
        <v>2036.9939999999999</v>
      </c>
      <c r="AE88" s="1">
        <v>1855.921</v>
      </c>
      <c r="AF88" s="1">
        <v>1681.095</v>
      </c>
      <c r="AG88" s="1">
        <v>1619.7719999999999</v>
      </c>
      <c r="AH88" s="1">
        <v>1643.6590000000001</v>
      </c>
      <c r="AI88" s="1">
        <v>1558.47</v>
      </c>
      <c r="AJ88" s="1"/>
      <c r="AK88" s="1"/>
      <c r="AL88" s="1"/>
      <c r="AM88" s="1"/>
      <c r="AN88" s="1"/>
    </row>
    <row r="89" spans="1:40" x14ac:dyDescent="0.3">
      <c r="A89" s="123" t="s">
        <v>125</v>
      </c>
      <c r="B89" s="284" t="s">
        <v>124</v>
      </c>
      <c r="C89" s="59"/>
      <c r="D89" s="59" t="s">
        <v>124</v>
      </c>
      <c r="E89" s="1">
        <v>5298.3130000000001</v>
      </c>
      <c r="F89" s="1">
        <v>4089.3240000000001</v>
      </c>
      <c r="G89" s="1">
        <v>3537.058</v>
      </c>
      <c r="H89" s="1">
        <v>3631.299</v>
      </c>
      <c r="I89" s="1">
        <v>4069.28</v>
      </c>
      <c r="J89" s="1">
        <v>4257.05</v>
      </c>
      <c r="K89" s="1">
        <v>4565.415</v>
      </c>
      <c r="L89" s="1">
        <v>4875.3729999999996</v>
      </c>
      <c r="M89" s="1">
        <v>5970.6220000000003</v>
      </c>
      <c r="N89" s="1">
        <v>6604.5060000000003</v>
      </c>
      <c r="O89" s="1">
        <v>6947.576</v>
      </c>
      <c r="P89" s="1">
        <v>7369.53</v>
      </c>
      <c r="Q89" s="1">
        <v>6284.7910000000002</v>
      </c>
      <c r="R89" s="2">
        <f t="shared" si="50"/>
        <v>5878.3506666666663</v>
      </c>
      <c r="U89" s="59"/>
      <c r="X89" s="123" t="s">
        <v>125</v>
      </c>
      <c r="Y89" s="123" t="s">
        <v>124</v>
      </c>
      <c r="Z89" s="59"/>
      <c r="AA89" s="59" t="s">
        <v>124</v>
      </c>
      <c r="AB89" s="1">
        <v>1783.4280000000001</v>
      </c>
      <c r="AC89" s="1">
        <v>1722.222</v>
      </c>
      <c r="AD89" s="1">
        <v>1563.855</v>
      </c>
      <c r="AE89" s="1">
        <v>1613.057</v>
      </c>
      <c r="AF89" s="1">
        <v>1385.6569999999999</v>
      </c>
      <c r="AG89" s="1">
        <v>1407.326</v>
      </c>
      <c r="AH89" s="1">
        <v>1459.1590000000001</v>
      </c>
      <c r="AI89" s="1">
        <v>1542.278</v>
      </c>
      <c r="AJ89" s="1"/>
      <c r="AK89" s="1"/>
      <c r="AL89" s="1"/>
      <c r="AM89" s="1"/>
      <c r="AN89" s="1"/>
    </row>
    <row r="90" spans="1:40" x14ac:dyDescent="0.3">
      <c r="A90" s="123" t="s">
        <v>127</v>
      </c>
      <c r="B90" s="284" t="s">
        <v>126</v>
      </c>
      <c r="C90" s="59"/>
      <c r="D90" s="59" t="s">
        <v>126</v>
      </c>
      <c r="E90" s="1">
        <v>338.666</v>
      </c>
      <c r="F90" s="1">
        <v>949.29399999999998</v>
      </c>
      <c r="G90" s="1">
        <v>555.50599999999997</v>
      </c>
      <c r="H90" s="1">
        <v>1184.4829999999999</v>
      </c>
      <c r="I90" s="1">
        <v>1635.37</v>
      </c>
      <c r="J90" s="1">
        <v>2020.6990000000001</v>
      </c>
      <c r="K90" s="1">
        <v>2285.7240000000002</v>
      </c>
      <c r="L90" s="1">
        <v>2547.1379999999999</v>
      </c>
      <c r="M90" s="1">
        <v>3485.8939999999998</v>
      </c>
      <c r="N90" s="1">
        <v>4254.7389999999996</v>
      </c>
      <c r="O90" s="1">
        <v>4893.6170000000002</v>
      </c>
      <c r="P90" s="1">
        <v>5537.518</v>
      </c>
      <c r="Q90" s="1">
        <v>5470.0060000000003</v>
      </c>
      <c r="R90" s="2">
        <f t="shared" si="50"/>
        <v>5629.7239999999993</v>
      </c>
      <c r="U90" s="59"/>
      <c r="X90" s="123" t="s">
        <v>127</v>
      </c>
      <c r="Y90" s="123" t="s">
        <v>126</v>
      </c>
      <c r="Z90" s="59"/>
      <c r="AA90" s="59" t="s">
        <v>126</v>
      </c>
      <c r="AB90" s="1">
        <v>1438.652</v>
      </c>
      <c r="AC90" s="1">
        <v>1395.0920000000001</v>
      </c>
      <c r="AD90" s="1">
        <v>1342.6949999999999</v>
      </c>
      <c r="AE90" s="1">
        <v>1354.9280000000001</v>
      </c>
      <c r="AF90" s="1">
        <v>1400.0429999999999</v>
      </c>
      <c r="AG90" s="1">
        <v>1348.7819999999999</v>
      </c>
      <c r="AH90" s="1">
        <v>1362.1759999999999</v>
      </c>
      <c r="AI90" s="1">
        <v>1511.335</v>
      </c>
      <c r="AJ90" s="1"/>
      <c r="AK90" s="1"/>
      <c r="AL90" s="1"/>
      <c r="AM90" s="1"/>
      <c r="AN90" s="1"/>
    </row>
    <row r="91" spans="1:40" x14ac:dyDescent="0.3">
      <c r="A91" s="123" t="s">
        <v>131</v>
      </c>
      <c r="B91" s="284" t="s">
        <v>130</v>
      </c>
      <c r="C91" s="59"/>
      <c r="D91" s="59" t="s">
        <v>130</v>
      </c>
      <c r="E91" s="1">
        <v>669.23699999999997</v>
      </c>
      <c r="F91" s="1">
        <v>572.25400000000002</v>
      </c>
      <c r="G91" s="1">
        <v>646.19200000000001</v>
      </c>
      <c r="H91" s="1">
        <v>727.93399999999997</v>
      </c>
      <c r="I91" s="1">
        <v>860.553</v>
      </c>
      <c r="J91" s="1">
        <v>974.65</v>
      </c>
      <c r="K91" s="1">
        <v>1072.694</v>
      </c>
      <c r="L91" s="1">
        <v>1238.8389999999999</v>
      </c>
      <c r="M91" s="1">
        <v>1770.5340000000001</v>
      </c>
      <c r="N91" s="1">
        <v>2117.1889999999999</v>
      </c>
      <c r="O91" s="1">
        <v>2723.748</v>
      </c>
      <c r="P91" s="1">
        <v>3461.9920000000002</v>
      </c>
      <c r="Q91" s="1">
        <v>3626.5680000000002</v>
      </c>
      <c r="R91" s="2">
        <f t="shared" si="50"/>
        <v>3599.4093333333331</v>
      </c>
      <c r="U91" s="59"/>
      <c r="X91" s="123" t="s">
        <v>131</v>
      </c>
      <c r="Y91" s="123" t="s">
        <v>130</v>
      </c>
      <c r="Z91" s="59"/>
      <c r="AA91" s="59" t="s">
        <v>130</v>
      </c>
      <c r="AB91" s="1">
        <v>925.14099999999996</v>
      </c>
      <c r="AC91" s="1">
        <v>907.70600000000002</v>
      </c>
      <c r="AD91" s="1">
        <v>916.99699999999996</v>
      </c>
      <c r="AE91" s="1">
        <v>911.23500000000001</v>
      </c>
      <c r="AF91" s="1">
        <v>899.63</v>
      </c>
      <c r="AG91" s="1">
        <v>858.71199999999999</v>
      </c>
      <c r="AH91" s="1">
        <v>836.68299999999999</v>
      </c>
      <c r="AI91" s="1">
        <v>1004.162</v>
      </c>
      <c r="AJ91" s="1"/>
      <c r="AK91" s="1"/>
      <c r="AL91" s="1"/>
      <c r="AM91" s="1"/>
      <c r="AN91" s="1"/>
    </row>
    <row r="92" spans="1:40" x14ac:dyDescent="0.3">
      <c r="A92" s="123" t="s">
        <v>129</v>
      </c>
      <c r="B92" s="284" t="s">
        <v>128</v>
      </c>
      <c r="C92" s="59"/>
      <c r="D92" s="59" t="s">
        <v>128</v>
      </c>
      <c r="E92" s="1">
        <v>5638.9269999999997</v>
      </c>
      <c r="F92" s="1">
        <v>4234.4870000000001</v>
      </c>
      <c r="G92" s="1">
        <v>3454.3429999999998</v>
      </c>
      <c r="H92" s="1">
        <v>3463.49</v>
      </c>
      <c r="I92" s="1">
        <v>3748.0630000000001</v>
      </c>
      <c r="J92" s="1">
        <v>3944.9009999999998</v>
      </c>
      <c r="K92" s="1">
        <v>4091.2890000000002</v>
      </c>
      <c r="L92" s="1">
        <v>4438.7790000000005</v>
      </c>
      <c r="M92" s="1">
        <v>5738.1719999999996</v>
      </c>
      <c r="N92" s="1">
        <v>6035.1940000000004</v>
      </c>
      <c r="O92" s="1">
        <v>6832.4129999999996</v>
      </c>
      <c r="P92" s="1">
        <v>7632.6239999999998</v>
      </c>
      <c r="Q92" s="1">
        <v>5966.1890000000003</v>
      </c>
      <c r="R92" s="2">
        <f t="shared" si="50"/>
        <v>5491.2520000000004</v>
      </c>
      <c r="U92" s="59"/>
      <c r="X92" s="123" t="s">
        <v>129</v>
      </c>
      <c r="Y92" s="123" t="s">
        <v>128</v>
      </c>
      <c r="Z92" s="59"/>
      <c r="AA92" s="59" t="s">
        <v>128</v>
      </c>
      <c r="AB92" s="1">
        <v>1825.587</v>
      </c>
      <c r="AC92" s="1">
        <v>1800.4659999999999</v>
      </c>
      <c r="AD92" s="1">
        <v>1504.798</v>
      </c>
      <c r="AE92" s="1">
        <v>1156.3499999999999</v>
      </c>
      <c r="AF92" s="1">
        <v>1504.575</v>
      </c>
      <c r="AG92" s="1">
        <v>1471.7</v>
      </c>
      <c r="AH92" s="1">
        <v>1248.692</v>
      </c>
      <c r="AI92" s="1">
        <v>1398.047</v>
      </c>
      <c r="AJ92" s="1"/>
      <c r="AK92" s="1"/>
      <c r="AL92" s="1"/>
      <c r="AM92" s="1"/>
      <c r="AN92" s="1"/>
    </row>
    <row r="93" spans="1:40" x14ac:dyDescent="0.3">
      <c r="A93" s="123" t="s">
        <v>133</v>
      </c>
      <c r="B93" s="284" t="s">
        <v>132</v>
      </c>
      <c r="C93" s="59"/>
      <c r="D93" s="59" t="s">
        <v>132</v>
      </c>
      <c r="E93" s="1">
        <v>1114.431</v>
      </c>
      <c r="F93" s="1">
        <v>961.24099999999999</v>
      </c>
      <c r="G93" s="1">
        <v>868.346</v>
      </c>
      <c r="H93" s="1">
        <v>968.11599999999999</v>
      </c>
      <c r="I93" s="1">
        <v>1262.5070000000001</v>
      </c>
      <c r="J93" s="1">
        <v>1645.1289999999999</v>
      </c>
      <c r="K93" s="1">
        <v>1954.8689999999999</v>
      </c>
      <c r="L93" s="1">
        <v>2135.4789999999998</v>
      </c>
      <c r="M93" s="1">
        <v>2655.8229999999999</v>
      </c>
      <c r="N93" s="1">
        <v>2756.9270000000001</v>
      </c>
      <c r="O93" s="1">
        <v>2787.6729999999998</v>
      </c>
      <c r="P93" s="1">
        <v>3227.547</v>
      </c>
      <c r="Q93" s="1">
        <v>3180.0410000000002</v>
      </c>
      <c r="R93" s="2">
        <f t="shared" si="50"/>
        <v>2956.4533333333334</v>
      </c>
      <c r="U93" s="59"/>
      <c r="X93" s="123" t="s">
        <v>133</v>
      </c>
      <c r="Y93" s="123" t="s">
        <v>132</v>
      </c>
      <c r="Z93" s="59"/>
      <c r="AA93" s="59" t="s">
        <v>132</v>
      </c>
      <c r="AB93" s="1">
        <v>911.88400000000001</v>
      </c>
      <c r="AC93" s="1">
        <v>805.42100000000005</v>
      </c>
      <c r="AD93" s="1">
        <v>794.37599999999998</v>
      </c>
      <c r="AE93" s="1">
        <v>755.346</v>
      </c>
      <c r="AF93" s="1">
        <v>824.89800000000002</v>
      </c>
      <c r="AG93" s="1">
        <v>737.07500000000005</v>
      </c>
      <c r="AH93" s="1">
        <v>722.61699999999996</v>
      </c>
      <c r="AI93" s="1">
        <v>757.64800000000002</v>
      </c>
      <c r="AJ93" s="1"/>
      <c r="AK93" s="1"/>
      <c r="AL93" s="1"/>
      <c r="AM93" s="1"/>
      <c r="AN93" s="1"/>
    </row>
    <row r="94" spans="1:40" x14ac:dyDescent="0.3">
      <c r="A94" s="123" t="s">
        <v>135</v>
      </c>
      <c r="B94" s="284" t="s">
        <v>134</v>
      </c>
      <c r="C94" s="59"/>
      <c r="D94" s="59" t="s">
        <v>134</v>
      </c>
      <c r="E94" s="1">
        <v>2540.681</v>
      </c>
      <c r="F94" s="1">
        <v>1842.5229999999999</v>
      </c>
      <c r="G94" s="1">
        <v>1674.386</v>
      </c>
      <c r="H94" s="1">
        <v>1549.0730000000001</v>
      </c>
      <c r="I94" s="1">
        <v>1590.816</v>
      </c>
      <c r="J94" s="1">
        <v>1884.1610000000001</v>
      </c>
      <c r="K94" s="1">
        <v>2165.7860000000001</v>
      </c>
      <c r="L94" s="1">
        <v>2441.42</v>
      </c>
      <c r="M94" s="1">
        <v>3200.6089999999999</v>
      </c>
      <c r="N94" s="1">
        <v>3370.2240000000002</v>
      </c>
      <c r="O94" s="1">
        <v>3633.4160000000002</v>
      </c>
      <c r="P94" s="1">
        <v>3902.4879999999998</v>
      </c>
      <c r="Q94" s="1">
        <v>3261.9760000000001</v>
      </c>
      <c r="R94" s="2">
        <f t="shared" si="50"/>
        <v>2767.4559999999997</v>
      </c>
      <c r="U94" s="59"/>
      <c r="X94" s="123" t="s">
        <v>135</v>
      </c>
      <c r="Y94" s="123" t="s">
        <v>134</v>
      </c>
      <c r="Z94" s="59"/>
      <c r="AA94" s="59" t="s">
        <v>134</v>
      </c>
      <c r="AB94" s="1">
        <v>952.11500000000001</v>
      </c>
      <c r="AC94" s="1">
        <v>914.16399999999999</v>
      </c>
      <c r="AD94" s="1">
        <v>865.90300000000002</v>
      </c>
      <c r="AE94" s="1">
        <v>778.87300000000005</v>
      </c>
      <c r="AF94" s="1">
        <v>703.03599999999994</v>
      </c>
      <c r="AG94" s="1">
        <v>664.39099999999996</v>
      </c>
      <c r="AH94" s="1">
        <v>704.06600000000003</v>
      </c>
      <c r="AI94" s="1">
        <v>707.13499999999999</v>
      </c>
      <c r="AJ94" s="1"/>
      <c r="AK94" s="1"/>
      <c r="AL94" s="1"/>
      <c r="AM94" s="1"/>
      <c r="AN94" s="1"/>
    </row>
    <row r="95" spans="1:40" x14ac:dyDescent="0.3">
      <c r="A95" s="123"/>
      <c r="B95" s="284"/>
      <c r="C95" s="59"/>
      <c r="D95" s="59"/>
      <c r="E95" s="1"/>
      <c r="F95" s="1"/>
      <c r="G95" s="1"/>
      <c r="H95" s="1"/>
      <c r="I95" s="1"/>
      <c r="J95" s="1"/>
      <c r="K95" s="1"/>
      <c r="L95" s="1"/>
      <c r="M95" s="1"/>
      <c r="N95" s="1"/>
      <c r="O95" s="1"/>
      <c r="P95" s="1"/>
      <c r="Q95" s="1"/>
      <c r="U95" s="59"/>
      <c r="X95" s="123"/>
      <c r="Y95" s="123"/>
      <c r="Z95" s="59"/>
      <c r="AA95" s="59"/>
      <c r="AB95" s="1"/>
      <c r="AC95" s="1"/>
      <c r="AD95" s="1"/>
      <c r="AE95" s="1"/>
      <c r="AF95" s="1"/>
      <c r="AG95" s="1"/>
      <c r="AH95" s="1"/>
      <c r="AI95" s="1"/>
      <c r="AJ95" s="1"/>
      <c r="AK95" s="1"/>
      <c r="AL95" s="1"/>
      <c r="AM95" s="1"/>
      <c r="AN95" s="1"/>
    </row>
    <row r="96" spans="1:40" x14ac:dyDescent="0.3">
      <c r="C96" s="59"/>
      <c r="E96" s="62">
        <f t="shared" ref="E96:R96" si="51">SUM(E85:E94)</f>
        <v>49470.320999999996</v>
      </c>
      <c r="F96" s="62">
        <f t="shared" si="51"/>
        <v>43333.465000000011</v>
      </c>
      <c r="G96" s="62">
        <f t="shared" si="51"/>
        <v>38397.284999999996</v>
      </c>
      <c r="H96" s="62">
        <f t="shared" si="51"/>
        <v>39465.137999999999</v>
      </c>
      <c r="I96" s="62">
        <f t="shared" si="51"/>
        <v>43112.468000000001</v>
      </c>
      <c r="J96" s="62">
        <f t="shared" si="51"/>
        <v>46554.554000000004</v>
      </c>
      <c r="K96" s="62">
        <f t="shared" si="51"/>
        <v>50599.353000000003</v>
      </c>
      <c r="L96" s="62">
        <f t="shared" si="51"/>
        <v>54047.877</v>
      </c>
      <c r="M96" s="62">
        <f t="shared" si="51"/>
        <v>65479.734999999993</v>
      </c>
      <c r="N96" s="62">
        <f t="shared" si="51"/>
        <v>68177.079000000012</v>
      </c>
      <c r="O96" s="62">
        <f t="shared" si="51"/>
        <v>76845.314999999988</v>
      </c>
      <c r="P96" s="62">
        <f t="shared" si="51"/>
        <v>88326.77399999999</v>
      </c>
      <c r="Q96" s="62">
        <f t="shared" si="51"/>
        <v>81846.555999999982</v>
      </c>
      <c r="R96" s="62">
        <f t="shared" si="51"/>
        <v>87668.076000000001</v>
      </c>
      <c r="Z96" s="59"/>
      <c r="AB96" s="62">
        <f t="shared" ref="AB96:AN96" si="52">SUM(AB85:AB94)</f>
        <v>23221.089000000004</v>
      </c>
      <c r="AC96" s="62">
        <f t="shared" si="52"/>
        <v>21629.103999999996</v>
      </c>
      <c r="AD96" s="62">
        <f t="shared" si="52"/>
        <v>20345.786999999997</v>
      </c>
      <c r="AE96" s="62">
        <f t="shared" si="52"/>
        <v>19628.898000000001</v>
      </c>
      <c r="AF96" s="62">
        <f t="shared" si="52"/>
        <v>20419.138999999999</v>
      </c>
      <c r="AG96" s="62">
        <f t="shared" si="52"/>
        <v>20208.198</v>
      </c>
      <c r="AH96" s="62">
        <f t="shared" si="52"/>
        <v>22410.482999999997</v>
      </c>
      <c r="AI96" s="62">
        <f t="shared" si="52"/>
        <v>23132.375999999997</v>
      </c>
      <c r="AJ96" s="62">
        <f t="shared" si="52"/>
        <v>0</v>
      </c>
      <c r="AK96" s="62">
        <f t="shared" si="52"/>
        <v>0</v>
      </c>
      <c r="AL96" s="62">
        <f t="shared" si="52"/>
        <v>0</v>
      </c>
      <c r="AM96" s="62">
        <f t="shared" si="52"/>
        <v>0</v>
      </c>
      <c r="AN96" s="62">
        <f t="shared" si="52"/>
        <v>0</v>
      </c>
    </row>
    <row r="97" spans="1:40" x14ac:dyDescent="0.3">
      <c r="C97" s="59"/>
      <c r="E97" s="132">
        <f>E85/E161</f>
        <v>1.4439267118740078</v>
      </c>
      <c r="F97" s="118"/>
      <c r="G97" s="118"/>
      <c r="H97" s="118"/>
      <c r="I97" s="118"/>
      <c r="J97" s="118"/>
      <c r="K97" s="118"/>
      <c r="L97" s="118"/>
      <c r="M97" s="118"/>
      <c r="N97" s="118"/>
      <c r="O97" s="118"/>
      <c r="P97" s="118"/>
      <c r="Q97" s="118"/>
      <c r="R97" s="118"/>
      <c r="Z97" s="59"/>
      <c r="AB97" s="118"/>
      <c r="AC97" s="118"/>
      <c r="AD97" s="118"/>
      <c r="AE97" s="118"/>
      <c r="AF97" s="118"/>
      <c r="AG97" s="118"/>
      <c r="AH97" s="118"/>
      <c r="AI97" s="118"/>
      <c r="AJ97" s="118"/>
      <c r="AK97" s="118"/>
      <c r="AL97" s="118"/>
      <c r="AM97" s="118"/>
      <c r="AN97" s="118"/>
    </row>
    <row r="99" spans="1:40" x14ac:dyDescent="0.3">
      <c r="A99" s="5"/>
      <c r="B99" t="e">
        <f ca="1">_xll.TR($B$85:$B$95,"TR.TotalInterestExpense(Scale=6)","Period=FY0 Frq=FY SDate=0 EDate=-12 Curn=SAR CH=Fd;periodenddate RH=IN SORTA=periodenddate",D99)</f>
        <v>#NAME?</v>
      </c>
      <c r="E99" t="s">
        <v>57</v>
      </c>
      <c r="F99" t="s">
        <v>57</v>
      </c>
      <c r="G99" t="s">
        <v>57</v>
      </c>
      <c r="H99" t="s">
        <v>57</v>
      </c>
      <c r="I99" t="s">
        <v>57</v>
      </c>
      <c r="J99" t="s">
        <v>57</v>
      </c>
      <c r="K99" t="s">
        <v>57</v>
      </c>
      <c r="L99" t="s">
        <v>57</v>
      </c>
      <c r="M99" t="s">
        <v>57</v>
      </c>
      <c r="N99" t="s">
        <v>57</v>
      </c>
      <c r="O99" t="s">
        <v>57</v>
      </c>
      <c r="P99" t="s">
        <v>57</v>
      </c>
      <c r="Q99" t="s">
        <v>57</v>
      </c>
      <c r="X99" s="5"/>
      <c r="Y99" t="e">
        <f ca="1">_xll.TR($B$85:$B$95,"TR.TotalInterestExpense(Scale=6)","Period=FQ0 Frq=FQ SDate=0 EDate=-7 Curn=SAR CH=Fd;periodenddate RH=IN SORTA=periodenddate",AA99)</f>
        <v>#NAME?</v>
      </c>
      <c r="AB99" t="s">
        <v>57</v>
      </c>
      <c r="AC99" t="s">
        <v>57</v>
      </c>
      <c r="AD99" t="s">
        <v>57</v>
      </c>
      <c r="AE99" t="s">
        <v>57</v>
      </c>
      <c r="AF99" t="s">
        <v>57</v>
      </c>
      <c r="AG99" t="s">
        <v>57</v>
      </c>
      <c r="AH99" t="s">
        <v>57</v>
      </c>
      <c r="AI99" t="s">
        <v>57</v>
      </c>
    </row>
    <row r="100" spans="1:40" x14ac:dyDescent="0.3">
      <c r="A100" s="5"/>
      <c r="E100" s="58">
        <v>39813</v>
      </c>
      <c r="F100" s="58">
        <v>40178</v>
      </c>
      <c r="G100" s="58">
        <v>40543</v>
      </c>
      <c r="H100" s="58">
        <v>40908</v>
      </c>
      <c r="I100" s="58">
        <v>41274</v>
      </c>
      <c r="J100" s="58">
        <v>41639</v>
      </c>
      <c r="K100" s="58">
        <v>42004</v>
      </c>
      <c r="L100" s="58">
        <v>42369</v>
      </c>
      <c r="M100" s="58">
        <v>42735</v>
      </c>
      <c r="N100" s="58">
        <v>43100</v>
      </c>
      <c r="O100" s="58">
        <v>43465</v>
      </c>
      <c r="P100" s="58">
        <v>43830</v>
      </c>
      <c r="Q100" s="58">
        <v>44196</v>
      </c>
      <c r="X100" s="5"/>
      <c r="AB100" s="58">
        <v>43830</v>
      </c>
      <c r="AC100" s="58">
        <v>43921</v>
      </c>
      <c r="AD100" s="58">
        <v>44012</v>
      </c>
      <c r="AE100" s="58">
        <v>44104</v>
      </c>
      <c r="AF100" s="58">
        <v>44196</v>
      </c>
      <c r="AG100" s="58">
        <v>44286</v>
      </c>
      <c r="AH100" s="58">
        <v>44377</v>
      </c>
      <c r="AI100" s="58">
        <v>44469</v>
      </c>
      <c r="AJ100" s="58"/>
      <c r="AK100" s="58"/>
      <c r="AL100" s="58"/>
      <c r="AM100" s="58"/>
      <c r="AN100" s="58"/>
    </row>
    <row r="101" spans="1:40" x14ac:dyDescent="0.3">
      <c r="A101" s="6"/>
      <c r="D101" s="59" t="s">
        <v>115</v>
      </c>
      <c r="E101" s="1">
        <v>819.45299999999997</v>
      </c>
      <c r="F101" s="1">
        <v>529.81600000000003</v>
      </c>
      <c r="G101" s="1">
        <v>230.34800000000001</v>
      </c>
      <c r="H101" s="1">
        <v>254.45400000000001</v>
      </c>
      <c r="I101" s="1">
        <v>345.52</v>
      </c>
      <c r="J101" s="1">
        <v>465.63299999999998</v>
      </c>
      <c r="K101" s="1">
        <v>395.19799999999998</v>
      </c>
      <c r="L101" s="1">
        <v>299.43799999999999</v>
      </c>
      <c r="M101" s="1">
        <v>528.35799999999995</v>
      </c>
      <c r="N101" s="1">
        <v>551.58699999999999</v>
      </c>
      <c r="O101" s="1">
        <v>506.72399999999999</v>
      </c>
      <c r="P101" s="1">
        <v>534.86</v>
      </c>
      <c r="Q101" s="1">
        <v>464.94600000000003</v>
      </c>
      <c r="R101" s="2">
        <f t="shared" ref="R101:R110" si="53">SUM(AG101:AI101)*4/3</f>
        <v>867.5200000000001</v>
      </c>
      <c r="X101" s="6"/>
      <c r="AA101" s="59" t="s">
        <v>115</v>
      </c>
      <c r="AB101" s="1">
        <v>152.15199999999999</v>
      </c>
      <c r="AC101" s="1">
        <v>142.40100000000001</v>
      </c>
      <c r="AD101" s="1">
        <v>114.54300000000001</v>
      </c>
      <c r="AE101" s="1">
        <v>85.893000000000001</v>
      </c>
      <c r="AF101" s="1">
        <v>122.10899999999999</v>
      </c>
      <c r="AG101" s="1">
        <v>144.03</v>
      </c>
      <c r="AH101" s="1">
        <v>191.541</v>
      </c>
      <c r="AI101" s="1">
        <v>315.06900000000002</v>
      </c>
      <c r="AJ101" s="1"/>
      <c r="AK101" s="1"/>
      <c r="AL101" s="1"/>
      <c r="AM101" s="1"/>
      <c r="AN101" s="1"/>
    </row>
    <row r="102" spans="1:40" x14ac:dyDescent="0.3">
      <c r="A102" s="5"/>
      <c r="D102" s="59" t="s">
        <v>118</v>
      </c>
      <c r="E102" s="1">
        <v>4071.3020000000001</v>
      </c>
      <c r="F102" s="1">
        <v>2326.509</v>
      </c>
      <c r="G102" s="1">
        <v>1561.452</v>
      </c>
      <c r="H102" s="1">
        <v>1603.6769999999999</v>
      </c>
      <c r="I102" s="1">
        <v>2136.605</v>
      </c>
      <c r="J102" s="1">
        <v>1713.4880000000001</v>
      </c>
      <c r="K102" s="1">
        <v>2275.7399999999998</v>
      </c>
      <c r="L102" s="1">
        <v>2834.1790000000001</v>
      </c>
      <c r="M102" s="1">
        <v>3969.366</v>
      </c>
      <c r="N102" s="1">
        <v>3319.9229999999998</v>
      </c>
      <c r="O102" s="1">
        <v>3935.6550000000002</v>
      </c>
      <c r="P102" s="1">
        <v>4734.9369999999999</v>
      </c>
      <c r="Q102" s="1">
        <v>2754.404</v>
      </c>
      <c r="R102" s="2">
        <f t="shared" si="53"/>
        <v>3256.3386666666665</v>
      </c>
      <c r="X102" s="5"/>
      <c r="AA102" s="59" t="s">
        <v>118</v>
      </c>
      <c r="AB102" s="1">
        <v>1063.4949999999999</v>
      </c>
      <c r="AC102" s="1">
        <v>884.29600000000005</v>
      </c>
      <c r="AD102" s="1">
        <v>746.25199999999995</v>
      </c>
      <c r="AE102" s="1">
        <v>689.94500000000005</v>
      </c>
      <c r="AF102" s="1">
        <v>433.911</v>
      </c>
      <c r="AG102" s="1">
        <v>722.17700000000002</v>
      </c>
      <c r="AH102" s="1">
        <v>915.35</v>
      </c>
      <c r="AI102" s="1">
        <v>804.72699999999998</v>
      </c>
      <c r="AJ102" s="1"/>
      <c r="AK102" s="1"/>
      <c r="AL102" s="1"/>
      <c r="AM102" s="1"/>
      <c r="AN102" s="1"/>
    </row>
    <row r="103" spans="1:40" x14ac:dyDescent="0.3">
      <c r="A103" s="6"/>
      <c r="D103" s="59" t="s">
        <v>120</v>
      </c>
      <c r="E103" s="1">
        <v>2789.8939999999998</v>
      </c>
      <c r="F103" s="1">
        <v>1467.1079999999999</v>
      </c>
      <c r="G103" s="1">
        <v>730.74</v>
      </c>
      <c r="H103" s="1">
        <v>718.32899999999995</v>
      </c>
      <c r="I103" s="1">
        <v>781.83</v>
      </c>
      <c r="J103" s="1">
        <v>820.43600000000004</v>
      </c>
      <c r="K103" s="1">
        <v>815.00099999999998</v>
      </c>
      <c r="L103" s="1">
        <v>703.25800000000004</v>
      </c>
      <c r="M103" s="1">
        <v>2011.5609999999999</v>
      </c>
      <c r="N103" s="1">
        <v>1490.03</v>
      </c>
      <c r="O103" s="1">
        <v>1703.905</v>
      </c>
      <c r="P103" s="1">
        <v>2534.4110000000001</v>
      </c>
      <c r="Q103" s="1">
        <v>1599.789</v>
      </c>
      <c r="R103" s="2">
        <f t="shared" si="53"/>
        <v>771.79333333333341</v>
      </c>
      <c r="X103" s="6"/>
      <c r="AA103" s="59" t="s">
        <v>120</v>
      </c>
      <c r="AB103" s="1">
        <v>635.44100000000003</v>
      </c>
      <c r="AC103" s="1">
        <v>619.06299999999999</v>
      </c>
      <c r="AD103" s="1">
        <v>418.40499999999997</v>
      </c>
      <c r="AE103" s="1">
        <v>303.74400000000003</v>
      </c>
      <c r="AF103" s="1">
        <v>258.577</v>
      </c>
      <c r="AG103" s="1">
        <v>204.25800000000001</v>
      </c>
      <c r="AH103" s="1">
        <v>181.072</v>
      </c>
      <c r="AI103" s="1">
        <v>193.51499999999999</v>
      </c>
      <c r="AJ103" s="1"/>
      <c r="AK103" s="1"/>
      <c r="AL103" s="1"/>
      <c r="AM103" s="1"/>
      <c r="AN103" s="1"/>
    </row>
    <row r="104" spans="1:40" x14ac:dyDescent="0.3">
      <c r="A104" s="5"/>
      <c r="D104" s="59" t="s">
        <v>122</v>
      </c>
      <c r="E104" s="1">
        <v>2657.922</v>
      </c>
      <c r="F104" s="1">
        <v>1136.857</v>
      </c>
      <c r="G104" s="1">
        <v>481.86500000000001</v>
      </c>
      <c r="H104" s="1">
        <v>493.90499999999997</v>
      </c>
      <c r="I104" s="1">
        <v>735.88499999999999</v>
      </c>
      <c r="J104" s="1">
        <v>666.84199999999998</v>
      </c>
      <c r="K104" s="1">
        <v>563.34400000000005</v>
      </c>
      <c r="L104" s="1">
        <v>559.54300000000001</v>
      </c>
      <c r="M104" s="1">
        <v>1318.1869999999999</v>
      </c>
      <c r="N104" s="1">
        <v>953.404</v>
      </c>
      <c r="O104" s="1">
        <v>1064.673</v>
      </c>
      <c r="P104" s="1">
        <v>1564.048</v>
      </c>
      <c r="Q104" s="1">
        <v>938.86900000000003</v>
      </c>
      <c r="R104" s="2">
        <f t="shared" si="53"/>
        <v>686.19200000000001</v>
      </c>
      <c r="X104" s="5"/>
      <c r="AA104" s="59" t="s">
        <v>122</v>
      </c>
      <c r="AB104" s="1">
        <v>395.80399999999997</v>
      </c>
      <c r="AC104" s="1">
        <v>334.99</v>
      </c>
      <c r="AD104" s="1">
        <v>221.85599999999999</v>
      </c>
      <c r="AE104" s="1">
        <v>198.35300000000001</v>
      </c>
      <c r="AF104" s="1">
        <v>183.67</v>
      </c>
      <c r="AG104" s="1">
        <v>190.72499999999999</v>
      </c>
      <c r="AH104" s="1">
        <v>174.28299999999999</v>
      </c>
      <c r="AI104" s="1">
        <v>149.636</v>
      </c>
      <c r="AJ104" s="1"/>
      <c r="AK104" s="1"/>
      <c r="AL104" s="1"/>
      <c r="AM104" s="1"/>
      <c r="AN104" s="1"/>
    </row>
    <row r="105" spans="1:40" x14ac:dyDescent="0.3">
      <c r="A105" s="5"/>
      <c r="D105" s="59" t="s">
        <v>124</v>
      </c>
      <c r="E105" s="1">
        <v>2477.723</v>
      </c>
      <c r="F105" s="1">
        <v>1039.0350000000001</v>
      </c>
      <c r="G105" s="1">
        <v>471.20100000000002</v>
      </c>
      <c r="H105" s="1">
        <v>494.22800000000001</v>
      </c>
      <c r="I105" s="1">
        <v>763.50300000000004</v>
      </c>
      <c r="J105" s="1">
        <v>893.74699999999996</v>
      </c>
      <c r="K105" s="1">
        <v>748.43899999999996</v>
      </c>
      <c r="L105" s="1">
        <v>820.09400000000005</v>
      </c>
      <c r="M105" s="1">
        <v>1714.4349999999999</v>
      </c>
      <c r="N105" s="1">
        <v>1904.836</v>
      </c>
      <c r="O105" s="1">
        <v>1930.704</v>
      </c>
      <c r="P105" s="1">
        <v>2163.8530000000001</v>
      </c>
      <c r="Q105" s="1">
        <v>1044.403</v>
      </c>
      <c r="R105" s="2">
        <f t="shared" si="53"/>
        <v>489.88266666666664</v>
      </c>
      <c r="X105" s="5"/>
      <c r="AA105" s="59" t="s">
        <v>124</v>
      </c>
      <c r="AB105" s="1">
        <v>492.125</v>
      </c>
      <c r="AC105" s="1">
        <v>411.98700000000002</v>
      </c>
      <c r="AD105" s="1">
        <v>295.029</v>
      </c>
      <c r="AE105" s="1">
        <v>194.01900000000001</v>
      </c>
      <c r="AF105" s="1">
        <v>143.36799999999999</v>
      </c>
      <c r="AG105" s="1">
        <v>120.005</v>
      </c>
      <c r="AH105" s="1">
        <v>128.73099999999999</v>
      </c>
      <c r="AI105" s="1">
        <v>118.676</v>
      </c>
      <c r="AJ105" s="1"/>
      <c r="AK105" s="1"/>
      <c r="AL105" s="1"/>
      <c r="AM105" s="1"/>
      <c r="AN105" s="1"/>
    </row>
    <row r="106" spans="1:40" x14ac:dyDescent="0.3">
      <c r="A106" s="5"/>
      <c r="D106" s="59" t="s">
        <v>126</v>
      </c>
      <c r="E106" s="1" t="s">
        <v>2</v>
      </c>
      <c r="F106" s="1">
        <v>3.7959999999999998</v>
      </c>
      <c r="G106" s="1">
        <v>30.363</v>
      </c>
      <c r="H106" s="1">
        <v>72.917000000000002</v>
      </c>
      <c r="I106" s="1">
        <v>118.24299999999999</v>
      </c>
      <c r="J106" s="1">
        <v>185.864</v>
      </c>
      <c r="K106" s="1">
        <v>210.77600000000001</v>
      </c>
      <c r="L106" s="1">
        <v>268.452</v>
      </c>
      <c r="M106" s="1">
        <v>833.79700000000003</v>
      </c>
      <c r="N106" s="1">
        <v>761.71500000000003</v>
      </c>
      <c r="O106" s="1">
        <v>1095.7850000000001</v>
      </c>
      <c r="P106" s="1">
        <v>1214.3030000000001</v>
      </c>
      <c r="Q106" s="1">
        <v>822.18299999999999</v>
      </c>
      <c r="R106" s="2">
        <f t="shared" si="53"/>
        <v>526.08400000000006</v>
      </c>
      <c r="X106" s="5"/>
      <c r="AA106" s="59" t="s">
        <v>126</v>
      </c>
      <c r="AB106" s="1">
        <v>296.72699999999998</v>
      </c>
      <c r="AC106" s="1">
        <v>273.93700000000001</v>
      </c>
      <c r="AD106" s="1">
        <v>215.393</v>
      </c>
      <c r="AE106" s="1">
        <v>169.77600000000001</v>
      </c>
      <c r="AF106" s="1">
        <v>163.077</v>
      </c>
      <c r="AG106" s="1">
        <v>144.33000000000001</v>
      </c>
      <c r="AH106" s="1">
        <v>131.404</v>
      </c>
      <c r="AI106" s="1">
        <v>118.82899999999999</v>
      </c>
      <c r="AJ106" s="1"/>
      <c r="AK106" s="1"/>
      <c r="AL106" s="1"/>
      <c r="AM106" s="1"/>
      <c r="AN106" s="1"/>
    </row>
    <row r="107" spans="1:40" x14ac:dyDescent="0.3">
      <c r="A107" s="5"/>
      <c r="D107" s="59" t="s">
        <v>130</v>
      </c>
      <c r="E107" s="1">
        <v>90.971999999999994</v>
      </c>
      <c r="F107" s="1">
        <v>24.14</v>
      </c>
      <c r="G107" s="1">
        <v>21.446999999999999</v>
      </c>
      <c r="H107" s="1">
        <v>24.948</v>
      </c>
      <c r="I107" s="1">
        <v>21.039000000000001</v>
      </c>
      <c r="J107" s="1">
        <v>28.027999999999999</v>
      </c>
      <c r="K107" s="1">
        <v>53.517000000000003</v>
      </c>
      <c r="L107" s="1">
        <v>76.444999999999993</v>
      </c>
      <c r="M107" s="1">
        <v>362.62599999999998</v>
      </c>
      <c r="N107" s="1">
        <v>378.19400000000002</v>
      </c>
      <c r="O107" s="1">
        <v>559.51499999999999</v>
      </c>
      <c r="P107" s="1">
        <v>638.22900000000004</v>
      </c>
      <c r="Q107" s="1">
        <v>333.93599999999998</v>
      </c>
      <c r="R107" s="2">
        <f t="shared" si="53"/>
        <v>263.67066666666665</v>
      </c>
      <c r="X107" s="5"/>
      <c r="AA107" s="59" t="s">
        <v>130</v>
      </c>
      <c r="AB107" s="1">
        <v>154.02000000000001</v>
      </c>
      <c r="AC107" s="1">
        <v>138.62799999999999</v>
      </c>
      <c r="AD107" s="1">
        <v>86.775999999999996</v>
      </c>
      <c r="AE107" s="1">
        <v>55.712000000000003</v>
      </c>
      <c r="AF107" s="1">
        <v>52.82</v>
      </c>
      <c r="AG107" s="1">
        <v>52.954000000000001</v>
      </c>
      <c r="AH107" s="1">
        <v>68.188999999999993</v>
      </c>
      <c r="AI107" s="1">
        <v>76.61</v>
      </c>
      <c r="AJ107" s="1"/>
      <c r="AK107" s="1"/>
      <c r="AL107" s="1"/>
      <c r="AM107" s="1"/>
      <c r="AN107" s="1"/>
    </row>
    <row r="108" spans="1:40" x14ac:dyDescent="0.3">
      <c r="A108" s="7"/>
      <c r="D108" s="59" t="s">
        <v>128</v>
      </c>
      <c r="E108" s="1">
        <v>2285.395</v>
      </c>
      <c r="F108" s="1">
        <v>778.20399999999995</v>
      </c>
      <c r="G108" s="1">
        <v>296.79000000000002</v>
      </c>
      <c r="H108" s="1">
        <v>282.52300000000002</v>
      </c>
      <c r="I108" s="1">
        <v>487.63400000000001</v>
      </c>
      <c r="J108" s="1">
        <v>570.00199999999995</v>
      </c>
      <c r="K108" s="1">
        <v>468.673</v>
      </c>
      <c r="L108" s="1">
        <v>593.94200000000001</v>
      </c>
      <c r="M108" s="1">
        <v>1592.6869999999999</v>
      </c>
      <c r="N108" s="1">
        <v>1370.441</v>
      </c>
      <c r="O108" s="1">
        <v>1680.971</v>
      </c>
      <c r="P108" s="1">
        <v>2079.6849999999999</v>
      </c>
      <c r="Q108" s="1">
        <v>1123.1320000000001</v>
      </c>
      <c r="R108" s="2">
        <f t="shared" si="53"/>
        <v>430.48</v>
      </c>
      <c r="X108" s="7"/>
      <c r="AA108" s="59" t="s">
        <v>128</v>
      </c>
      <c r="AB108" s="1">
        <v>485.392</v>
      </c>
      <c r="AC108" s="1">
        <v>467.90899999999999</v>
      </c>
      <c r="AD108" s="1">
        <v>302.34699999999998</v>
      </c>
      <c r="AE108" s="1">
        <v>195.012</v>
      </c>
      <c r="AF108" s="1">
        <v>157.864</v>
      </c>
      <c r="AG108" s="1">
        <v>83.046000000000006</v>
      </c>
      <c r="AH108" s="1">
        <v>108.316</v>
      </c>
      <c r="AI108" s="1">
        <v>131.49799999999999</v>
      </c>
      <c r="AJ108" s="1"/>
      <c r="AK108" s="1"/>
      <c r="AL108" s="1"/>
      <c r="AM108" s="1"/>
      <c r="AN108" s="1"/>
    </row>
    <row r="109" spans="1:40" x14ac:dyDescent="0.3">
      <c r="A109" s="8"/>
      <c r="D109" s="59" t="s">
        <v>132</v>
      </c>
      <c r="E109" s="1">
        <v>483.01</v>
      </c>
      <c r="F109" s="1">
        <v>293.45999999999998</v>
      </c>
      <c r="G109" s="1">
        <v>151.09299999999999</v>
      </c>
      <c r="H109" s="1">
        <v>186.65299999999999</v>
      </c>
      <c r="I109" s="1">
        <v>311.62400000000002</v>
      </c>
      <c r="J109" s="1">
        <v>422.18200000000002</v>
      </c>
      <c r="K109" s="1">
        <v>509.78699999999998</v>
      </c>
      <c r="L109" s="1">
        <v>534.93899999999996</v>
      </c>
      <c r="M109" s="1">
        <v>1089.3409999999999</v>
      </c>
      <c r="N109" s="1">
        <v>939.31399999999996</v>
      </c>
      <c r="O109" s="1">
        <v>883.64</v>
      </c>
      <c r="P109" s="1">
        <v>1175.383</v>
      </c>
      <c r="Q109" s="1">
        <v>789.70500000000004</v>
      </c>
      <c r="R109" s="2">
        <f t="shared" si="53"/>
        <v>357.82799999999997</v>
      </c>
      <c r="X109" s="8"/>
      <c r="AA109" s="59" t="s">
        <v>132</v>
      </c>
      <c r="AB109" s="1">
        <v>368.74700000000001</v>
      </c>
      <c r="AC109" s="1">
        <v>260.28500000000003</v>
      </c>
      <c r="AD109" s="1">
        <v>197.71600000000001</v>
      </c>
      <c r="AE109" s="1">
        <v>138.57</v>
      </c>
      <c r="AF109" s="1">
        <v>193.13399999999999</v>
      </c>
      <c r="AG109" s="1">
        <v>93.3</v>
      </c>
      <c r="AH109" s="1">
        <v>91.102999999999994</v>
      </c>
      <c r="AI109" s="1">
        <v>83.968000000000004</v>
      </c>
      <c r="AJ109" s="1"/>
      <c r="AK109" s="1"/>
      <c r="AL109" s="1"/>
      <c r="AM109" s="1"/>
      <c r="AN109" s="1"/>
    </row>
    <row r="110" spans="1:40" x14ac:dyDescent="0.3">
      <c r="D110" s="59" t="s">
        <v>134</v>
      </c>
      <c r="E110" s="1">
        <v>1514.24</v>
      </c>
      <c r="F110" s="1">
        <v>828.10400000000004</v>
      </c>
      <c r="G110" s="1">
        <v>359.42200000000003</v>
      </c>
      <c r="H110" s="1">
        <v>322.61700000000002</v>
      </c>
      <c r="I110" s="1">
        <v>348.88299999999998</v>
      </c>
      <c r="J110" s="1">
        <v>519.17899999999997</v>
      </c>
      <c r="K110" s="1">
        <v>626.23099999999999</v>
      </c>
      <c r="L110" s="1">
        <v>710.23099999999999</v>
      </c>
      <c r="M110" s="1">
        <v>1528.5530000000001</v>
      </c>
      <c r="N110" s="1">
        <v>1195.8240000000001</v>
      </c>
      <c r="O110" s="1">
        <v>1345.6949999999999</v>
      </c>
      <c r="P110" s="1">
        <v>1624.597</v>
      </c>
      <c r="Q110" s="1">
        <v>940.322</v>
      </c>
      <c r="R110" s="2">
        <f t="shared" si="53"/>
        <v>461.94666666666672</v>
      </c>
      <c r="AA110" s="59" t="s">
        <v>134</v>
      </c>
      <c r="AB110" s="1">
        <v>381.42599999999999</v>
      </c>
      <c r="AC110" s="1">
        <v>331.459</v>
      </c>
      <c r="AD110" s="1">
        <v>256.69</v>
      </c>
      <c r="AE110" s="1">
        <v>203.41</v>
      </c>
      <c r="AF110" s="1">
        <v>148.76300000000001</v>
      </c>
      <c r="AG110" s="1">
        <v>121.43300000000001</v>
      </c>
      <c r="AH110" s="1">
        <v>115.521</v>
      </c>
      <c r="AI110" s="1">
        <v>109.506</v>
      </c>
      <c r="AJ110" s="1"/>
      <c r="AK110" s="1"/>
      <c r="AL110" s="1"/>
      <c r="AM110" s="1"/>
      <c r="AN110" s="1"/>
    </row>
    <row r="111" spans="1:40" x14ac:dyDescent="0.3">
      <c r="D111" s="59"/>
      <c r="E111" s="1"/>
      <c r="F111" s="1"/>
      <c r="G111" s="1"/>
      <c r="H111" s="1"/>
      <c r="I111" s="1"/>
      <c r="J111" s="1"/>
      <c r="K111" s="1"/>
      <c r="L111" s="1"/>
      <c r="M111" s="1"/>
      <c r="N111" s="1"/>
      <c r="O111" s="1"/>
      <c r="P111" s="1"/>
      <c r="Q111" s="1"/>
      <c r="AA111" s="59"/>
      <c r="AB111" s="1"/>
      <c r="AC111" s="1"/>
      <c r="AD111" s="1"/>
      <c r="AE111" s="1"/>
      <c r="AF111" s="1"/>
      <c r="AG111" s="1"/>
      <c r="AH111" s="1"/>
      <c r="AI111" s="1"/>
      <c r="AJ111" s="1"/>
      <c r="AK111" s="1"/>
      <c r="AL111" s="1"/>
      <c r="AM111" s="1"/>
      <c r="AN111" s="1"/>
    </row>
    <row r="112" spans="1:40" x14ac:dyDescent="0.3">
      <c r="E112" s="62">
        <f t="shared" ref="E112:R112" si="54">SUM(E101:E110)</f>
        <v>17189.911</v>
      </c>
      <c r="F112" s="62">
        <f t="shared" si="54"/>
        <v>8427.0290000000005</v>
      </c>
      <c r="G112" s="62">
        <f t="shared" si="54"/>
        <v>4334.7209999999995</v>
      </c>
      <c r="H112" s="62">
        <f t="shared" si="54"/>
        <v>4454.2510000000002</v>
      </c>
      <c r="I112" s="62">
        <f t="shared" si="54"/>
        <v>6050.7659999999996</v>
      </c>
      <c r="J112" s="62">
        <f t="shared" si="54"/>
        <v>6285.4010000000007</v>
      </c>
      <c r="K112" s="62">
        <f t="shared" si="54"/>
        <v>6666.7059999999992</v>
      </c>
      <c r="L112" s="62">
        <f t="shared" si="54"/>
        <v>7400.5209999999997</v>
      </c>
      <c r="M112" s="62">
        <f t="shared" si="54"/>
        <v>14948.911</v>
      </c>
      <c r="N112" s="62">
        <f t="shared" si="54"/>
        <v>12865.268</v>
      </c>
      <c r="O112" s="62">
        <f t="shared" si="54"/>
        <v>14707.266999999998</v>
      </c>
      <c r="P112" s="62">
        <f t="shared" si="54"/>
        <v>18264.306</v>
      </c>
      <c r="Q112" s="62">
        <f t="shared" si="54"/>
        <v>10811.689</v>
      </c>
      <c r="R112" s="62">
        <f t="shared" si="54"/>
        <v>8111.735999999999</v>
      </c>
      <c r="AB112" s="62">
        <f t="shared" ref="AB112:AN112" si="55">SUM(AB101:AB110)</f>
        <v>4425.3289999999997</v>
      </c>
      <c r="AC112" s="62">
        <f t="shared" si="55"/>
        <v>3864.9549999999999</v>
      </c>
      <c r="AD112" s="62">
        <f t="shared" si="55"/>
        <v>2855.0069999999996</v>
      </c>
      <c r="AE112" s="62">
        <f t="shared" si="55"/>
        <v>2234.4340000000002</v>
      </c>
      <c r="AF112" s="62">
        <f t="shared" si="55"/>
        <v>1857.2929999999999</v>
      </c>
      <c r="AG112" s="62">
        <f t="shared" si="55"/>
        <v>1876.2579999999996</v>
      </c>
      <c r="AH112" s="62">
        <f t="shared" si="55"/>
        <v>2105.5100000000002</v>
      </c>
      <c r="AI112" s="62">
        <f t="shared" si="55"/>
        <v>2102.0340000000001</v>
      </c>
      <c r="AJ112" s="62">
        <f t="shared" si="55"/>
        <v>0</v>
      </c>
      <c r="AK112" s="62">
        <f t="shared" si="55"/>
        <v>0</v>
      </c>
      <c r="AL112" s="62">
        <f t="shared" si="55"/>
        <v>0</v>
      </c>
      <c r="AM112" s="62">
        <f t="shared" si="55"/>
        <v>0</v>
      </c>
      <c r="AN112" s="62">
        <f t="shared" si="55"/>
        <v>0</v>
      </c>
    </row>
    <row r="114" spans="1:40" x14ac:dyDescent="0.3">
      <c r="A114" s="5"/>
      <c r="B114" t="e">
        <f ca="1">_xll.TR($B$85:$B$95,"TR.LoanLossProvision(Scale=6)","Period=FY0 Frq=FY SDate=0 EDate=-12 Curn=SAR CH=Fd;periodenddate RH=IN SORTA=periodenddate",D114)</f>
        <v>#NAME?</v>
      </c>
      <c r="E114" t="s">
        <v>8</v>
      </c>
      <c r="F114" t="s">
        <v>8</v>
      </c>
      <c r="G114" t="s">
        <v>8</v>
      </c>
      <c r="H114" t="s">
        <v>8</v>
      </c>
      <c r="I114" t="s">
        <v>8</v>
      </c>
      <c r="J114" t="s">
        <v>8</v>
      </c>
      <c r="K114" t="s">
        <v>8</v>
      </c>
      <c r="L114" t="s">
        <v>8</v>
      </c>
      <c r="M114" t="s">
        <v>8</v>
      </c>
      <c r="N114" t="s">
        <v>8</v>
      </c>
      <c r="O114" t="s">
        <v>8</v>
      </c>
      <c r="P114" t="s">
        <v>8</v>
      </c>
      <c r="Q114" t="s">
        <v>8</v>
      </c>
      <c r="X114" s="5"/>
      <c r="Y114" t="e">
        <f ca="1">_xll.TR($B$85:$B$95,"TR.LoanLossProvision(Scale=6)","Period=FQ0 Frq=FQ SDate=0 EDate=-7 Curn=SAR CH=Fd;periodenddate RH=IN SORTA=periodenddate",AA114)</f>
        <v>#NAME?</v>
      </c>
      <c r="AB114" t="s">
        <v>8</v>
      </c>
      <c r="AC114" t="s">
        <v>8</v>
      </c>
      <c r="AD114" t="s">
        <v>8</v>
      </c>
      <c r="AE114" t="s">
        <v>8</v>
      </c>
      <c r="AF114" t="s">
        <v>8</v>
      </c>
      <c r="AG114" t="s">
        <v>8</v>
      </c>
      <c r="AH114" t="s">
        <v>8</v>
      </c>
      <c r="AI114" t="s">
        <v>8</v>
      </c>
    </row>
    <row r="115" spans="1:40" x14ac:dyDescent="0.3">
      <c r="A115" s="5"/>
      <c r="E115" s="58">
        <v>39813</v>
      </c>
      <c r="F115" s="58">
        <v>40178</v>
      </c>
      <c r="G115" s="58">
        <v>40543</v>
      </c>
      <c r="H115" s="58">
        <v>40908</v>
      </c>
      <c r="I115" s="58">
        <v>41274</v>
      </c>
      <c r="J115" s="58">
        <v>41639</v>
      </c>
      <c r="K115" s="58">
        <v>42004</v>
      </c>
      <c r="L115" s="58">
        <v>42369</v>
      </c>
      <c r="M115" s="58">
        <v>42735</v>
      </c>
      <c r="N115" s="58">
        <v>43100</v>
      </c>
      <c r="O115" s="58">
        <v>43465</v>
      </c>
      <c r="P115" s="58">
        <v>43830</v>
      </c>
      <c r="Q115" s="58">
        <v>44196</v>
      </c>
      <c r="X115" s="5"/>
      <c r="AB115" s="58">
        <v>43830</v>
      </c>
      <c r="AC115" s="58">
        <v>43921</v>
      </c>
      <c r="AD115" s="58">
        <v>44012</v>
      </c>
      <c r="AE115" s="58">
        <v>44104</v>
      </c>
      <c r="AF115" s="58">
        <v>44196</v>
      </c>
      <c r="AG115" s="58">
        <v>44286</v>
      </c>
      <c r="AH115" s="58">
        <v>44377</v>
      </c>
      <c r="AI115" s="58">
        <v>44469</v>
      </c>
      <c r="AJ115" s="58"/>
      <c r="AK115" s="58"/>
      <c r="AL115" s="58"/>
      <c r="AM115" s="58"/>
      <c r="AN115" s="58"/>
    </row>
    <row r="116" spans="1:40" x14ac:dyDescent="0.3">
      <c r="D116" s="59" t="s">
        <v>115</v>
      </c>
      <c r="E116" s="1">
        <v>1227.423</v>
      </c>
      <c r="F116" s="1">
        <v>1760.7270000000001</v>
      </c>
      <c r="G116" s="1">
        <v>1908.818</v>
      </c>
      <c r="H116" s="1">
        <v>1645.1420000000001</v>
      </c>
      <c r="I116" s="1">
        <v>2319.1669999999999</v>
      </c>
      <c r="J116" s="1">
        <v>2349.6880000000001</v>
      </c>
      <c r="K116" s="1">
        <v>2312.1790000000001</v>
      </c>
      <c r="L116" s="1">
        <v>1958.0250000000001</v>
      </c>
      <c r="M116" s="1">
        <v>2142.2420000000002</v>
      </c>
      <c r="N116" s="1">
        <v>1547.577</v>
      </c>
      <c r="O116" s="1">
        <v>1530.9459999999999</v>
      </c>
      <c r="P116" s="1">
        <v>1772.2650000000001</v>
      </c>
      <c r="Q116" s="1">
        <v>2165.7399999999998</v>
      </c>
      <c r="R116" s="2">
        <f t="shared" ref="R116:R125" si="56">SUM(AG116:AI116)*4/3</f>
        <v>2339.682666666667</v>
      </c>
      <c r="AA116" s="59" t="s">
        <v>115</v>
      </c>
      <c r="AB116" s="1">
        <v>664.94600000000003</v>
      </c>
      <c r="AC116" s="1">
        <v>692.80799999999999</v>
      </c>
      <c r="AD116" s="1">
        <v>457.95600000000002</v>
      </c>
      <c r="AE116" s="1">
        <v>464.935</v>
      </c>
      <c r="AF116" s="1">
        <v>550.04100000000005</v>
      </c>
      <c r="AG116" s="1">
        <v>576.98900000000003</v>
      </c>
      <c r="AH116" s="1">
        <v>583.96699999999998</v>
      </c>
      <c r="AI116" s="1">
        <v>593.80600000000004</v>
      </c>
      <c r="AJ116" s="1"/>
      <c r="AK116" s="1"/>
      <c r="AL116" s="1"/>
      <c r="AM116" s="1"/>
      <c r="AN116" s="1"/>
    </row>
    <row r="117" spans="1:40" x14ac:dyDescent="0.3">
      <c r="D117" s="59" t="s">
        <v>118</v>
      </c>
      <c r="E117" s="1">
        <v>729.44200000000001</v>
      </c>
      <c r="F117" s="1">
        <v>2473.7269999999999</v>
      </c>
      <c r="G117" s="1">
        <v>1831.56</v>
      </c>
      <c r="H117" s="1">
        <v>1033.317</v>
      </c>
      <c r="I117" s="1">
        <v>1436.0119999999999</v>
      </c>
      <c r="J117" s="1">
        <v>795.34500000000003</v>
      </c>
      <c r="K117" s="1">
        <v>995.46400000000006</v>
      </c>
      <c r="L117" s="1">
        <v>1600.347</v>
      </c>
      <c r="M117" s="1">
        <v>1930.9649999999999</v>
      </c>
      <c r="N117" s="1">
        <v>1892.8610000000001</v>
      </c>
      <c r="O117" s="1">
        <v>1430.0920000000001</v>
      </c>
      <c r="P117" s="1">
        <v>1419.93</v>
      </c>
      <c r="Q117" s="1">
        <v>1950.8869999999999</v>
      </c>
      <c r="R117" s="2">
        <f t="shared" si="56"/>
        <v>4549.6533333333327</v>
      </c>
      <c r="AA117" s="59" t="s">
        <v>118</v>
      </c>
      <c r="AB117" s="1">
        <v>287.22699999999998</v>
      </c>
      <c r="AC117" s="1">
        <v>396.089</v>
      </c>
      <c r="AD117" s="1">
        <v>827.947</v>
      </c>
      <c r="AE117" s="1">
        <v>378.84699999999998</v>
      </c>
      <c r="AF117" s="1">
        <v>348.00400000000002</v>
      </c>
      <c r="AG117" s="1">
        <v>279.61599999999999</v>
      </c>
      <c r="AH117" s="1">
        <v>2407.7849999999999</v>
      </c>
      <c r="AI117" s="1">
        <v>724.83900000000006</v>
      </c>
      <c r="AJ117" s="1"/>
      <c r="AK117" s="1"/>
      <c r="AL117" s="1"/>
      <c r="AM117" s="1"/>
      <c r="AN117" s="1"/>
    </row>
    <row r="118" spans="1:40" x14ac:dyDescent="0.3">
      <c r="D118" s="59" t="s">
        <v>120</v>
      </c>
      <c r="E118" s="1">
        <v>349.07</v>
      </c>
      <c r="F118" s="1">
        <v>618.53899999999999</v>
      </c>
      <c r="G118" s="1">
        <v>935.07399999999996</v>
      </c>
      <c r="H118" s="1">
        <v>661.71199999999999</v>
      </c>
      <c r="I118" s="1">
        <v>1179.6590000000001</v>
      </c>
      <c r="J118" s="1">
        <v>627.41800000000001</v>
      </c>
      <c r="K118" s="1">
        <v>900.06299999999999</v>
      </c>
      <c r="L118" s="1">
        <v>1030.7349999999999</v>
      </c>
      <c r="M118" s="1">
        <v>1286.3969999999999</v>
      </c>
      <c r="N118" s="1">
        <v>1227.4880000000001</v>
      </c>
      <c r="O118" s="1">
        <v>927.84</v>
      </c>
      <c r="P118" s="1">
        <v>1012.284</v>
      </c>
      <c r="Q118" s="1">
        <v>2061.7429999999999</v>
      </c>
      <c r="R118" s="2">
        <f t="shared" si="56"/>
        <v>789.32266666666658</v>
      </c>
      <c r="AA118" s="59" t="s">
        <v>120</v>
      </c>
      <c r="AB118" s="1">
        <v>370.892</v>
      </c>
      <c r="AC118" s="1">
        <v>308.12900000000002</v>
      </c>
      <c r="AD118" s="1">
        <v>612.08500000000004</v>
      </c>
      <c r="AE118" s="1">
        <v>490.10199999999998</v>
      </c>
      <c r="AF118" s="1">
        <v>651.42700000000002</v>
      </c>
      <c r="AG118" s="1">
        <v>246.78200000000001</v>
      </c>
      <c r="AH118" s="1">
        <v>237.626</v>
      </c>
      <c r="AI118" s="1">
        <v>107.584</v>
      </c>
      <c r="AJ118" s="1"/>
      <c r="AK118" s="1"/>
      <c r="AL118" s="1"/>
      <c r="AM118" s="1"/>
      <c r="AN118" s="1"/>
    </row>
    <row r="119" spans="1:40" x14ac:dyDescent="0.3">
      <c r="D119" s="59" t="s">
        <v>122</v>
      </c>
      <c r="E119" s="1">
        <v>371.28</v>
      </c>
      <c r="F119" s="1">
        <v>1496.4829999999999</v>
      </c>
      <c r="G119" s="1">
        <v>1233.5260000000001</v>
      </c>
      <c r="H119" s="1">
        <v>475.53</v>
      </c>
      <c r="I119" s="1">
        <v>440.54399999999998</v>
      </c>
      <c r="J119" s="1">
        <v>374.17899999999997</v>
      </c>
      <c r="K119" s="1">
        <v>450.75599999999997</v>
      </c>
      <c r="L119" s="1">
        <v>429.71600000000001</v>
      </c>
      <c r="M119" s="1">
        <v>944.56</v>
      </c>
      <c r="N119" s="1">
        <v>1001.828</v>
      </c>
      <c r="O119" s="1">
        <v>259.03199999999998</v>
      </c>
      <c r="P119" s="1">
        <v>2501.1750000000002</v>
      </c>
      <c r="Q119" s="1">
        <v>1630.931</v>
      </c>
      <c r="R119" s="2">
        <f t="shared" si="56"/>
        <v>53.655999999999999</v>
      </c>
      <c r="U119" s="61"/>
      <c r="AA119" s="59" t="s">
        <v>122</v>
      </c>
      <c r="AB119" s="1">
        <v>636.70000000000005</v>
      </c>
      <c r="AC119" s="1">
        <v>239.066</v>
      </c>
      <c r="AD119" s="1">
        <v>1308.7829999999999</v>
      </c>
      <c r="AE119" s="1">
        <v>51.097999999999999</v>
      </c>
      <c r="AF119" s="1">
        <v>31.984000000000002</v>
      </c>
      <c r="AG119" s="1">
        <v>1.6679999999999999</v>
      </c>
      <c r="AH119" s="1">
        <v>25.577999999999999</v>
      </c>
      <c r="AI119" s="1">
        <v>12.996</v>
      </c>
      <c r="AJ119" s="1"/>
      <c r="AK119" s="1"/>
      <c r="AL119" s="1"/>
      <c r="AM119" s="1"/>
      <c r="AN119" s="1"/>
    </row>
    <row r="120" spans="1:40" x14ac:dyDescent="0.3">
      <c r="D120" s="59" t="s">
        <v>124</v>
      </c>
      <c r="E120" s="1">
        <v>94.265000000000001</v>
      </c>
      <c r="F120" s="1">
        <v>574.62099999999998</v>
      </c>
      <c r="G120" s="1">
        <v>339.34399999999999</v>
      </c>
      <c r="H120" s="1">
        <v>157.90799999999999</v>
      </c>
      <c r="I120" s="1">
        <v>455.17500000000001</v>
      </c>
      <c r="J120" s="1">
        <v>908.20299999999997</v>
      </c>
      <c r="K120" s="1">
        <v>257.58199999999999</v>
      </c>
      <c r="L120" s="1">
        <v>98.424999999999997</v>
      </c>
      <c r="M120" s="1">
        <v>675.66</v>
      </c>
      <c r="N120" s="1">
        <v>568.24599999999998</v>
      </c>
      <c r="O120" s="1">
        <v>844.322</v>
      </c>
      <c r="P120" s="1">
        <v>947.34500000000003</v>
      </c>
      <c r="Q120" s="1">
        <v>2722.8510000000001</v>
      </c>
      <c r="R120" s="2">
        <f t="shared" si="56"/>
        <v>1137.8573333333334</v>
      </c>
      <c r="AA120" s="59" t="s">
        <v>124</v>
      </c>
      <c r="AB120" s="1">
        <v>437.86399999999998</v>
      </c>
      <c r="AC120" s="1">
        <v>222.56700000000001</v>
      </c>
      <c r="AD120" s="1">
        <v>583.31600000000003</v>
      </c>
      <c r="AE120" s="1">
        <v>700.44899999999996</v>
      </c>
      <c r="AF120" s="1">
        <v>853.99</v>
      </c>
      <c r="AG120" s="1">
        <v>290.08300000000003</v>
      </c>
      <c r="AH120" s="1">
        <v>266.96800000000002</v>
      </c>
      <c r="AI120" s="1">
        <v>296.34199999999998</v>
      </c>
      <c r="AJ120" s="1"/>
      <c r="AK120" s="1"/>
      <c r="AL120" s="1"/>
      <c r="AM120" s="1"/>
      <c r="AN120" s="1"/>
    </row>
    <row r="121" spans="1:40" x14ac:dyDescent="0.3">
      <c r="D121" s="59" t="s">
        <v>126</v>
      </c>
      <c r="E121" s="1" t="s">
        <v>2</v>
      </c>
      <c r="F121" s="1" t="s">
        <v>2</v>
      </c>
      <c r="G121" s="1">
        <v>3</v>
      </c>
      <c r="H121" s="1">
        <v>124.699</v>
      </c>
      <c r="I121" s="1">
        <v>154.37299999999999</v>
      </c>
      <c r="J121" s="1">
        <v>274.22399999999999</v>
      </c>
      <c r="K121" s="1">
        <v>161.673</v>
      </c>
      <c r="L121" s="1">
        <v>196.173</v>
      </c>
      <c r="M121" s="1">
        <v>195.154</v>
      </c>
      <c r="N121" s="1">
        <v>558.48199999999997</v>
      </c>
      <c r="O121" s="1">
        <v>392.79599999999999</v>
      </c>
      <c r="P121" s="1">
        <v>700.48</v>
      </c>
      <c r="Q121" s="1">
        <v>1419.182</v>
      </c>
      <c r="R121" s="2">
        <f t="shared" si="56"/>
        <v>1283.4960000000001</v>
      </c>
      <c r="AA121" s="59" t="s">
        <v>126</v>
      </c>
      <c r="AB121" s="1">
        <v>385.11399999999998</v>
      </c>
      <c r="AC121" s="1">
        <v>312.58499999999998</v>
      </c>
      <c r="AD121" s="1">
        <v>192.79</v>
      </c>
      <c r="AE121" s="1">
        <v>230.99799999999999</v>
      </c>
      <c r="AF121" s="1">
        <v>650.68600000000004</v>
      </c>
      <c r="AG121" s="1">
        <v>346.76900000000001</v>
      </c>
      <c r="AH121" s="1">
        <v>336.798</v>
      </c>
      <c r="AI121" s="1">
        <v>279.05500000000001</v>
      </c>
      <c r="AJ121" s="1"/>
      <c r="AK121" s="1"/>
      <c r="AL121" s="1"/>
      <c r="AM121" s="1"/>
      <c r="AN121" s="1"/>
    </row>
    <row r="122" spans="1:40" x14ac:dyDescent="0.3">
      <c r="D122" s="59" t="s">
        <v>130</v>
      </c>
      <c r="E122" s="1">
        <v>19.803000000000001</v>
      </c>
      <c r="F122" s="1">
        <v>302.36</v>
      </c>
      <c r="G122" s="1">
        <v>242.303</v>
      </c>
      <c r="H122" s="1">
        <v>252.24199999999999</v>
      </c>
      <c r="I122" s="1">
        <v>275.22000000000003</v>
      </c>
      <c r="J122" s="1">
        <v>153.75800000000001</v>
      </c>
      <c r="K122" s="1">
        <v>-19.902000000000001</v>
      </c>
      <c r="L122" s="1">
        <v>66.766000000000005</v>
      </c>
      <c r="M122" s="1">
        <v>165.26599999999999</v>
      </c>
      <c r="N122" s="1">
        <v>339.72899999999998</v>
      </c>
      <c r="O122" s="1">
        <v>490.45299999999997</v>
      </c>
      <c r="P122" s="1">
        <v>543.09299999999996</v>
      </c>
      <c r="Q122" s="1">
        <v>532.01099999999997</v>
      </c>
      <c r="R122" s="2">
        <f t="shared" si="56"/>
        <v>466.45866666666666</v>
      </c>
      <c r="AA122" s="59" t="s">
        <v>130</v>
      </c>
      <c r="AB122" s="1">
        <v>139.69800000000001</v>
      </c>
      <c r="AC122" s="1">
        <v>208.054</v>
      </c>
      <c r="AD122" s="1">
        <v>122.145</v>
      </c>
      <c r="AE122" s="1">
        <v>76.287000000000006</v>
      </c>
      <c r="AF122" s="1">
        <v>163.946</v>
      </c>
      <c r="AG122" s="1">
        <v>68.5</v>
      </c>
      <c r="AH122" s="1">
        <v>138.845</v>
      </c>
      <c r="AI122" s="1">
        <v>142.499</v>
      </c>
      <c r="AJ122" s="1"/>
      <c r="AK122" s="1"/>
      <c r="AL122" s="1"/>
      <c r="AM122" s="1"/>
      <c r="AN122" s="1"/>
    </row>
    <row r="123" spans="1:40" x14ac:dyDescent="0.3">
      <c r="D123" s="59" t="s">
        <v>128</v>
      </c>
      <c r="E123" s="1">
        <v>60.280999999999999</v>
      </c>
      <c r="F123" s="1">
        <v>526.58299999999997</v>
      </c>
      <c r="G123" s="1">
        <v>964.40700000000004</v>
      </c>
      <c r="H123" s="1">
        <v>617.89700000000005</v>
      </c>
      <c r="I123" s="1">
        <v>521.79600000000005</v>
      </c>
      <c r="J123" s="1">
        <v>626.98800000000006</v>
      </c>
      <c r="K123" s="1">
        <v>550.88300000000004</v>
      </c>
      <c r="L123" s="1">
        <v>575.50400000000002</v>
      </c>
      <c r="M123" s="1">
        <v>726.13599999999997</v>
      </c>
      <c r="N123" s="1">
        <v>1148.79</v>
      </c>
      <c r="O123" s="1">
        <v>998.32299999999998</v>
      </c>
      <c r="P123" s="1">
        <v>970.596</v>
      </c>
      <c r="Q123" s="1">
        <v>1282.202</v>
      </c>
      <c r="R123" s="2">
        <f t="shared" si="56"/>
        <v>1097.0853333333332</v>
      </c>
      <c r="AA123" s="59" t="s">
        <v>128</v>
      </c>
      <c r="AB123" s="1">
        <v>424.66500000000002</v>
      </c>
      <c r="AC123" s="1">
        <v>198.35</v>
      </c>
      <c r="AD123" s="1">
        <v>345.43299999999999</v>
      </c>
      <c r="AE123" s="1">
        <v>203.68100000000001</v>
      </c>
      <c r="AF123" s="1">
        <v>534.73800000000006</v>
      </c>
      <c r="AG123" s="1">
        <v>335.01400000000001</v>
      </c>
      <c r="AH123" s="1">
        <v>303.18099999999998</v>
      </c>
      <c r="AI123" s="1">
        <v>184.619</v>
      </c>
      <c r="AJ123" s="1"/>
      <c r="AK123" s="1"/>
      <c r="AL123" s="1"/>
      <c r="AM123" s="1"/>
      <c r="AN123" s="1"/>
    </row>
    <row r="124" spans="1:40" x14ac:dyDescent="0.3">
      <c r="D124" s="59" t="s">
        <v>132</v>
      </c>
      <c r="E124" s="1">
        <v>61.158000000000001</v>
      </c>
      <c r="F124" s="1">
        <v>412.08800000000002</v>
      </c>
      <c r="G124" s="1">
        <v>362.23200000000003</v>
      </c>
      <c r="H124" s="1">
        <v>70.352000000000004</v>
      </c>
      <c r="I124" s="1">
        <v>172.47900000000001</v>
      </c>
      <c r="J124" s="1">
        <v>136.34299999999999</v>
      </c>
      <c r="K124" s="1">
        <v>383.10700000000003</v>
      </c>
      <c r="L124" s="1">
        <v>53.063000000000002</v>
      </c>
      <c r="M124" s="1">
        <v>125.214</v>
      </c>
      <c r="N124" s="1">
        <v>267.149</v>
      </c>
      <c r="O124" s="1">
        <v>106.8</v>
      </c>
      <c r="P124" s="1">
        <v>156.953</v>
      </c>
      <c r="Q124" s="1">
        <v>1575.7429999999999</v>
      </c>
      <c r="R124" s="2">
        <f t="shared" si="56"/>
        <v>625.62</v>
      </c>
      <c r="AA124" s="59" t="s">
        <v>132</v>
      </c>
      <c r="AB124" s="1">
        <v>77.777000000000001</v>
      </c>
      <c r="AC124" s="1">
        <v>121.955</v>
      </c>
      <c r="AD124" s="1">
        <v>173.04300000000001</v>
      </c>
      <c r="AE124" s="1">
        <v>180.07900000000001</v>
      </c>
      <c r="AF124" s="1">
        <v>1100.6659999999999</v>
      </c>
      <c r="AG124" s="1">
        <v>152.81399999999999</v>
      </c>
      <c r="AH124" s="1">
        <v>157.93700000000001</v>
      </c>
      <c r="AI124" s="1">
        <v>158.464</v>
      </c>
      <c r="AJ124" s="1"/>
      <c r="AK124" s="1"/>
      <c r="AL124" s="1"/>
      <c r="AM124" s="1"/>
      <c r="AN124" s="1"/>
    </row>
    <row r="125" spans="1:40" x14ac:dyDescent="0.3">
      <c r="D125" s="59" t="s">
        <v>134</v>
      </c>
      <c r="E125" s="1">
        <v>30</v>
      </c>
      <c r="F125" s="1">
        <v>514.56500000000005</v>
      </c>
      <c r="G125" s="1">
        <v>738</v>
      </c>
      <c r="H125" s="1">
        <v>288</v>
      </c>
      <c r="I125" s="1">
        <v>255</v>
      </c>
      <c r="J125" s="1">
        <v>105</v>
      </c>
      <c r="K125" s="1">
        <v>221.3</v>
      </c>
      <c r="L125" s="1">
        <v>118</v>
      </c>
      <c r="M125" s="1">
        <v>246</v>
      </c>
      <c r="N125" s="1">
        <v>213</v>
      </c>
      <c r="O125" s="1">
        <v>246.97200000000001</v>
      </c>
      <c r="P125" s="1">
        <v>1342.6369999999999</v>
      </c>
      <c r="Q125" s="1">
        <v>449.41300000000001</v>
      </c>
      <c r="R125" s="2">
        <f t="shared" si="56"/>
        <v>300.80666666666667</v>
      </c>
      <c r="AA125" s="59" t="s">
        <v>134</v>
      </c>
      <c r="AB125" s="1">
        <v>448.27600000000001</v>
      </c>
      <c r="AC125" s="1">
        <v>224.977</v>
      </c>
      <c r="AD125" s="1">
        <v>98.694999999999993</v>
      </c>
      <c r="AE125" s="1">
        <v>57.295999999999999</v>
      </c>
      <c r="AF125" s="1">
        <v>68.444999999999993</v>
      </c>
      <c r="AG125" s="1">
        <v>64.843999999999994</v>
      </c>
      <c r="AH125" s="1">
        <v>109.732</v>
      </c>
      <c r="AI125" s="1">
        <v>51.029000000000003</v>
      </c>
      <c r="AJ125" s="1"/>
      <c r="AK125" s="1"/>
      <c r="AL125" s="1"/>
      <c r="AM125" s="1"/>
      <c r="AN125" s="1"/>
    </row>
    <row r="126" spans="1:40" x14ac:dyDescent="0.3">
      <c r="D126" s="59"/>
      <c r="E126" s="1"/>
      <c r="F126" s="1"/>
      <c r="G126" s="1"/>
      <c r="H126" s="1"/>
      <c r="I126" s="1"/>
      <c r="J126" s="1"/>
      <c r="K126" s="1"/>
      <c r="L126" s="1"/>
      <c r="M126" s="1"/>
      <c r="N126" s="1"/>
      <c r="O126" s="1"/>
      <c r="P126" s="1"/>
      <c r="Q126" s="1"/>
      <c r="AA126" s="59"/>
      <c r="AB126" s="1"/>
      <c r="AC126" s="1"/>
      <c r="AD126" s="1"/>
      <c r="AE126" s="1"/>
      <c r="AF126" s="1"/>
      <c r="AG126" s="1"/>
      <c r="AH126" s="1"/>
      <c r="AI126" s="1"/>
      <c r="AJ126" s="1"/>
      <c r="AK126" s="1"/>
      <c r="AL126" s="1"/>
      <c r="AM126" s="1"/>
      <c r="AN126" s="1"/>
    </row>
    <row r="127" spans="1:40" x14ac:dyDescent="0.3">
      <c r="E127" s="62">
        <f t="shared" ref="E127:R127" si="57">SUM(E116:E125)</f>
        <v>2942.7219999999998</v>
      </c>
      <c r="F127" s="62">
        <f t="shared" si="57"/>
        <v>8679.6929999999993</v>
      </c>
      <c r="G127" s="62">
        <f t="shared" si="57"/>
        <v>8558.2639999999992</v>
      </c>
      <c r="H127" s="62">
        <f t="shared" si="57"/>
        <v>5326.799</v>
      </c>
      <c r="I127" s="62">
        <f t="shared" si="57"/>
        <v>7209.4250000000002</v>
      </c>
      <c r="J127" s="62">
        <f t="shared" si="57"/>
        <v>6351.1460000000006</v>
      </c>
      <c r="K127" s="62">
        <f t="shared" si="57"/>
        <v>6213.1050000000005</v>
      </c>
      <c r="L127" s="62">
        <f t="shared" si="57"/>
        <v>6126.7539999999999</v>
      </c>
      <c r="M127" s="62">
        <f t="shared" si="57"/>
        <v>8437.594000000001</v>
      </c>
      <c r="N127" s="62">
        <f t="shared" si="57"/>
        <v>8765.15</v>
      </c>
      <c r="O127" s="62">
        <f t="shared" si="57"/>
        <v>7227.576</v>
      </c>
      <c r="P127" s="62">
        <f t="shared" si="57"/>
        <v>11366.758000000002</v>
      </c>
      <c r="Q127" s="62">
        <f t="shared" si="57"/>
        <v>15790.703000000001</v>
      </c>
      <c r="R127" s="62">
        <f t="shared" si="57"/>
        <v>12643.638666666666</v>
      </c>
      <c r="AB127" s="62">
        <f t="shared" ref="AB127:AN127" si="58">SUM(AB116:AB125)</f>
        <v>3873.1589999999997</v>
      </c>
      <c r="AC127" s="62">
        <f t="shared" si="58"/>
        <v>2924.5799999999995</v>
      </c>
      <c r="AD127" s="62">
        <f t="shared" si="58"/>
        <v>4722.1929999999993</v>
      </c>
      <c r="AE127" s="62">
        <f t="shared" si="58"/>
        <v>2833.7719999999999</v>
      </c>
      <c r="AF127" s="62">
        <f t="shared" si="58"/>
        <v>4953.9269999999997</v>
      </c>
      <c r="AG127" s="62">
        <f t="shared" si="58"/>
        <v>2363.0789999999997</v>
      </c>
      <c r="AH127" s="62">
        <f t="shared" si="58"/>
        <v>4568.4169999999995</v>
      </c>
      <c r="AI127" s="62">
        <f t="shared" si="58"/>
        <v>2551.2330000000002</v>
      </c>
      <c r="AJ127" s="62">
        <f t="shared" si="58"/>
        <v>0</v>
      </c>
      <c r="AK127" s="62">
        <f t="shared" si="58"/>
        <v>0</v>
      </c>
      <c r="AL127" s="62">
        <f t="shared" si="58"/>
        <v>0</v>
      </c>
      <c r="AM127" s="62">
        <f t="shared" si="58"/>
        <v>0</v>
      </c>
      <c r="AN127" s="62">
        <f t="shared" si="58"/>
        <v>0</v>
      </c>
    </row>
    <row r="129" spans="2:40" x14ac:dyDescent="0.3">
      <c r="B129" t="e">
        <f ca="1">_xll.TR($B$85:$B$95,"TR.NonInterestIncomeBank(Scale=6)","Period=FY0 Frq=FY SDate=0 EDate=-12 Curn=SAR CH=Fd;periodenddate RH=IN SORTA=periodenddate",D129)</f>
        <v>#NAME?</v>
      </c>
      <c r="E129" s="59" t="s">
        <v>58</v>
      </c>
      <c r="F129" s="59" t="s">
        <v>58</v>
      </c>
      <c r="G129" s="59" t="s">
        <v>58</v>
      </c>
      <c r="H129" s="59" t="s">
        <v>58</v>
      </c>
      <c r="I129" s="59" t="s">
        <v>58</v>
      </c>
      <c r="J129" s="59" t="s">
        <v>58</v>
      </c>
      <c r="K129" s="59" t="s">
        <v>58</v>
      </c>
      <c r="L129" s="59" t="s">
        <v>58</v>
      </c>
      <c r="M129" s="59" t="s">
        <v>58</v>
      </c>
      <c r="N129" s="59" t="s">
        <v>58</v>
      </c>
      <c r="O129" s="59" t="s">
        <v>58</v>
      </c>
      <c r="P129" s="59" t="s">
        <v>58</v>
      </c>
      <c r="Q129" s="59" t="s">
        <v>58</v>
      </c>
      <c r="Y129" t="e">
        <f ca="1">_xll.TR($B$85:$B$95,"TR.NonInterestIncomeBank(Scale=6)","Period=FQ0 Frq=FQ SDate=0 EDate=-7 Curn=SAR CH=Fd;periodenddate RH=IN SORTA=periodenddate",AA129)</f>
        <v>#NAME?</v>
      </c>
      <c r="AB129" s="59" t="s">
        <v>58</v>
      </c>
      <c r="AC129" s="59" t="s">
        <v>58</v>
      </c>
      <c r="AD129" s="59" t="s">
        <v>58</v>
      </c>
      <c r="AE129" s="59" t="s">
        <v>58</v>
      </c>
      <c r="AF129" s="59" t="s">
        <v>58</v>
      </c>
      <c r="AG129" s="59" t="s">
        <v>58</v>
      </c>
      <c r="AH129" s="59" t="s">
        <v>58</v>
      </c>
      <c r="AI129" s="59" t="s">
        <v>58</v>
      </c>
      <c r="AJ129" s="59"/>
      <c r="AK129" s="59"/>
      <c r="AL129" s="59"/>
      <c r="AM129" s="59"/>
      <c r="AN129" s="59"/>
    </row>
    <row r="130" spans="2:40" x14ac:dyDescent="0.3">
      <c r="E130" s="58">
        <v>39813</v>
      </c>
      <c r="F130" s="58">
        <v>40178</v>
      </c>
      <c r="G130" s="58">
        <v>40543</v>
      </c>
      <c r="H130" s="58">
        <v>40908</v>
      </c>
      <c r="I130" s="58">
        <v>41274</v>
      </c>
      <c r="J130" s="58">
        <v>41639</v>
      </c>
      <c r="K130" s="58">
        <v>42004</v>
      </c>
      <c r="L130" s="58">
        <v>42369</v>
      </c>
      <c r="M130" s="58">
        <v>42735</v>
      </c>
      <c r="N130" s="58">
        <v>43100</v>
      </c>
      <c r="O130" s="58">
        <v>43465</v>
      </c>
      <c r="P130" s="58">
        <v>43830</v>
      </c>
      <c r="Q130" s="58">
        <v>44196</v>
      </c>
      <c r="AB130" s="58">
        <v>43830</v>
      </c>
      <c r="AC130" s="58">
        <v>43921</v>
      </c>
      <c r="AD130" s="58">
        <v>44012</v>
      </c>
      <c r="AE130" s="58">
        <v>44104</v>
      </c>
      <c r="AF130" s="58">
        <v>44196</v>
      </c>
      <c r="AG130" s="58">
        <v>44286</v>
      </c>
      <c r="AH130" s="58">
        <v>44377</v>
      </c>
      <c r="AI130" s="58">
        <v>44469</v>
      </c>
      <c r="AJ130" s="58"/>
      <c r="AK130" s="58"/>
      <c r="AL130" s="58"/>
      <c r="AM130" s="58"/>
      <c r="AN130" s="58"/>
    </row>
    <row r="131" spans="2:40" x14ac:dyDescent="0.3">
      <c r="D131" s="59" t="s">
        <v>115</v>
      </c>
      <c r="E131" s="1">
        <v>2080.826</v>
      </c>
      <c r="F131" s="1">
        <v>2151.2600000000002</v>
      </c>
      <c r="G131" s="1">
        <v>2538.7150000000001</v>
      </c>
      <c r="H131" s="1">
        <v>3432.1759999999999</v>
      </c>
      <c r="I131" s="1">
        <v>1555.925</v>
      </c>
      <c r="J131" s="1">
        <v>5090.7650000000003</v>
      </c>
      <c r="K131" s="1">
        <v>4759.21</v>
      </c>
      <c r="L131" s="1">
        <v>4887.6450000000004</v>
      </c>
      <c r="M131" s="1">
        <v>5247.1790000000001</v>
      </c>
      <c r="N131" s="1">
        <v>5211.491</v>
      </c>
      <c r="O131" s="1">
        <v>3675.5590000000002</v>
      </c>
      <c r="P131" s="1">
        <v>3929.5439999999999</v>
      </c>
      <c r="Q131" s="1">
        <v>4430.9520000000002</v>
      </c>
      <c r="R131" s="2">
        <f t="shared" ref="R131:R140" si="59">SUM(AG131:AI131)*4/3</f>
        <v>5099.3266666666668</v>
      </c>
      <c r="AA131" s="59" t="s">
        <v>115</v>
      </c>
      <c r="AB131" s="1">
        <v>743.72699999999998</v>
      </c>
      <c r="AC131" s="1">
        <v>857.08</v>
      </c>
      <c r="AD131" s="1">
        <v>840.06899999999996</v>
      </c>
      <c r="AE131" s="1">
        <v>955.67899999999997</v>
      </c>
      <c r="AF131" s="1">
        <v>1155.4159999999999</v>
      </c>
      <c r="AG131" s="1">
        <v>1177.0329999999999</v>
      </c>
      <c r="AH131" s="1">
        <v>1284.54</v>
      </c>
      <c r="AI131" s="1">
        <v>1362.922</v>
      </c>
      <c r="AJ131" s="1"/>
      <c r="AK131" s="1"/>
      <c r="AL131" s="1"/>
      <c r="AM131" s="1"/>
      <c r="AN131" s="1"/>
    </row>
    <row r="132" spans="2:40" x14ac:dyDescent="0.3">
      <c r="D132" s="59" t="s">
        <v>118</v>
      </c>
      <c r="E132" s="1">
        <v>3856.6950000000002</v>
      </c>
      <c r="F132" s="1">
        <v>3219.777</v>
      </c>
      <c r="G132" s="1">
        <v>3336.3389999999999</v>
      </c>
      <c r="H132" s="1">
        <v>3643.672</v>
      </c>
      <c r="I132" s="1">
        <v>4552.8919999999998</v>
      </c>
      <c r="J132" s="1">
        <v>4776.5630000000001</v>
      </c>
      <c r="K132" s="1">
        <v>5158.5569999999998</v>
      </c>
      <c r="L132" s="1">
        <v>5599.5739999999996</v>
      </c>
      <c r="M132" s="1">
        <v>6020.6080000000002</v>
      </c>
      <c r="N132" s="1">
        <v>5767.4709999999995</v>
      </c>
      <c r="O132" s="1">
        <v>4844.9489999999996</v>
      </c>
      <c r="P132" s="1">
        <v>5178.598</v>
      </c>
      <c r="Q132" s="1">
        <v>6436.98</v>
      </c>
      <c r="R132" s="2">
        <f t="shared" si="59"/>
        <v>7644.7959999999994</v>
      </c>
      <c r="AA132" s="59" t="s">
        <v>118</v>
      </c>
      <c r="AB132" s="1">
        <v>747.39499999999998</v>
      </c>
      <c r="AC132" s="1">
        <v>1363.01</v>
      </c>
      <c r="AD132" s="1">
        <v>925.61900000000003</v>
      </c>
      <c r="AE132" s="1">
        <v>1924.37</v>
      </c>
      <c r="AF132" s="1">
        <v>1344.242</v>
      </c>
      <c r="AG132" s="1">
        <v>1849.248</v>
      </c>
      <c r="AH132" s="1">
        <v>1940.9949999999999</v>
      </c>
      <c r="AI132" s="1">
        <v>1943.354</v>
      </c>
      <c r="AJ132" s="1"/>
      <c r="AK132" s="1"/>
      <c r="AL132" s="1"/>
      <c r="AM132" s="1"/>
      <c r="AN132" s="1"/>
    </row>
    <row r="133" spans="2:40" x14ac:dyDescent="0.3">
      <c r="D133" s="59" t="s">
        <v>120</v>
      </c>
      <c r="E133" s="1">
        <v>1584.07</v>
      </c>
      <c r="F133" s="1">
        <v>1618.855</v>
      </c>
      <c r="G133" s="1">
        <v>1844.616</v>
      </c>
      <c r="H133" s="1">
        <v>2128.518</v>
      </c>
      <c r="I133" s="1">
        <v>2820.2869999999998</v>
      </c>
      <c r="J133" s="1">
        <v>2807.7190000000001</v>
      </c>
      <c r="K133" s="1">
        <v>3373.0070000000001</v>
      </c>
      <c r="L133" s="1">
        <v>3284.2919999999999</v>
      </c>
      <c r="M133" s="1">
        <v>2978.777</v>
      </c>
      <c r="N133" s="1">
        <v>2836.4630000000002</v>
      </c>
      <c r="O133" s="1">
        <v>3039.8</v>
      </c>
      <c r="P133" s="1">
        <v>3730.232</v>
      </c>
      <c r="Q133" s="1">
        <v>3847.549</v>
      </c>
      <c r="R133" s="2">
        <f t="shared" si="59"/>
        <v>3661.5466666666666</v>
      </c>
      <c r="AA133" s="59" t="s">
        <v>120</v>
      </c>
      <c r="AB133" s="1">
        <v>913.17499999999995</v>
      </c>
      <c r="AC133" s="1">
        <v>1117.0830000000001</v>
      </c>
      <c r="AD133" s="1">
        <v>746.44500000000005</v>
      </c>
      <c r="AE133" s="1">
        <v>981.25800000000004</v>
      </c>
      <c r="AF133" s="1">
        <v>1004.372</v>
      </c>
      <c r="AG133" s="1">
        <v>934.93299999999999</v>
      </c>
      <c r="AH133" s="1">
        <v>840.774</v>
      </c>
      <c r="AI133" s="1">
        <v>970.45299999999997</v>
      </c>
      <c r="AJ133" s="1"/>
      <c r="AK133" s="1"/>
      <c r="AL133" s="1"/>
      <c r="AM133" s="1"/>
      <c r="AN133" s="1"/>
    </row>
    <row r="134" spans="2:40" x14ac:dyDescent="0.3">
      <c r="D134" s="59" t="s">
        <v>122</v>
      </c>
      <c r="E134" s="1">
        <v>1746.807</v>
      </c>
      <c r="F134" s="1">
        <v>1716.952</v>
      </c>
      <c r="G134" s="1">
        <v>1596.2840000000001</v>
      </c>
      <c r="H134" s="1">
        <v>1876.2550000000001</v>
      </c>
      <c r="I134" s="1">
        <v>1895.771</v>
      </c>
      <c r="J134" s="1">
        <v>2451.7950000000001</v>
      </c>
      <c r="K134" s="1">
        <v>2787.7170000000001</v>
      </c>
      <c r="L134" s="1">
        <v>2798.3620000000001</v>
      </c>
      <c r="M134" s="1">
        <v>2531.8649999999998</v>
      </c>
      <c r="N134" s="1">
        <v>2500.66</v>
      </c>
      <c r="O134" s="1">
        <v>2360.0720000000001</v>
      </c>
      <c r="P134" s="1">
        <v>2841.078</v>
      </c>
      <c r="Q134" s="1">
        <v>2929.9749999999999</v>
      </c>
      <c r="R134" s="2">
        <f t="shared" si="59"/>
        <v>3503.8173333333339</v>
      </c>
      <c r="AA134" s="59" t="s">
        <v>122</v>
      </c>
      <c r="AB134" s="1">
        <v>602.64</v>
      </c>
      <c r="AC134" s="1">
        <v>839.83100000000002</v>
      </c>
      <c r="AD134" s="1">
        <v>518.84199999999998</v>
      </c>
      <c r="AE134" s="1">
        <v>739.37099999999998</v>
      </c>
      <c r="AF134" s="1">
        <v>576.197</v>
      </c>
      <c r="AG134" s="1">
        <v>894.52700000000004</v>
      </c>
      <c r="AH134" s="1">
        <v>839.11500000000001</v>
      </c>
      <c r="AI134" s="1">
        <v>894.221</v>
      </c>
      <c r="AJ134" s="1"/>
      <c r="AK134" s="1"/>
      <c r="AL134" s="1"/>
      <c r="AM134" s="1"/>
      <c r="AN134" s="1"/>
    </row>
    <row r="135" spans="2:40" x14ac:dyDescent="0.3">
      <c r="D135" s="59" t="s">
        <v>124</v>
      </c>
      <c r="E135" s="1">
        <v>1571.0509999999999</v>
      </c>
      <c r="F135" s="1">
        <v>1244.6179999999999</v>
      </c>
      <c r="G135" s="1">
        <v>1329.3720000000001</v>
      </c>
      <c r="H135" s="1">
        <v>1447.703</v>
      </c>
      <c r="I135" s="1">
        <v>1703.7739999999999</v>
      </c>
      <c r="J135" s="1">
        <v>1793.338</v>
      </c>
      <c r="K135" s="1">
        <v>2091.0929999999998</v>
      </c>
      <c r="L135" s="1">
        <v>2355.355</v>
      </c>
      <c r="M135" s="1">
        <v>2310.3960000000002</v>
      </c>
      <c r="N135" s="1">
        <v>2086.5149999999999</v>
      </c>
      <c r="O135" s="1">
        <v>2048.6509999999998</v>
      </c>
      <c r="P135" s="1">
        <v>1970.356</v>
      </c>
      <c r="Q135" s="1">
        <v>2152.0459999999998</v>
      </c>
      <c r="R135" s="2">
        <f t="shared" si="59"/>
        <v>2416.3386666666665</v>
      </c>
      <c r="AA135" s="59" t="s">
        <v>124</v>
      </c>
      <c r="AB135" s="1">
        <v>531.33100000000002</v>
      </c>
      <c r="AC135" s="1">
        <v>556.54</v>
      </c>
      <c r="AD135" s="1">
        <v>582.90200000000004</v>
      </c>
      <c r="AE135" s="1">
        <v>443.18299999999999</v>
      </c>
      <c r="AF135" s="1">
        <v>668.95299999999997</v>
      </c>
      <c r="AG135" s="1">
        <v>648.99199999999996</v>
      </c>
      <c r="AH135" s="1">
        <v>557.68499999999995</v>
      </c>
      <c r="AI135" s="1">
        <v>605.577</v>
      </c>
      <c r="AJ135" s="1"/>
      <c r="AK135" s="1"/>
      <c r="AL135" s="1"/>
      <c r="AM135" s="1"/>
      <c r="AN135" s="1"/>
    </row>
    <row r="136" spans="2:40" x14ac:dyDescent="0.3">
      <c r="D136" s="59" t="s">
        <v>126</v>
      </c>
      <c r="E136" s="1">
        <v>484.63200000000001</v>
      </c>
      <c r="F136" s="1">
        <v>8.4819999999999993</v>
      </c>
      <c r="G136" s="1">
        <v>137.077</v>
      </c>
      <c r="H136" s="1">
        <v>276.26</v>
      </c>
      <c r="I136" s="1">
        <v>292.577</v>
      </c>
      <c r="J136" s="1">
        <v>427.50599999999997</v>
      </c>
      <c r="K136" s="1">
        <v>547.97500000000002</v>
      </c>
      <c r="L136" s="1">
        <v>801.75900000000001</v>
      </c>
      <c r="M136" s="1">
        <v>676.947</v>
      </c>
      <c r="N136" s="1">
        <v>875.37900000000002</v>
      </c>
      <c r="O136" s="1">
        <v>1302.7909999999999</v>
      </c>
      <c r="P136" s="1">
        <v>1593.6220000000001</v>
      </c>
      <c r="Q136" s="1">
        <v>1564.6130000000001</v>
      </c>
      <c r="R136" s="2">
        <f t="shared" si="59"/>
        <v>1986.0720000000001</v>
      </c>
      <c r="AA136" s="59" t="s">
        <v>126</v>
      </c>
      <c r="AB136" s="1">
        <v>458.62900000000002</v>
      </c>
      <c r="AC136" s="1">
        <v>372.35700000000003</v>
      </c>
      <c r="AD136" s="1">
        <v>286.92200000000003</v>
      </c>
      <c r="AE136" s="1">
        <v>390.20299999999997</v>
      </c>
      <c r="AF136" s="1">
        <v>515.32399999999996</v>
      </c>
      <c r="AG136" s="1">
        <v>505.89100000000002</v>
      </c>
      <c r="AH136" s="1">
        <v>539.952</v>
      </c>
      <c r="AI136" s="1">
        <v>443.71100000000001</v>
      </c>
      <c r="AJ136" s="1"/>
      <c r="AK136" s="1"/>
      <c r="AL136" s="1"/>
      <c r="AM136" s="1"/>
      <c r="AN136" s="1"/>
    </row>
    <row r="137" spans="2:40" x14ac:dyDescent="0.3">
      <c r="D137" s="59" t="s">
        <v>130</v>
      </c>
      <c r="E137" s="1">
        <v>310.11099999999999</v>
      </c>
      <c r="F137" s="1">
        <v>360.94099999999997</v>
      </c>
      <c r="G137" s="1">
        <v>474.387</v>
      </c>
      <c r="H137" s="1">
        <v>670.52200000000005</v>
      </c>
      <c r="I137" s="1">
        <v>1271.0329999999999</v>
      </c>
      <c r="J137" s="1">
        <v>1055.1020000000001</v>
      </c>
      <c r="K137" s="1">
        <v>1165.075</v>
      </c>
      <c r="L137" s="1">
        <v>1253.117</v>
      </c>
      <c r="M137" s="1">
        <v>1325.2639999999999</v>
      </c>
      <c r="N137" s="1">
        <v>1373.846</v>
      </c>
      <c r="O137" s="1">
        <v>1552.521</v>
      </c>
      <c r="P137" s="1">
        <v>1417.9469999999999</v>
      </c>
      <c r="Q137" s="1">
        <v>1356.3320000000001</v>
      </c>
      <c r="R137" s="2">
        <f t="shared" si="59"/>
        <v>1260.0946666666666</v>
      </c>
      <c r="AA137" s="59" t="s">
        <v>130</v>
      </c>
      <c r="AB137" s="1">
        <v>269.92200000000003</v>
      </c>
      <c r="AC137" s="1">
        <v>260.89600000000002</v>
      </c>
      <c r="AD137" s="1">
        <v>222.995</v>
      </c>
      <c r="AE137" s="1">
        <v>273.21100000000001</v>
      </c>
      <c r="AF137" s="1">
        <v>298.10899999999998</v>
      </c>
      <c r="AG137" s="1">
        <v>335.61</v>
      </c>
      <c r="AH137" s="1">
        <v>362.54199999999997</v>
      </c>
      <c r="AI137" s="1">
        <v>246.91900000000001</v>
      </c>
      <c r="AJ137" s="1"/>
      <c r="AK137" s="1"/>
      <c r="AL137" s="1"/>
      <c r="AM137" s="1"/>
      <c r="AN137" s="1"/>
    </row>
    <row r="138" spans="2:40" x14ac:dyDescent="0.3">
      <c r="D138" s="59" t="s">
        <v>128</v>
      </c>
      <c r="E138" s="1">
        <v>781.65099999999995</v>
      </c>
      <c r="F138" s="1">
        <v>1037.1759999999999</v>
      </c>
      <c r="G138" s="1">
        <v>1346.2280000000001</v>
      </c>
      <c r="H138" s="1">
        <v>1360.4949999999999</v>
      </c>
      <c r="I138" s="1">
        <v>1939.357</v>
      </c>
      <c r="J138" s="1">
        <v>2221.627</v>
      </c>
      <c r="K138" s="1">
        <v>2399.3420000000001</v>
      </c>
      <c r="L138" s="1">
        <v>2636.0079999999998</v>
      </c>
      <c r="M138" s="1">
        <v>2494.54</v>
      </c>
      <c r="N138" s="1">
        <v>2468.895</v>
      </c>
      <c r="O138" s="1">
        <v>2081.444</v>
      </c>
      <c r="P138" s="1">
        <v>1836.4849999999999</v>
      </c>
      <c r="Q138" s="1">
        <v>1849.4649999999999</v>
      </c>
      <c r="R138" s="2">
        <f t="shared" si="59"/>
        <v>934.06</v>
      </c>
      <c r="AA138" s="59" t="s">
        <v>128</v>
      </c>
      <c r="AB138" s="1">
        <v>300.78100000000001</v>
      </c>
      <c r="AC138" s="1">
        <v>302.44600000000003</v>
      </c>
      <c r="AD138" s="1">
        <v>269.255</v>
      </c>
      <c r="AE138" s="1">
        <v>524.45100000000002</v>
      </c>
      <c r="AF138" s="1">
        <v>76.408000000000001</v>
      </c>
      <c r="AG138" s="1">
        <v>188.05699999999999</v>
      </c>
      <c r="AH138" s="1">
        <v>269.31599999999997</v>
      </c>
      <c r="AI138" s="1">
        <v>243.172</v>
      </c>
      <c r="AJ138" s="1"/>
      <c r="AK138" s="1"/>
      <c r="AL138" s="1"/>
      <c r="AM138" s="1"/>
      <c r="AN138" s="1"/>
    </row>
    <row r="139" spans="2:40" x14ac:dyDescent="0.3">
      <c r="D139" s="59" t="s">
        <v>132</v>
      </c>
      <c r="E139" s="1">
        <v>505.12299999999999</v>
      </c>
      <c r="F139" s="1">
        <v>503.255</v>
      </c>
      <c r="G139" s="1">
        <v>437.81299999999999</v>
      </c>
      <c r="H139" s="1">
        <v>426.63499999999999</v>
      </c>
      <c r="I139" s="1">
        <v>782.19399999999996</v>
      </c>
      <c r="J139" s="1">
        <v>705.53499999999997</v>
      </c>
      <c r="K139" s="1">
        <v>919.62900000000002</v>
      </c>
      <c r="L139" s="1">
        <v>1421.231</v>
      </c>
      <c r="M139" s="1">
        <v>1059.6849999999999</v>
      </c>
      <c r="N139" s="1">
        <v>938.35500000000002</v>
      </c>
      <c r="O139" s="1">
        <v>1077.5229999999999</v>
      </c>
      <c r="P139" s="1">
        <v>1265.2860000000001</v>
      </c>
      <c r="Q139" s="1">
        <v>1330.761</v>
      </c>
      <c r="R139" s="2">
        <f t="shared" si="59"/>
        <v>1523.2346666666665</v>
      </c>
      <c r="AA139" s="59" t="s">
        <v>132</v>
      </c>
      <c r="AB139" s="1">
        <v>372.75599999999997</v>
      </c>
      <c r="AC139" s="1">
        <v>324.89400000000001</v>
      </c>
      <c r="AD139" s="1">
        <v>270.53199999999998</v>
      </c>
      <c r="AE139" s="1">
        <v>308.88499999999999</v>
      </c>
      <c r="AF139" s="1">
        <v>428.13</v>
      </c>
      <c r="AG139" s="1">
        <v>446.36399999999998</v>
      </c>
      <c r="AH139" s="1">
        <v>380.26499999999999</v>
      </c>
      <c r="AI139" s="1">
        <v>315.79700000000003</v>
      </c>
      <c r="AJ139" s="1"/>
      <c r="AK139" s="1"/>
      <c r="AL139" s="1"/>
      <c r="AM139" s="1"/>
      <c r="AN139" s="1"/>
    </row>
    <row r="140" spans="2:40" x14ac:dyDescent="0.3">
      <c r="D140" s="59" t="s">
        <v>134</v>
      </c>
      <c r="E140" s="1">
        <v>801.64599999999996</v>
      </c>
      <c r="F140" s="1">
        <v>376.286</v>
      </c>
      <c r="G140" s="1">
        <v>433.85199999999998</v>
      </c>
      <c r="H140" s="1">
        <v>369.50799999999998</v>
      </c>
      <c r="I140" s="1">
        <v>389.65100000000001</v>
      </c>
      <c r="J140" s="1">
        <v>677.90800000000002</v>
      </c>
      <c r="K140" s="1">
        <v>1045.45</v>
      </c>
      <c r="L140" s="1">
        <v>840.42899999999997</v>
      </c>
      <c r="M140" s="1">
        <v>812.3</v>
      </c>
      <c r="N140" s="1">
        <v>607.30700000000002</v>
      </c>
      <c r="O140" s="1">
        <v>710.12</v>
      </c>
      <c r="P140" s="1">
        <v>750.51700000000005</v>
      </c>
      <c r="Q140" s="1">
        <v>813.82399999999996</v>
      </c>
      <c r="R140" s="2">
        <f t="shared" si="59"/>
        <v>606.5813333333333</v>
      </c>
      <c r="AA140" s="59" t="s">
        <v>134</v>
      </c>
      <c r="AB140" s="1">
        <v>154.625</v>
      </c>
      <c r="AC140" s="1">
        <v>160.04599999999999</v>
      </c>
      <c r="AD140" s="1">
        <v>117.383</v>
      </c>
      <c r="AE140" s="1">
        <v>161.47399999999999</v>
      </c>
      <c r="AF140" s="1">
        <v>215.79400000000001</v>
      </c>
      <c r="AG140" s="1">
        <v>130.256</v>
      </c>
      <c r="AH140" s="1">
        <v>184.14099999999999</v>
      </c>
      <c r="AI140" s="1">
        <v>140.53899999999999</v>
      </c>
      <c r="AJ140" s="1"/>
      <c r="AK140" s="1"/>
      <c r="AL140" s="1"/>
      <c r="AM140" s="1"/>
      <c r="AN140" s="1"/>
    </row>
    <row r="141" spans="2:40" x14ac:dyDescent="0.3">
      <c r="D141" s="59"/>
      <c r="E141" s="1"/>
      <c r="F141" s="1"/>
      <c r="G141" s="1"/>
      <c r="H141" s="1"/>
      <c r="I141" s="1"/>
      <c r="J141" s="1"/>
      <c r="K141" s="1"/>
      <c r="L141" s="1"/>
      <c r="M141" s="1"/>
      <c r="N141" s="1"/>
      <c r="O141" s="1"/>
      <c r="P141" s="1"/>
      <c r="Q141" s="1"/>
      <c r="AA141" s="59"/>
      <c r="AB141" s="1"/>
      <c r="AC141" s="1"/>
      <c r="AD141" s="1"/>
      <c r="AE141" s="1"/>
      <c r="AF141" s="1"/>
      <c r="AG141" s="1"/>
      <c r="AH141" s="1"/>
      <c r="AI141" s="1"/>
      <c r="AJ141" s="1"/>
      <c r="AK141" s="1"/>
      <c r="AL141" s="1"/>
      <c r="AM141" s="1"/>
      <c r="AN141" s="1"/>
    </row>
    <row r="142" spans="2:40" x14ac:dyDescent="0.3">
      <c r="E142" s="62">
        <f t="shared" ref="E142:R142" si="60">SUM(E131:E140)</f>
        <v>13722.612000000001</v>
      </c>
      <c r="F142" s="62">
        <f t="shared" si="60"/>
        <v>12237.601999999999</v>
      </c>
      <c r="G142" s="62">
        <f t="shared" si="60"/>
        <v>13474.683000000001</v>
      </c>
      <c r="H142" s="62">
        <f t="shared" si="60"/>
        <v>15631.743999999999</v>
      </c>
      <c r="I142" s="62">
        <f t="shared" si="60"/>
        <v>17203.460999999999</v>
      </c>
      <c r="J142" s="62">
        <f t="shared" si="60"/>
        <v>22007.858000000004</v>
      </c>
      <c r="K142" s="62">
        <f t="shared" si="60"/>
        <v>24247.055</v>
      </c>
      <c r="L142" s="62">
        <f t="shared" si="60"/>
        <v>25877.772000000001</v>
      </c>
      <c r="M142" s="62">
        <f t="shared" si="60"/>
        <v>25457.561000000002</v>
      </c>
      <c r="N142" s="62">
        <f t="shared" si="60"/>
        <v>24666.382000000001</v>
      </c>
      <c r="O142" s="62">
        <f t="shared" si="60"/>
        <v>22693.43</v>
      </c>
      <c r="P142" s="62">
        <f t="shared" si="60"/>
        <v>24513.665000000001</v>
      </c>
      <c r="Q142" s="62">
        <f t="shared" si="60"/>
        <v>26712.496999999996</v>
      </c>
      <c r="R142" s="62">
        <f t="shared" si="60"/>
        <v>28635.867999999999</v>
      </c>
      <c r="AB142" s="62">
        <f t="shared" ref="AB142:AN142" si="61">SUM(AB131:AB140)</f>
        <v>5094.9809999999998</v>
      </c>
      <c r="AC142" s="62">
        <f t="shared" si="61"/>
        <v>6154.183</v>
      </c>
      <c r="AD142" s="62">
        <f t="shared" si="61"/>
        <v>4780.9640000000009</v>
      </c>
      <c r="AE142" s="62">
        <f t="shared" si="61"/>
        <v>6702.0850000000009</v>
      </c>
      <c r="AF142" s="62">
        <f t="shared" si="61"/>
        <v>6282.9450000000006</v>
      </c>
      <c r="AG142" s="62">
        <f t="shared" si="61"/>
        <v>7110.9109999999991</v>
      </c>
      <c r="AH142" s="62">
        <f t="shared" si="61"/>
        <v>7199.3250000000007</v>
      </c>
      <c r="AI142" s="62">
        <f t="shared" si="61"/>
        <v>7166.6649999999981</v>
      </c>
      <c r="AJ142" s="62">
        <f t="shared" si="61"/>
        <v>0</v>
      </c>
      <c r="AK142" s="62">
        <f t="shared" si="61"/>
        <v>0</v>
      </c>
      <c r="AL142" s="62">
        <f t="shared" si="61"/>
        <v>0</v>
      </c>
      <c r="AM142" s="62">
        <f t="shared" si="61"/>
        <v>0</v>
      </c>
      <c r="AN142" s="62">
        <f t="shared" si="61"/>
        <v>0</v>
      </c>
    </row>
    <row r="144" spans="2:40" x14ac:dyDescent="0.3">
      <c r="B144" t="e">
        <f ca="1">_xll.TR($B$85:$B$95,"TR.NonInterestExpenseBank(Scale=6)","Period=FY0 Frq=FY SDate=0 EDate=-12 Curn=SAR CH=Fd;periodenddate RH=IN SORTA=periodenddate",D144)</f>
        <v>#NAME?</v>
      </c>
      <c r="E144" s="59" t="s">
        <v>59</v>
      </c>
      <c r="F144" s="59" t="s">
        <v>59</v>
      </c>
      <c r="G144" s="59" t="s">
        <v>59</v>
      </c>
      <c r="H144" s="59" t="s">
        <v>59</v>
      </c>
      <c r="I144" s="59" t="s">
        <v>59</v>
      </c>
      <c r="J144" s="59" t="s">
        <v>59</v>
      </c>
      <c r="K144" s="59" t="s">
        <v>59</v>
      </c>
      <c r="L144" s="59" t="s">
        <v>59</v>
      </c>
      <c r="M144" s="59" t="s">
        <v>59</v>
      </c>
      <c r="N144" s="59" t="s">
        <v>59</v>
      </c>
      <c r="O144" s="59" t="s">
        <v>59</v>
      </c>
      <c r="P144" s="59" t="s">
        <v>59</v>
      </c>
      <c r="Q144" s="59" t="s">
        <v>59</v>
      </c>
      <c r="Y144" t="e">
        <f ca="1">_xll.TR($B$85:$B$95,"TR.NonInterestExpenseBank(Scale=6)","Period=FQ0 Frq=FQ SDate=0 EDate=-7 Curn=SAR CH=Fd;periodenddate RH=IN SORTA=periodenddate",AA144)</f>
        <v>#NAME?</v>
      </c>
      <c r="AB144" s="59" t="s">
        <v>59</v>
      </c>
      <c r="AC144" s="59" t="s">
        <v>59</v>
      </c>
      <c r="AD144" s="59" t="s">
        <v>59</v>
      </c>
      <c r="AE144" s="59" t="s">
        <v>59</v>
      </c>
      <c r="AF144" s="59" t="s">
        <v>59</v>
      </c>
      <c r="AG144" s="59" t="s">
        <v>59</v>
      </c>
      <c r="AH144" s="59" t="s">
        <v>59</v>
      </c>
      <c r="AI144" s="59" t="s">
        <v>59</v>
      </c>
      <c r="AJ144" s="59"/>
      <c r="AK144" s="59"/>
      <c r="AL144" s="59"/>
      <c r="AM144" s="59"/>
      <c r="AN144" s="59"/>
    </row>
    <row r="145" spans="1:40" x14ac:dyDescent="0.3">
      <c r="E145" s="58">
        <v>39813</v>
      </c>
      <c r="F145" s="58">
        <v>40178</v>
      </c>
      <c r="G145" s="58">
        <v>40543</v>
      </c>
      <c r="H145" s="58">
        <v>40908</v>
      </c>
      <c r="I145" s="58">
        <v>41274</v>
      </c>
      <c r="J145" s="58">
        <v>41639</v>
      </c>
      <c r="K145" s="58">
        <v>42004</v>
      </c>
      <c r="L145" s="58">
        <v>42369</v>
      </c>
      <c r="M145" s="58">
        <v>42735</v>
      </c>
      <c r="N145" s="58">
        <v>43100</v>
      </c>
      <c r="O145" s="58">
        <v>43465</v>
      </c>
      <c r="P145" s="58">
        <v>43830</v>
      </c>
      <c r="Q145" s="58">
        <v>44196</v>
      </c>
      <c r="AB145" s="58">
        <v>43830</v>
      </c>
      <c r="AC145" s="58">
        <v>43921</v>
      </c>
      <c r="AD145" s="58">
        <v>44012</v>
      </c>
      <c r="AE145" s="58">
        <v>44104</v>
      </c>
      <c r="AF145" s="58">
        <v>44196</v>
      </c>
      <c r="AG145" s="58">
        <v>44286</v>
      </c>
      <c r="AH145" s="58">
        <v>44377</v>
      </c>
      <c r="AI145" s="58">
        <v>44469</v>
      </c>
      <c r="AJ145" s="58"/>
      <c r="AK145" s="58"/>
      <c r="AL145" s="58"/>
      <c r="AM145" s="58"/>
      <c r="AN145" s="58"/>
    </row>
    <row r="146" spans="1:40" x14ac:dyDescent="0.3">
      <c r="D146" s="59" t="s">
        <v>115</v>
      </c>
      <c r="E146" s="1">
        <v>-2930.3960000000002</v>
      </c>
      <c r="F146" s="1">
        <v>-3017.7840000000001</v>
      </c>
      <c r="G146" s="1">
        <v>-2981.4850000000001</v>
      </c>
      <c r="H146" s="1">
        <v>-3478.7089999999998</v>
      </c>
      <c r="I146" s="1">
        <v>-4553.1350000000002</v>
      </c>
      <c r="J146" s="1">
        <v>-4952.1549999999997</v>
      </c>
      <c r="K146" s="1">
        <v>-5428.1790000000001</v>
      </c>
      <c r="L146" s="1">
        <v>-5758.4870000000001</v>
      </c>
      <c r="M146" s="1">
        <v>-6202.0640000000003</v>
      </c>
      <c r="N146" s="1">
        <v>-6572.6049999999996</v>
      </c>
      <c r="O146" s="1">
        <v>-6495.6959999999999</v>
      </c>
      <c r="P146" s="1">
        <v>-7258.6440000000002</v>
      </c>
      <c r="Q146" s="1">
        <v>-7364.61</v>
      </c>
      <c r="R146" s="2">
        <f t="shared" ref="R146:R155" si="62">SUM(AG146:AI146)*4/3</f>
        <v>-6847.4293333333335</v>
      </c>
      <c r="AA146" s="59" t="s">
        <v>115</v>
      </c>
      <c r="AB146" s="1">
        <v>-1907.704</v>
      </c>
      <c r="AC146" s="1">
        <v>-1620.979</v>
      </c>
      <c r="AD146" s="1">
        <v>-1633.65</v>
      </c>
      <c r="AE146" s="1">
        <v>-1723.8</v>
      </c>
      <c r="AF146" s="1">
        <v>-1763.473</v>
      </c>
      <c r="AG146" s="1">
        <v>-1651.6579999999999</v>
      </c>
      <c r="AH146" s="1">
        <v>-1729.921</v>
      </c>
      <c r="AI146" s="1">
        <v>-1753.9929999999999</v>
      </c>
      <c r="AJ146" s="1"/>
      <c r="AK146" s="1"/>
      <c r="AL146" s="1"/>
      <c r="AM146" s="1"/>
      <c r="AN146" s="1"/>
    </row>
    <row r="147" spans="1:40" x14ac:dyDescent="0.3">
      <c r="D147" s="59" t="s">
        <v>118</v>
      </c>
      <c r="E147" s="1">
        <v>-8796.1880000000001</v>
      </c>
      <c r="F147" s="1">
        <v>-4670.3360000000002</v>
      </c>
      <c r="G147" s="1">
        <v>-4851.1769999999997</v>
      </c>
      <c r="H147" s="1">
        <v>-5085.6620000000003</v>
      </c>
      <c r="I147" s="1">
        <v>-5463.1360000000004</v>
      </c>
      <c r="J147" s="1">
        <v>-6088.4459999999999</v>
      </c>
      <c r="K147" s="1">
        <v>-6774.0290000000005</v>
      </c>
      <c r="L147" s="1">
        <v>-7432.6319999999996</v>
      </c>
      <c r="M147" s="1">
        <v>-8223.3880000000008</v>
      </c>
      <c r="N147" s="1">
        <v>-7570.9309999999996</v>
      </c>
      <c r="O147" s="1">
        <v>-7707.8789999999999</v>
      </c>
      <c r="P147" s="1">
        <v>-7222.5429999999997</v>
      </c>
      <c r="Q147" s="1">
        <v>-7852.4189999999999</v>
      </c>
      <c r="R147" s="2">
        <f t="shared" si="62"/>
        <v>-10276.406666666668</v>
      </c>
      <c r="AA147" s="59" t="s">
        <v>118</v>
      </c>
      <c r="AB147" s="1">
        <v>-1457.729</v>
      </c>
      <c r="AC147" s="1">
        <v>-1856.9079999999999</v>
      </c>
      <c r="AD147" s="1">
        <v>-1667.308</v>
      </c>
      <c r="AE147" s="1">
        <v>-1830.771</v>
      </c>
      <c r="AF147" s="1">
        <v>-1762.3130000000001</v>
      </c>
      <c r="AG147" s="1">
        <v>-1893.818</v>
      </c>
      <c r="AH147" s="1">
        <v>-2848.5740000000001</v>
      </c>
      <c r="AI147" s="1">
        <v>-2964.913</v>
      </c>
      <c r="AJ147" s="1"/>
      <c r="AK147" s="1"/>
      <c r="AL147" s="1"/>
      <c r="AM147" s="1"/>
      <c r="AN147" s="1"/>
    </row>
    <row r="148" spans="1:40" x14ac:dyDescent="0.3">
      <c r="D148" s="59" t="s">
        <v>120</v>
      </c>
      <c r="E148" s="1">
        <v>-2543.0569999999998</v>
      </c>
      <c r="F148" s="1">
        <v>-2317.0169999999998</v>
      </c>
      <c r="G148" s="1">
        <v>-2226.7020000000002</v>
      </c>
      <c r="H148" s="1">
        <v>-2514.4870000000001</v>
      </c>
      <c r="I148" s="1">
        <v>-2635.4679999999998</v>
      </c>
      <c r="J148" s="1">
        <v>-2986.98</v>
      </c>
      <c r="K148" s="1">
        <v>-3297.4960000000001</v>
      </c>
      <c r="L148" s="1">
        <v>-3423.7759999999998</v>
      </c>
      <c r="M148" s="1">
        <v>-3686.4380000000001</v>
      </c>
      <c r="N148" s="1">
        <v>-3621.1660000000002</v>
      </c>
      <c r="O148" s="1">
        <v>-4075.085</v>
      </c>
      <c r="P148" s="1">
        <v>-4476.2299999999996</v>
      </c>
      <c r="Q148" s="1">
        <v>-4515.4139999999998</v>
      </c>
      <c r="R148" s="2">
        <f t="shared" si="62"/>
        <v>-4987.4480000000003</v>
      </c>
      <c r="AA148" s="59" t="s">
        <v>120</v>
      </c>
      <c r="AB148" s="1">
        <v>-1339.2940000000001</v>
      </c>
      <c r="AC148" s="1">
        <v>-1138.838</v>
      </c>
      <c r="AD148" s="1">
        <v>-1055.066</v>
      </c>
      <c r="AE148" s="1">
        <v>-1090.8499999999999</v>
      </c>
      <c r="AF148" s="1">
        <v>-1232.269</v>
      </c>
      <c r="AG148" s="1">
        <v>-1277.9380000000001</v>
      </c>
      <c r="AH148" s="1">
        <v>-1257.5730000000001</v>
      </c>
      <c r="AI148" s="1">
        <v>-1205.075</v>
      </c>
      <c r="AJ148" s="1"/>
      <c r="AK148" s="1"/>
      <c r="AL148" s="1"/>
      <c r="AM148" s="1"/>
      <c r="AN148" s="1"/>
    </row>
    <row r="149" spans="1:40" x14ac:dyDescent="0.3">
      <c r="D149" s="59" t="s">
        <v>122</v>
      </c>
      <c r="E149" s="1">
        <v>-1770.873</v>
      </c>
      <c r="F149" s="1">
        <v>-1670.982</v>
      </c>
      <c r="G149" s="1">
        <v>-1763.723</v>
      </c>
      <c r="H149" s="1">
        <v>-1598.43</v>
      </c>
      <c r="I149" s="1">
        <v>-1590.241</v>
      </c>
      <c r="J149" s="1">
        <v>-2023.1020000000001</v>
      </c>
      <c r="K149" s="1">
        <v>-2133.5070000000001</v>
      </c>
      <c r="L149" s="1">
        <v>-2291.9769999999999</v>
      </c>
      <c r="M149" s="1">
        <v>-2449.489</v>
      </c>
      <c r="N149" s="1">
        <v>-2642.1379999999999</v>
      </c>
      <c r="O149" s="1">
        <v>-2749.2660000000001</v>
      </c>
      <c r="P149" s="1">
        <v>-4324.1760000000004</v>
      </c>
      <c r="Q149" s="1">
        <v>-12473.337</v>
      </c>
      <c r="R149" s="2">
        <f t="shared" si="62"/>
        <v>-4782.6613333333335</v>
      </c>
      <c r="AA149" s="59" t="s">
        <v>122</v>
      </c>
      <c r="AB149" s="1">
        <v>-1218.796</v>
      </c>
      <c r="AC149" s="1">
        <v>-1350.874</v>
      </c>
      <c r="AD149" s="1">
        <v>-8392.4920000000002</v>
      </c>
      <c r="AE149" s="1">
        <v>-1233.51</v>
      </c>
      <c r="AF149" s="1">
        <v>-1240.7270000000001</v>
      </c>
      <c r="AG149" s="1">
        <v>-1183.4179999999999</v>
      </c>
      <c r="AH149" s="1">
        <v>-1151.2840000000001</v>
      </c>
      <c r="AI149" s="1">
        <v>-1252.2940000000001</v>
      </c>
      <c r="AJ149" s="1"/>
      <c r="AK149" s="1"/>
      <c r="AL149" s="1"/>
      <c r="AM149" s="1"/>
      <c r="AN149" s="1"/>
    </row>
    <row r="150" spans="1:40" x14ac:dyDescent="0.3">
      <c r="D150" s="59" t="s">
        <v>124</v>
      </c>
      <c r="E150" s="1">
        <v>-1505.883</v>
      </c>
      <c r="F150" s="1">
        <v>-1225.0419999999999</v>
      </c>
      <c r="G150" s="1">
        <v>-1258.556</v>
      </c>
      <c r="H150" s="1">
        <v>-1499.576</v>
      </c>
      <c r="I150" s="1">
        <v>-1541.0409999999999</v>
      </c>
      <c r="J150" s="1">
        <v>-1846.1859999999999</v>
      </c>
      <c r="K150" s="1">
        <v>-2134.9450000000002</v>
      </c>
      <c r="L150" s="1">
        <v>-2283.1260000000002</v>
      </c>
      <c r="M150" s="1">
        <v>-2387.4789999999998</v>
      </c>
      <c r="N150" s="1">
        <v>-2693.623</v>
      </c>
      <c r="O150" s="1">
        <v>-2914.1469999999999</v>
      </c>
      <c r="P150" s="1">
        <v>-2609.5459999999998</v>
      </c>
      <c r="Q150" s="1">
        <v>-2659.3470000000002</v>
      </c>
      <c r="R150" s="2">
        <f t="shared" si="62"/>
        <v>-2962.3919999999998</v>
      </c>
      <c r="AA150" s="59" t="s">
        <v>124</v>
      </c>
      <c r="AB150" s="1">
        <v>-811.99099999999999</v>
      </c>
      <c r="AC150" s="1">
        <v>-843.57899999999995</v>
      </c>
      <c r="AD150" s="1">
        <v>-715.75699999999995</v>
      </c>
      <c r="AE150" s="1">
        <v>-738.024</v>
      </c>
      <c r="AF150" s="1">
        <v>-824.048</v>
      </c>
      <c r="AG150" s="1">
        <v>-740.79899999999998</v>
      </c>
      <c r="AH150" s="1">
        <v>-764.97500000000002</v>
      </c>
      <c r="AI150" s="1">
        <v>-716.02</v>
      </c>
      <c r="AJ150" s="1"/>
      <c r="AK150" s="1"/>
      <c r="AL150" s="1"/>
      <c r="AM150" s="1"/>
      <c r="AN150" s="1"/>
    </row>
    <row r="151" spans="1:40" x14ac:dyDescent="0.3">
      <c r="D151" s="59" t="s">
        <v>126</v>
      </c>
      <c r="E151" s="1">
        <v>-433.31700000000001</v>
      </c>
      <c r="F151" s="1">
        <v>-348.63900000000001</v>
      </c>
      <c r="G151" s="1">
        <v>-644.02</v>
      </c>
      <c r="H151" s="1">
        <v>-831.79300000000001</v>
      </c>
      <c r="I151" s="1">
        <v>-922.17200000000003</v>
      </c>
      <c r="J151" s="1">
        <v>-983.36</v>
      </c>
      <c r="K151" s="1">
        <v>-1196.819</v>
      </c>
      <c r="L151" s="1">
        <v>-1414.296</v>
      </c>
      <c r="M151" s="1">
        <v>-1631.6189999999999</v>
      </c>
      <c r="N151" s="1">
        <v>-1798.5640000000001</v>
      </c>
      <c r="O151" s="1">
        <v>-2190.3939999999998</v>
      </c>
      <c r="P151" s="1">
        <v>-2399.9009999999998</v>
      </c>
      <c r="Q151" s="1">
        <v>-2591.4940000000001</v>
      </c>
      <c r="R151" s="2">
        <f t="shared" si="62"/>
        <v>-2698.8333333333335</v>
      </c>
      <c r="AA151" s="59" t="s">
        <v>126</v>
      </c>
      <c r="AB151" s="1">
        <v>-650.41200000000003</v>
      </c>
      <c r="AC151" s="1">
        <v>-769.52099999999996</v>
      </c>
      <c r="AD151" s="1">
        <v>-585.33900000000006</v>
      </c>
      <c r="AE151" s="1">
        <v>-629.38699999999994</v>
      </c>
      <c r="AF151" s="1">
        <v>-662.31500000000005</v>
      </c>
      <c r="AG151" s="1">
        <v>-647.95600000000002</v>
      </c>
      <c r="AH151" s="1">
        <v>-641.94100000000003</v>
      </c>
      <c r="AI151" s="1">
        <v>-734.22799999999995</v>
      </c>
      <c r="AJ151" s="1"/>
      <c r="AK151" s="1"/>
      <c r="AL151" s="1"/>
      <c r="AM151" s="1"/>
      <c r="AN151" s="1"/>
    </row>
    <row r="152" spans="1:40" x14ac:dyDescent="0.3">
      <c r="D152" s="59" t="s">
        <v>130</v>
      </c>
      <c r="E152" s="1">
        <v>-743.50400000000002</v>
      </c>
      <c r="F152" s="1">
        <v>-855.08399999999995</v>
      </c>
      <c r="G152" s="1">
        <v>-764.50900000000001</v>
      </c>
      <c r="H152" s="1">
        <v>-791.64099999999996</v>
      </c>
      <c r="I152" s="1">
        <v>-893.52300000000002</v>
      </c>
      <c r="J152" s="1">
        <v>-1118.798</v>
      </c>
      <c r="K152" s="1">
        <v>-1340.125</v>
      </c>
      <c r="L152" s="1">
        <v>-1560.3219999999999</v>
      </c>
      <c r="M152" s="1">
        <v>-1758.883</v>
      </c>
      <c r="N152" s="1">
        <v>-1836.9449999999999</v>
      </c>
      <c r="O152" s="1">
        <v>-2115.7910000000002</v>
      </c>
      <c r="P152" s="1">
        <v>-2311.8939999999998</v>
      </c>
      <c r="Q152" s="1">
        <v>-2615.2629999999999</v>
      </c>
      <c r="R152" s="2">
        <f t="shared" si="62"/>
        <v>-2258.6280000000002</v>
      </c>
      <c r="AA152" s="59" t="s">
        <v>130</v>
      </c>
      <c r="AB152" s="1">
        <v>-534.99699999999996</v>
      </c>
      <c r="AC152" s="1">
        <v>-521.20399999999995</v>
      </c>
      <c r="AD152" s="1">
        <v>-576.88300000000004</v>
      </c>
      <c r="AE152" s="1">
        <v>-626.38199999999995</v>
      </c>
      <c r="AF152" s="1">
        <v>-560.25199999999995</v>
      </c>
      <c r="AG152" s="1">
        <v>-635.01499999999999</v>
      </c>
      <c r="AH152" s="1">
        <v>-528.32600000000002</v>
      </c>
      <c r="AI152" s="1">
        <v>-530.63</v>
      </c>
      <c r="AJ152" s="1"/>
      <c r="AK152" s="1"/>
      <c r="AL152" s="1"/>
      <c r="AM152" s="1"/>
      <c r="AN152" s="1"/>
    </row>
    <row r="153" spans="1:40" x14ac:dyDescent="0.3">
      <c r="D153" s="59" t="s">
        <v>128</v>
      </c>
      <c r="E153" s="1">
        <v>-1581.826</v>
      </c>
      <c r="F153" s="1">
        <v>-1601.4649999999999</v>
      </c>
      <c r="G153" s="1">
        <v>-1644.472</v>
      </c>
      <c r="H153" s="1">
        <v>-1775.058</v>
      </c>
      <c r="I153" s="1">
        <v>-2306.9650000000001</v>
      </c>
      <c r="J153" s="1">
        <v>-2444.395</v>
      </c>
      <c r="K153" s="1">
        <v>-2593.92</v>
      </c>
      <c r="L153" s="1">
        <v>-2948.8649999999998</v>
      </c>
      <c r="M153" s="1">
        <v>-3052.0120000000002</v>
      </c>
      <c r="N153" s="1">
        <v>-2950.8</v>
      </c>
      <c r="O153" s="1">
        <v>-2922.7460000000001</v>
      </c>
      <c r="P153" s="1">
        <v>-2868.1979999999999</v>
      </c>
      <c r="Q153" s="1">
        <v>-2838.6460000000002</v>
      </c>
      <c r="R153" s="2">
        <f t="shared" si="62"/>
        <v>-2164.6693333333333</v>
      </c>
      <c r="AA153" s="59" t="s">
        <v>128</v>
      </c>
      <c r="AB153" s="1">
        <v>-561.60400000000004</v>
      </c>
      <c r="AC153" s="1">
        <v>-666.16399999999999</v>
      </c>
      <c r="AD153" s="1">
        <v>-529.76900000000001</v>
      </c>
      <c r="AE153" s="1">
        <v>-498.15300000000002</v>
      </c>
      <c r="AF153" s="1">
        <v>-467.65499999999997</v>
      </c>
      <c r="AG153" s="1">
        <v>-533.33699999999999</v>
      </c>
      <c r="AH153" s="1">
        <v>-529.46900000000005</v>
      </c>
      <c r="AI153" s="1">
        <v>-560.69600000000003</v>
      </c>
      <c r="AJ153" s="1"/>
      <c r="AK153" s="1"/>
      <c r="AL153" s="1"/>
      <c r="AM153" s="1"/>
      <c r="AN153" s="1"/>
    </row>
    <row r="154" spans="1:40" x14ac:dyDescent="0.3">
      <c r="A154" s="61"/>
      <c r="D154" s="59" t="s">
        <v>132</v>
      </c>
      <c r="E154" s="1">
        <v>-853.58100000000002</v>
      </c>
      <c r="F154" s="1">
        <v>-731.39400000000001</v>
      </c>
      <c r="G154" s="1">
        <v>-764.25900000000001</v>
      </c>
      <c r="H154" s="1">
        <v>-834.83500000000004</v>
      </c>
      <c r="I154" s="1">
        <v>-1060.1179999999999</v>
      </c>
      <c r="J154" s="1">
        <v>-1141.5029999999999</v>
      </c>
      <c r="K154" s="1">
        <v>-1409.1369999999999</v>
      </c>
      <c r="L154" s="1">
        <v>-1681.5889999999999</v>
      </c>
      <c r="M154" s="1">
        <v>-1629.011</v>
      </c>
      <c r="N154" s="1">
        <v>-1631.3050000000001</v>
      </c>
      <c r="O154" s="1">
        <v>-1874.4490000000001</v>
      </c>
      <c r="P154" s="1">
        <v>-2038.4670000000001</v>
      </c>
      <c r="Q154" s="1">
        <v>-2114.1590000000001</v>
      </c>
      <c r="R154" s="2">
        <f t="shared" si="62"/>
        <v>-2320.5239999999999</v>
      </c>
      <c r="X154" s="61"/>
      <c r="AA154" s="59" t="s">
        <v>132</v>
      </c>
      <c r="AB154" s="1">
        <v>-544.34699999999998</v>
      </c>
      <c r="AC154" s="1">
        <v>-531.46400000000006</v>
      </c>
      <c r="AD154" s="1">
        <v>-495.40499999999997</v>
      </c>
      <c r="AE154" s="1">
        <v>-544.74199999999996</v>
      </c>
      <c r="AF154" s="1">
        <v>-544.22799999999995</v>
      </c>
      <c r="AG154" s="1">
        <v>-573.72299999999996</v>
      </c>
      <c r="AH154" s="1">
        <v>-576.91899999999998</v>
      </c>
      <c r="AI154" s="1">
        <v>-589.75099999999998</v>
      </c>
      <c r="AJ154" s="1"/>
      <c r="AK154" s="1"/>
      <c r="AL154" s="1"/>
      <c r="AM154" s="1"/>
      <c r="AN154" s="1"/>
    </row>
    <row r="155" spans="1:40" x14ac:dyDescent="0.3">
      <c r="A155" s="61"/>
      <c r="D155" s="59" t="s">
        <v>134</v>
      </c>
      <c r="E155" s="1">
        <v>-1268.0709999999999</v>
      </c>
      <c r="F155" s="1">
        <v>-452.95800000000003</v>
      </c>
      <c r="G155" s="1">
        <v>-665.83500000000004</v>
      </c>
      <c r="H155" s="1">
        <v>-689.26</v>
      </c>
      <c r="I155" s="1">
        <v>-611.06399999999996</v>
      </c>
      <c r="J155" s="1">
        <v>-811.88099999999997</v>
      </c>
      <c r="K155" s="1">
        <v>-1006.741</v>
      </c>
      <c r="L155" s="1">
        <v>-1281.1559999999999</v>
      </c>
      <c r="M155" s="1">
        <v>-1336.0319999999999</v>
      </c>
      <c r="N155" s="1">
        <v>-1289.76</v>
      </c>
      <c r="O155" s="1">
        <v>-1307.1010000000001</v>
      </c>
      <c r="P155" s="1">
        <v>-1356.27</v>
      </c>
      <c r="Q155" s="1">
        <v>-1457.558</v>
      </c>
      <c r="R155" s="2">
        <f t="shared" si="62"/>
        <v>-1385.4453333333331</v>
      </c>
      <c r="X155" s="61"/>
      <c r="AA155" s="59" t="s">
        <v>134</v>
      </c>
      <c r="AB155" s="1">
        <v>-354.14400000000001</v>
      </c>
      <c r="AC155" s="1">
        <v>-344.64400000000001</v>
      </c>
      <c r="AD155" s="1">
        <v>-293.762</v>
      </c>
      <c r="AE155" s="1">
        <v>-298.07499999999999</v>
      </c>
      <c r="AF155" s="1">
        <v>-361.95</v>
      </c>
      <c r="AG155" s="1">
        <v>-344.79599999999999</v>
      </c>
      <c r="AH155" s="1">
        <v>-349.33100000000002</v>
      </c>
      <c r="AI155" s="1">
        <v>-344.95699999999999</v>
      </c>
      <c r="AJ155" s="1"/>
      <c r="AK155" s="1"/>
      <c r="AL155" s="1"/>
      <c r="AM155" s="1"/>
      <c r="AN155" s="1"/>
    </row>
    <row r="156" spans="1:40" x14ac:dyDescent="0.3">
      <c r="A156" s="61"/>
      <c r="D156" s="59"/>
      <c r="E156" s="1"/>
      <c r="F156" s="1"/>
      <c r="G156" s="1"/>
      <c r="H156" s="1"/>
      <c r="I156" s="1"/>
      <c r="J156" s="1"/>
      <c r="K156" s="1"/>
      <c r="L156" s="1"/>
      <c r="M156" s="1"/>
      <c r="N156" s="1"/>
      <c r="O156" s="1"/>
      <c r="P156" s="1"/>
      <c r="Q156" s="1"/>
      <c r="X156" s="61"/>
      <c r="AA156" s="59"/>
      <c r="AB156" s="1"/>
      <c r="AC156" s="1"/>
      <c r="AD156" s="1"/>
      <c r="AE156" s="1"/>
      <c r="AF156" s="1"/>
      <c r="AG156" s="1"/>
      <c r="AH156" s="1"/>
      <c r="AI156" s="1"/>
      <c r="AJ156" s="1"/>
      <c r="AK156" s="1"/>
      <c r="AL156" s="1"/>
      <c r="AM156" s="1"/>
      <c r="AN156" s="1"/>
    </row>
    <row r="157" spans="1:40" x14ac:dyDescent="0.3">
      <c r="E157" s="62">
        <f t="shared" ref="E157:R157" si="63">SUM(E146:E155)</f>
        <v>-22426.696</v>
      </c>
      <c r="F157" s="62">
        <f t="shared" si="63"/>
        <v>-16890.700999999997</v>
      </c>
      <c r="G157" s="62">
        <f t="shared" si="63"/>
        <v>-17564.738000000001</v>
      </c>
      <c r="H157" s="62">
        <f t="shared" si="63"/>
        <v>-19099.450999999997</v>
      </c>
      <c r="I157" s="62">
        <f t="shared" si="63"/>
        <v>-21576.862999999998</v>
      </c>
      <c r="J157" s="62">
        <f t="shared" si="63"/>
        <v>-24396.806</v>
      </c>
      <c r="K157" s="62">
        <f t="shared" si="63"/>
        <v>-27314.898000000001</v>
      </c>
      <c r="L157" s="62">
        <f t="shared" si="63"/>
        <v>-30076.225999999991</v>
      </c>
      <c r="M157" s="62">
        <f t="shared" si="63"/>
        <v>-32356.414999999997</v>
      </c>
      <c r="N157" s="62">
        <f t="shared" si="63"/>
        <v>-32607.836999999996</v>
      </c>
      <c r="O157" s="62">
        <f t="shared" si="63"/>
        <v>-34352.554000000004</v>
      </c>
      <c r="P157" s="62">
        <f t="shared" si="63"/>
        <v>-36865.868999999992</v>
      </c>
      <c r="Q157" s="62">
        <f t="shared" si="63"/>
        <v>-46482.246999999996</v>
      </c>
      <c r="R157" s="62">
        <f t="shared" si="63"/>
        <v>-40684.437333333335</v>
      </c>
      <c r="AB157" s="62">
        <f t="shared" ref="AB157:AN157" si="64">SUM(AB146:AB155)</f>
        <v>-9381.018</v>
      </c>
      <c r="AC157" s="62">
        <f t="shared" si="64"/>
        <v>-9644.1749999999993</v>
      </c>
      <c r="AD157" s="62">
        <f t="shared" si="64"/>
        <v>-15945.431</v>
      </c>
      <c r="AE157" s="62">
        <f t="shared" si="64"/>
        <v>-9213.6940000000013</v>
      </c>
      <c r="AF157" s="62">
        <f t="shared" si="64"/>
        <v>-9419.2300000000014</v>
      </c>
      <c r="AG157" s="62">
        <f t="shared" si="64"/>
        <v>-9482.4580000000005</v>
      </c>
      <c r="AH157" s="62">
        <f t="shared" si="64"/>
        <v>-10378.313000000002</v>
      </c>
      <c r="AI157" s="62">
        <f t="shared" si="64"/>
        <v>-10652.556999999999</v>
      </c>
      <c r="AJ157" s="62">
        <f t="shared" si="64"/>
        <v>0</v>
      </c>
      <c r="AK157" s="62">
        <f t="shared" si="64"/>
        <v>0</v>
      </c>
      <c r="AL157" s="62">
        <f t="shared" si="64"/>
        <v>0</v>
      </c>
      <c r="AM157" s="62">
        <f t="shared" si="64"/>
        <v>0</v>
      </c>
      <c r="AN157" s="62">
        <f t="shared" si="64"/>
        <v>0</v>
      </c>
    </row>
    <row r="159" spans="1:40" x14ac:dyDescent="0.3">
      <c r="B159" t="e">
        <f ca="1">_xll.TR($B$85:$B$95,"TR.NetIncomeBeforeTaxes(Scale=6)","Period=FY0 Frq=FY SDate=0 EDate=-12 Curn=SAR CH=Fd;periodenddate RH=IN SORTA=periodenddate",D159)</f>
        <v>#NAME?</v>
      </c>
      <c r="E159" t="s">
        <v>60</v>
      </c>
      <c r="F159" t="s">
        <v>60</v>
      </c>
      <c r="G159" t="s">
        <v>60</v>
      </c>
      <c r="H159" t="s">
        <v>60</v>
      </c>
      <c r="I159" t="s">
        <v>60</v>
      </c>
      <c r="J159" t="s">
        <v>60</v>
      </c>
      <c r="K159" t="s">
        <v>60</v>
      </c>
      <c r="L159" t="s">
        <v>60</v>
      </c>
      <c r="M159" t="s">
        <v>60</v>
      </c>
      <c r="N159" t="s">
        <v>60</v>
      </c>
      <c r="O159" t="s">
        <v>60</v>
      </c>
      <c r="P159" t="s">
        <v>60</v>
      </c>
      <c r="Q159" t="s">
        <v>60</v>
      </c>
      <c r="Y159" t="e">
        <f ca="1">_xll.TR($B$85:$B$95,"TR.NetIncomeBeforeTaxes(Scale=6)","Period=FQ0 Frq=FQ SDate=0 EDate=-7 Curn=SAR CH=Fd;periodenddate RH=IN SORTA=periodenddate",AA159)</f>
        <v>#NAME?</v>
      </c>
      <c r="AB159" t="s">
        <v>60</v>
      </c>
      <c r="AC159" t="s">
        <v>60</v>
      </c>
      <c r="AD159" t="s">
        <v>60</v>
      </c>
      <c r="AE159" t="s">
        <v>60</v>
      </c>
      <c r="AF159" t="s">
        <v>60</v>
      </c>
      <c r="AG159" t="s">
        <v>60</v>
      </c>
      <c r="AH159" t="s">
        <v>60</v>
      </c>
      <c r="AI159" t="s">
        <v>60</v>
      </c>
    </row>
    <row r="160" spans="1:40" x14ac:dyDescent="0.3">
      <c r="E160" s="58">
        <v>39813</v>
      </c>
      <c r="F160" s="58">
        <v>40178</v>
      </c>
      <c r="G160" s="58">
        <v>40543</v>
      </c>
      <c r="H160" s="58">
        <v>40908</v>
      </c>
      <c r="I160" s="58">
        <v>41274</v>
      </c>
      <c r="J160" s="58">
        <v>41639</v>
      </c>
      <c r="K160" s="58">
        <v>42004</v>
      </c>
      <c r="L160" s="58">
        <v>42369</v>
      </c>
      <c r="M160" s="58">
        <v>42735</v>
      </c>
      <c r="N160" s="58">
        <v>43100</v>
      </c>
      <c r="O160" s="58">
        <v>43465</v>
      </c>
      <c r="P160" s="58">
        <v>43830</v>
      </c>
      <c r="Q160" s="58">
        <v>44196</v>
      </c>
      <c r="AB160" s="58">
        <v>43830</v>
      </c>
      <c r="AC160" s="58">
        <v>43921</v>
      </c>
      <c r="AD160" s="58">
        <v>44012</v>
      </c>
      <c r="AE160" s="58">
        <v>44104</v>
      </c>
      <c r="AF160" s="58">
        <v>44196</v>
      </c>
      <c r="AG160" s="58">
        <v>44286</v>
      </c>
      <c r="AH160" s="58">
        <v>44377</v>
      </c>
      <c r="AI160" s="58">
        <v>44469</v>
      </c>
      <c r="AJ160" s="58"/>
      <c r="AK160" s="58"/>
      <c r="AL160" s="58"/>
      <c r="AM160" s="58"/>
      <c r="AN160" s="58"/>
    </row>
    <row r="161" spans="2:40" x14ac:dyDescent="0.3">
      <c r="D161" s="59" t="s">
        <v>115</v>
      </c>
      <c r="E161" s="1">
        <v>6524.6040000000003</v>
      </c>
      <c r="F161" s="1">
        <v>6767.2280000000001</v>
      </c>
      <c r="G161" s="1">
        <v>6770.8289999999997</v>
      </c>
      <c r="H161" s="1">
        <v>7378.268</v>
      </c>
      <c r="I161" s="1">
        <v>4024.509</v>
      </c>
      <c r="J161" s="1">
        <v>7437.9870000000001</v>
      </c>
      <c r="K161" s="1">
        <v>6836.1719999999996</v>
      </c>
      <c r="L161" s="1">
        <v>7130.0749999999998</v>
      </c>
      <c r="M161" s="1">
        <v>8125.96</v>
      </c>
      <c r="N161" s="1">
        <v>9120.7260000000006</v>
      </c>
      <c r="O161" s="1">
        <v>10135.902</v>
      </c>
      <c r="P161" s="1">
        <v>11326.358</v>
      </c>
      <c r="Q161" s="1">
        <v>11813.619000000001</v>
      </c>
      <c r="R161" s="2">
        <f t="shared" ref="R161:R170" si="65">SUM(AG161:AI161)*4/3</f>
        <v>15961.661333333332</v>
      </c>
      <c r="AA161" s="59" t="s">
        <v>115</v>
      </c>
      <c r="AB161" s="1">
        <v>2430.5340000000001</v>
      </c>
      <c r="AC161" s="1">
        <v>2653.7759999999998</v>
      </c>
      <c r="AD161" s="1">
        <v>2716.1559999999999</v>
      </c>
      <c r="AE161" s="1">
        <v>2963.3960000000002</v>
      </c>
      <c r="AF161" s="1">
        <v>3480.2910000000002</v>
      </c>
      <c r="AG161" s="1">
        <v>3718.933</v>
      </c>
      <c r="AH161" s="1">
        <v>4022.43</v>
      </c>
      <c r="AI161" s="1">
        <v>4229.8829999999998</v>
      </c>
      <c r="AJ161" s="1"/>
      <c r="AK161" s="1"/>
      <c r="AL161" s="1"/>
      <c r="AM161" s="1"/>
      <c r="AN161" s="1"/>
    </row>
    <row r="162" spans="2:40" x14ac:dyDescent="0.3">
      <c r="D162" s="59" t="s">
        <v>118</v>
      </c>
      <c r="E162" s="1">
        <v>2107.105</v>
      </c>
      <c r="F162" s="1">
        <v>4121.3590000000004</v>
      </c>
      <c r="G162" s="1">
        <v>4803.4040000000005</v>
      </c>
      <c r="H162" s="1">
        <v>6106.1189999999997</v>
      </c>
      <c r="I162" s="1">
        <v>6613.326</v>
      </c>
      <c r="J162" s="1">
        <v>7988.9759999999997</v>
      </c>
      <c r="K162" s="1">
        <v>8793.1910000000007</v>
      </c>
      <c r="L162" s="1">
        <v>9148.4290000000001</v>
      </c>
      <c r="M162" s="1">
        <v>9415.8330000000005</v>
      </c>
      <c r="N162" s="1">
        <v>9964.6569999999992</v>
      </c>
      <c r="O162" s="1">
        <v>10830.119000000001</v>
      </c>
      <c r="P162" s="1">
        <v>12918.578</v>
      </c>
      <c r="Q162" s="1">
        <v>12933.323</v>
      </c>
      <c r="R162" s="2">
        <f t="shared" si="65"/>
        <v>14054.614666666666</v>
      </c>
      <c r="AA162" s="59" t="s">
        <v>118</v>
      </c>
      <c r="AB162" s="1">
        <v>3850.761</v>
      </c>
      <c r="AC162" s="1">
        <v>3210.92</v>
      </c>
      <c r="AD162" s="1">
        <v>2387.8879999999999</v>
      </c>
      <c r="AE162" s="1">
        <v>3569.2370000000001</v>
      </c>
      <c r="AF162" s="1">
        <v>3765.2779999999998</v>
      </c>
      <c r="AG162" s="1">
        <v>3816.8380000000002</v>
      </c>
      <c r="AH162" s="1">
        <v>2414.3020000000001</v>
      </c>
      <c r="AI162" s="1">
        <v>4309.8209999999999</v>
      </c>
      <c r="AJ162" s="1"/>
      <c r="AK162" s="1"/>
      <c r="AL162" s="1"/>
      <c r="AM162" s="1"/>
      <c r="AN162" s="1"/>
    </row>
    <row r="163" spans="2:40" x14ac:dyDescent="0.3">
      <c r="D163" s="59" t="s">
        <v>120</v>
      </c>
      <c r="E163" s="1">
        <v>2638.7570000000001</v>
      </c>
      <c r="F163" s="1">
        <v>3030.4850000000001</v>
      </c>
      <c r="G163" s="1">
        <v>2824.627</v>
      </c>
      <c r="H163" s="1">
        <v>3149.3530000000001</v>
      </c>
      <c r="I163" s="1">
        <v>3386.6309999999999</v>
      </c>
      <c r="J163" s="1">
        <v>3890.3209999999999</v>
      </c>
      <c r="K163" s="1">
        <v>4305.6869999999999</v>
      </c>
      <c r="L163" s="1">
        <v>4009.558</v>
      </c>
      <c r="M163" s="1">
        <v>3306.971</v>
      </c>
      <c r="N163" s="1">
        <v>3922.886</v>
      </c>
      <c r="O163" s="1">
        <v>4665.335</v>
      </c>
      <c r="P163" s="1">
        <v>6078.7330000000002</v>
      </c>
      <c r="Q163" s="1">
        <v>5483.9970000000003</v>
      </c>
      <c r="R163" s="2">
        <f t="shared" si="65"/>
        <v>6620.0279999999993</v>
      </c>
      <c r="AA163" s="59" t="s">
        <v>120</v>
      </c>
      <c r="AB163" s="1">
        <v>1234.1079999999999</v>
      </c>
      <c r="AC163" s="1">
        <v>1659.434</v>
      </c>
      <c r="AD163" s="1">
        <v>1195.046</v>
      </c>
      <c r="AE163" s="1">
        <v>1472.9749999999999</v>
      </c>
      <c r="AF163" s="1">
        <v>1156.5419999999999</v>
      </c>
      <c r="AG163" s="1">
        <v>1528.617</v>
      </c>
      <c r="AH163" s="1">
        <v>1709.5989999999999</v>
      </c>
      <c r="AI163" s="1">
        <v>1726.8050000000001</v>
      </c>
      <c r="AJ163" s="1"/>
      <c r="AK163" s="1"/>
      <c r="AL163" s="1"/>
      <c r="AM163" s="1"/>
      <c r="AN163" s="1"/>
    </row>
    <row r="164" spans="2:40" x14ac:dyDescent="0.3">
      <c r="D164" s="59" t="s">
        <v>122</v>
      </c>
      <c r="E164" s="1">
        <v>2811.6979999999999</v>
      </c>
      <c r="F164" s="1">
        <v>1986.229</v>
      </c>
      <c r="G164" s="1">
        <v>1842.078</v>
      </c>
      <c r="H164" s="1">
        <v>2824.27</v>
      </c>
      <c r="I164" s="1">
        <v>3129.0859999999998</v>
      </c>
      <c r="J164" s="1">
        <v>3773.81</v>
      </c>
      <c r="K164" s="1">
        <v>4266.0609999999997</v>
      </c>
      <c r="L164" s="1">
        <v>4330.5469999999996</v>
      </c>
      <c r="M164" s="1">
        <v>3894.7310000000002</v>
      </c>
      <c r="N164" s="1">
        <v>3954.578</v>
      </c>
      <c r="O164" s="1">
        <v>4929.1030000000001</v>
      </c>
      <c r="P164" s="1">
        <v>3195.355</v>
      </c>
      <c r="Q164" s="1">
        <v>-4301.5870000000004</v>
      </c>
      <c r="R164" s="2">
        <f t="shared" si="65"/>
        <v>4410.5093333333343</v>
      </c>
      <c r="AA164" s="59" t="s">
        <v>122</v>
      </c>
      <c r="AB164" s="1">
        <v>745.63599999999997</v>
      </c>
      <c r="AC164" s="1">
        <v>1152.4659999999999</v>
      </c>
      <c r="AD164" s="1">
        <v>-7367.2950000000001</v>
      </c>
      <c r="AE164" s="1">
        <v>1112.3309999999999</v>
      </c>
      <c r="AF164" s="1">
        <v>800.91099999999994</v>
      </c>
      <c r="AG164" s="1">
        <v>1138.4880000000001</v>
      </c>
      <c r="AH164" s="1">
        <v>1131.6289999999999</v>
      </c>
      <c r="AI164" s="1">
        <v>1037.7650000000001</v>
      </c>
      <c r="AJ164" s="1"/>
      <c r="AK164" s="1"/>
      <c r="AL164" s="1"/>
      <c r="AM164" s="1"/>
      <c r="AN164" s="1"/>
    </row>
    <row r="165" spans="2:40" x14ac:dyDescent="0.3">
      <c r="D165" s="59" t="s">
        <v>124</v>
      </c>
      <c r="E165" s="1">
        <v>2791.4929999999999</v>
      </c>
      <c r="F165" s="1">
        <v>2495.2440000000001</v>
      </c>
      <c r="G165" s="1">
        <v>2797.3290000000002</v>
      </c>
      <c r="H165" s="1">
        <v>2927.29</v>
      </c>
      <c r="I165" s="1">
        <v>3013.335</v>
      </c>
      <c r="J165" s="1">
        <v>2402.252</v>
      </c>
      <c r="K165" s="1">
        <v>3515.5419999999999</v>
      </c>
      <c r="L165" s="1">
        <v>4029.0830000000001</v>
      </c>
      <c r="M165" s="1">
        <v>3503.444</v>
      </c>
      <c r="N165" s="1">
        <v>3524.3159999999998</v>
      </c>
      <c r="O165" s="1">
        <v>3307.0540000000001</v>
      </c>
      <c r="P165" s="1">
        <v>3619.1419999999998</v>
      </c>
      <c r="Q165" s="1">
        <v>2010.2360000000001</v>
      </c>
      <c r="R165" s="2">
        <f t="shared" si="65"/>
        <v>3704.5573333333336</v>
      </c>
      <c r="AA165" s="59" t="s">
        <v>124</v>
      </c>
      <c r="AB165" s="1">
        <v>572.779</v>
      </c>
      <c r="AC165" s="1">
        <v>800.62900000000002</v>
      </c>
      <c r="AD165" s="1">
        <v>552.65499999999997</v>
      </c>
      <c r="AE165" s="1">
        <v>423.74799999999999</v>
      </c>
      <c r="AF165" s="1">
        <v>233.20400000000001</v>
      </c>
      <c r="AG165" s="1">
        <v>905.43100000000004</v>
      </c>
      <c r="AH165" s="1">
        <v>856.17</v>
      </c>
      <c r="AI165" s="1">
        <v>1016.817</v>
      </c>
      <c r="AJ165" s="1"/>
      <c r="AK165" s="1"/>
      <c r="AL165" s="1"/>
      <c r="AM165" s="1"/>
      <c r="AN165" s="1"/>
    </row>
    <row r="166" spans="2:40" x14ac:dyDescent="0.3">
      <c r="D166" s="59" t="s">
        <v>126</v>
      </c>
      <c r="E166" s="1">
        <v>389.98099999999999</v>
      </c>
      <c r="F166" s="1">
        <v>605.34100000000001</v>
      </c>
      <c r="G166" s="1">
        <v>15.2</v>
      </c>
      <c r="H166" s="1">
        <v>431.334</v>
      </c>
      <c r="I166" s="1">
        <v>733.15899999999999</v>
      </c>
      <c r="J166" s="1">
        <v>1004.7569999999999</v>
      </c>
      <c r="K166" s="1">
        <v>1264.431</v>
      </c>
      <c r="L166" s="1">
        <v>1469.9760000000001</v>
      </c>
      <c r="M166" s="1">
        <v>1502.271</v>
      </c>
      <c r="N166" s="1">
        <v>2011.357</v>
      </c>
      <c r="O166" s="1">
        <v>2517.433</v>
      </c>
      <c r="P166" s="1">
        <v>2816.4560000000001</v>
      </c>
      <c r="Q166" s="1">
        <v>2201.7600000000002</v>
      </c>
      <c r="R166" s="2">
        <f t="shared" si="65"/>
        <v>3107.3826666666669</v>
      </c>
      <c r="AA166" s="59" t="s">
        <v>126</v>
      </c>
      <c r="AB166" s="1">
        <v>565.02800000000002</v>
      </c>
      <c r="AC166" s="1">
        <v>411.40600000000001</v>
      </c>
      <c r="AD166" s="1">
        <v>636.09500000000003</v>
      </c>
      <c r="AE166" s="1">
        <v>714.97</v>
      </c>
      <c r="AF166" s="1">
        <v>439.28899999999999</v>
      </c>
      <c r="AG166" s="1">
        <v>715.61800000000005</v>
      </c>
      <c r="AH166" s="1">
        <v>791.98500000000001</v>
      </c>
      <c r="AI166" s="1">
        <v>822.93399999999997</v>
      </c>
      <c r="AJ166" s="1"/>
      <c r="AK166" s="1"/>
      <c r="AL166" s="1"/>
      <c r="AM166" s="1"/>
      <c r="AN166" s="1"/>
    </row>
    <row r="167" spans="2:40" x14ac:dyDescent="0.3">
      <c r="D167" s="59" t="s">
        <v>130</v>
      </c>
      <c r="E167" s="1">
        <v>125.069</v>
      </c>
      <c r="F167" s="1">
        <v>-248.38900000000001</v>
      </c>
      <c r="G167" s="1">
        <v>92.32</v>
      </c>
      <c r="H167" s="1">
        <v>329.625</v>
      </c>
      <c r="I167" s="1">
        <v>941.80399999999997</v>
      </c>
      <c r="J167" s="1">
        <v>729.16800000000001</v>
      </c>
      <c r="K167" s="1">
        <v>864.029</v>
      </c>
      <c r="L167" s="1">
        <v>788.423</v>
      </c>
      <c r="M167" s="1">
        <v>809.02300000000002</v>
      </c>
      <c r="N167" s="1">
        <v>936.16700000000003</v>
      </c>
      <c r="O167" s="1">
        <v>1110.51</v>
      </c>
      <c r="P167" s="1">
        <v>1386.723</v>
      </c>
      <c r="Q167" s="1">
        <v>1501.69</v>
      </c>
      <c r="R167" s="2">
        <f t="shared" si="65"/>
        <v>1870.7466666666667</v>
      </c>
      <c r="AA167" s="59" t="s">
        <v>130</v>
      </c>
      <c r="AB167" s="1">
        <v>366.34800000000001</v>
      </c>
      <c r="AC167" s="1">
        <v>300.71600000000001</v>
      </c>
      <c r="AD167" s="1">
        <v>354.18799999999999</v>
      </c>
      <c r="AE167" s="1">
        <v>426.065</v>
      </c>
      <c r="AF167" s="1">
        <v>420.721</v>
      </c>
      <c r="AG167" s="1">
        <v>437.85300000000001</v>
      </c>
      <c r="AH167" s="1">
        <v>463.86500000000001</v>
      </c>
      <c r="AI167" s="1">
        <v>501.34199999999998</v>
      </c>
      <c r="AJ167" s="1"/>
      <c r="AK167" s="1"/>
      <c r="AL167" s="1"/>
      <c r="AM167" s="1"/>
      <c r="AN167" s="1"/>
    </row>
    <row r="168" spans="2:40" x14ac:dyDescent="0.3">
      <c r="D168" s="59" t="s">
        <v>128</v>
      </c>
      <c r="E168" s="1">
        <v>2493.076</v>
      </c>
      <c r="F168" s="1">
        <v>2365.4110000000001</v>
      </c>
      <c r="G168" s="1">
        <v>1894.902</v>
      </c>
      <c r="H168" s="1">
        <v>2148.5070000000001</v>
      </c>
      <c r="I168" s="1">
        <v>2371.0250000000001</v>
      </c>
      <c r="J168" s="1">
        <v>2525.143</v>
      </c>
      <c r="K168" s="1">
        <v>2877.1550000000002</v>
      </c>
      <c r="L168" s="1">
        <v>2956.4760000000001</v>
      </c>
      <c r="M168" s="1">
        <v>2861.877</v>
      </c>
      <c r="N168" s="1">
        <v>3034.058</v>
      </c>
      <c r="O168" s="1">
        <v>3311.817</v>
      </c>
      <c r="P168" s="1">
        <v>3550.63</v>
      </c>
      <c r="Q168" s="1">
        <v>2571.674</v>
      </c>
      <c r="R168" s="2">
        <f t="shared" si="65"/>
        <v>2733.0773333333332</v>
      </c>
      <c r="AA168" s="59" t="s">
        <v>128</v>
      </c>
      <c r="AB168" s="1">
        <v>654.70699999999999</v>
      </c>
      <c r="AC168" s="1">
        <v>770.48900000000003</v>
      </c>
      <c r="AD168" s="1">
        <v>596.50400000000002</v>
      </c>
      <c r="AE168" s="1">
        <v>783.95500000000004</v>
      </c>
      <c r="AF168" s="1">
        <v>420.726</v>
      </c>
      <c r="AG168" s="1">
        <v>708.36</v>
      </c>
      <c r="AH168" s="1">
        <v>577.04200000000003</v>
      </c>
      <c r="AI168" s="1">
        <v>764.40599999999995</v>
      </c>
      <c r="AJ168" s="1"/>
      <c r="AK168" s="1"/>
      <c r="AL168" s="1"/>
      <c r="AM168" s="1"/>
      <c r="AN168" s="1"/>
    </row>
    <row r="169" spans="2:40" x14ac:dyDescent="0.3">
      <c r="D169" s="59" t="s">
        <v>132</v>
      </c>
      <c r="E169" s="1">
        <v>221.80500000000001</v>
      </c>
      <c r="F169" s="1">
        <v>27.553999999999998</v>
      </c>
      <c r="G169" s="1">
        <v>28.574999999999999</v>
      </c>
      <c r="H169" s="1">
        <v>302.911</v>
      </c>
      <c r="I169" s="1">
        <v>500.48</v>
      </c>
      <c r="J169" s="1">
        <v>650.63599999999997</v>
      </c>
      <c r="K169" s="1">
        <v>572.46699999999998</v>
      </c>
      <c r="L169" s="1">
        <v>1287.1189999999999</v>
      </c>
      <c r="M169" s="1">
        <v>871.94200000000001</v>
      </c>
      <c r="N169" s="1">
        <v>857.51400000000001</v>
      </c>
      <c r="O169" s="1">
        <v>1000.307</v>
      </c>
      <c r="P169" s="1">
        <v>1122.03</v>
      </c>
      <c r="Q169" s="1">
        <v>31.195</v>
      </c>
      <c r="R169" s="2">
        <f t="shared" si="65"/>
        <v>1175.7160000000001</v>
      </c>
      <c r="AA169" s="59" t="s">
        <v>132</v>
      </c>
      <c r="AB169" s="1">
        <v>293.76900000000001</v>
      </c>
      <c r="AC169" s="1">
        <v>216.61099999999999</v>
      </c>
      <c r="AD169" s="1">
        <v>198.744</v>
      </c>
      <c r="AE169" s="1">
        <v>200.84</v>
      </c>
      <c r="AF169" s="1">
        <v>-585</v>
      </c>
      <c r="AG169" s="1">
        <v>363.60199999999998</v>
      </c>
      <c r="AH169" s="1">
        <v>276.923</v>
      </c>
      <c r="AI169" s="1">
        <v>241.262</v>
      </c>
      <c r="AJ169" s="1"/>
      <c r="AK169" s="1"/>
      <c r="AL169" s="1"/>
      <c r="AM169" s="1"/>
      <c r="AN169" s="1"/>
    </row>
    <row r="170" spans="2:40" x14ac:dyDescent="0.3">
      <c r="D170" s="59" t="s">
        <v>134</v>
      </c>
      <c r="E170" s="1">
        <v>530.01599999999996</v>
      </c>
      <c r="F170" s="1">
        <v>423.18200000000002</v>
      </c>
      <c r="G170" s="1">
        <v>344.98099999999999</v>
      </c>
      <c r="H170" s="1">
        <v>618.70399999999995</v>
      </c>
      <c r="I170" s="1">
        <v>765.52</v>
      </c>
      <c r="J170" s="1">
        <v>1126.009</v>
      </c>
      <c r="K170" s="1">
        <v>1356.9639999999999</v>
      </c>
      <c r="L170" s="1">
        <v>1172.462</v>
      </c>
      <c r="M170" s="1">
        <v>902.32399999999996</v>
      </c>
      <c r="N170" s="1">
        <v>1278.9469999999999</v>
      </c>
      <c r="O170" s="1">
        <v>1443.768</v>
      </c>
      <c r="P170" s="1">
        <v>329.50099999999998</v>
      </c>
      <c r="Q170" s="1">
        <v>1228.5070000000001</v>
      </c>
      <c r="R170" s="2">
        <f t="shared" si="65"/>
        <v>1225.8386666666668</v>
      </c>
      <c r="AA170" s="59" t="s">
        <v>134</v>
      </c>
      <c r="AB170" s="1">
        <v>-77.105999999999995</v>
      </c>
      <c r="AC170" s="1">
        <v>173.13</v>
      </c>
      <c r="AD170" s="1">
        <v>334.13900000000001</v>
      </c>
      <c r="AE170" s="1">
        <v>381.56599999999997</v>
      </c>
      <c r="AF170" s="1">
        <v>339.67200000000003</v>
      </c>
      <c r="AG170" s="1">
        <v>263.57400000000001</v>
      </c>
      <c r="AH170" s="1">
        <v>313.62299999999999</v>
      </c>
      <c r="AI170" s="1">
        <v>342.18200000000002</v>
      </c>
      <c r="AJ170" s="1"/>
      <c r="AK170" s="1"/>
      <c r="AL170" s="1"/>
      <c r="AM170" s="1"/>
      <c r="AN170" s="1"/>
    </row>
    <row r="171" spans="2:40" x14ac:dyDescent="0.3">
      <c r="D171" s="59"/>
      <c r="E171" s="1"/>
      <c r="F171" s="1"/>
      <c r="G171" s="1"/>
      <c r="H171" s="1"/>
      <c r="I171" s="1"/>
      <c r="J171" s="1"/>
      <c r="K171" s="1"/>
      <c r="L171" s="1"/>
      <c r="M171" s="1"/>
      <c r="N171" s="1"/>
      <c r="O171" s="1"/>
      <c r="P171" s="1"/>
      <c r="Q171" s="1"/>
      <c r="AA171" s="59"/>
      <c r="AB171" s="1"/>
      <c r="AC171" s="1"/>
      <c r="AD171" s="1"/>
      <c r="AE171" s="1"/>
      <c r="AF171" s="1"/>
      <c r="AG171" s="1"/>
      <c r="AH171" s="1"/>
      <c r="AI171" s="1"/>
      <c r="AJ171" s="1"/>
      <c r="AK171" s="1"/>
      <c r="AL171" s="1"/>
      <c r="AM171" s="1"/>
      <c r="AN171" s="1"/>
    </row>
    <row r="172" spans="2:40" x14ac:dyDescent="0.3">
      <c r="E172" s="62">
        <f t="shared" ref="E172:R172" si="66">SUM(E161:E170)</f>
        <v>20633.603999999999</v>
      </c>
      <c r="F172" s="62">
        <f t="shared" si="66"/>
        <v>21573.644</v>
      </c>
      <c r="G172" s="62">
        <f t="shared" si="66"/>
        <v>21414.244999999999</v>
      </c>
      <c r="H172" s="62">
        <f t="shared" si="66"/>
        <v>26216.381000000001</v>
      </c>
      <c r="I172" s="62">
        <f t="shared" si="66"/>
        <v>25478.875</v>
      </c>
      <c r="J172" s="62">
        <f t="shared" si="66"/>
        <v>31529.059000000001</v>
      </c>
      <c r="K172" s="62">
        <f t="shared" si="66"/>
        <v>34651.699000000001</v>
      </c>
      <c r="L172" s="62">
        <f t="shared" si="66"/>
        <v>36322.147999999994</v>
      </c>
      <c r="M172" s="62">
        <f t="shared" si="66"/>
        <v>35194.376000000004</v>
      </c>
      <c r="N172" s="62">
        <f t="shared" si="66"/>
        <v>38605.205999999998</v>
      </c>
      <c r="O172" s="62">
        <f t="shared" si="66"/>
        <v>43251.347999999998</v>
      </c>
      <c r="P172" s="62">
        <f t="shared" si="66"/>
        <v>46343.505999999994</v>
      </c>
      <c r="Q172" s="62">
        <f t="shared" si="66"/>
        <v>35474.414000000004</v>
      </c>
      <c r="R172" s="62">
        <f t="shared" si="66"/>
        <v>54864.131999999998</v>
      </c>
      <c r="AB172" s="62">
        <f t="shared" ref="AB172:AN172" si="67">SUM(AB161:AB170)</f>
        <v>10636.564000000002</v>
      </c>
      <c r="AC172" s="62">
        <f t="shared" si="67"/>
        <v>11349.577000000001</v>
      </c>
      <c r="AD172" s="62">
        <f t="shared" si="67"/>
        <v>1604.12</v>
      </c>
      <c r="AE172" s="62">
        <f t="shared" si="67"/>
        <v>12049.083000000001</v>
      </c>
      <c r="AF172" s="62">
        <f t="shared" si="67"/>
        <v>10471.634</v>
      </c>
      <c r="AG172" s="62">
        <f t="shared" si="67"/>
        <v>13597.314000000002</v>
      </c>
      <c r="AH172" s="62">
        <f t="shared" si="67"/>
        <v>12557.567999999999</v>
      </c>
      <c r="AI172" s="62">
        <f t="shared" si="67"/>
        <v>14993.217000000002</v>
      </c>
      <c r="AJ172" s="62">
        <f t="shared" si="67"/>
        <v>0</v>
      </c>
      <c r="AK172" s="62">
        <f t="shared" si="67"/>
        <v>0</v>
      </c>
      <c r="AL172" s="62">
        <f t="shared" si="67"/>
        <v>0</v>
      </c>
      <c r="AM172" s="62">
        <f t="shared" si="67"/>
        <v>0</v>
      </c>
      <c r="AN172" s="62">
        <f t="shared" si="67"/>
        <v>0</v>
      </c>
    </row>
    <row r="174" spans="2:40" x14ac:dyDescent="0.3">
      <c r="B174" t="e">
        <f ca="1">_xll.TR($B$85:$B$95,"TR.ProvisionForIncomeTaxes(Scale=6)","Period=FY0 Frq=FY SDate=0 EDate=-12 Curn=SAR CH=Fd;periodenddate RH=IN SORTA=periodenddate",D174)</f>
        <v>#NAME?</v>
      </c>
      <c r="E174" t="s">
        <v>61</v>
      </c>
      <c r="F174" t="s">
        <v>61</v>
      </c>
      <c r="G174" t="s">
        <v>61</v>
      </c>
      <c r="H174" t="s">
        <v>61</v>
      </c>
      <c r="I174" t="s">
        <v>61</v>
      </c>
      <c r="J174" t="s">
        <v>61</v>
      </c>
      <c r="K174" t="s">
        <v>61</v>
      </c>
      <c r="L174" t="s">
        <v>61</v>
      </c>
      <c r="M174" t="s">
        <v>61</v>
      </c>
      <c r="N174" t="s">
        <v>61</v>
      </c>
      <c r="Y174" t="e">
        <f ca="1">_xll.TR($B$85:$B$95,"TR.ProvisionForIncomeTaxes(Scale=6)","Period=FQ0 Frq=FQ SDate=0 EDate=-7 Curn=SAR CH=Fd;periodenddate RH=IN SORTA=periodenddate",AA174)</f>
        <v>#NAME?</v>
      </c>
      <c r="AB174" t="s">
        <v>61</v>
      </c>
      <c r="AC174" t="s">
        <v>61</v>
      </c>
      <c r="AD174" t="s">
        <v>61</v>
      </c>
      <c r="AE174" t="s">
        <v>61</v>
      </c>
      <c r="AF174" t="s">
        <v>61</v>
      </c>
      <c r="AG174" t="s">
        <v>61</v>
      </c>
      <c r="AH174" t="s">
        <v>61</v>
      </c>
      <c r="AI174" t="s">
        <v>61</v>
      </c>
    </row>
    <row r="175" spans="2:40" x14ac:dyDescent="0.3">
      <c r="E175" s="58">
        <v>39813</v>
      </c>
      <c r="F175" s="58">
        <v>40178</v>
      </c>
      <c r="G175" s="58">
        <v>40543</v>
      </c>
      <c r="H175" s="58">
        <v>40908</v>
      </c>
      <c r="I175" s="58">
        <v>41274</v>
      </c>
      <c r="J175" s="58">
        <v>41639</v>
      </c>
      <c r="K175" s="58">
        <v>42004</v>
      </c>
      <c r="L175" s="58">
        <v>43465</v>
      </c>
      <c r="M175" s="58">
        <v>43830</v>
      </c>
      <c r="N175" s="58">
        <v>44196</v>
      </c>
      <c r="O175" s="58" t="s">
        <v>157</v>
      </c>
      <c r="P175" s="58"/>
      <c r="Q175" s="58"/>
      <c r="AB175" s="58">
        <v>43830</v>
      </c>
      <c r="AC175" s="58">
        <v>43921</v>
      </c>
      <c r="AD175" s="58">
        <v>44012</v>
      </c>
      <c r="AE175" s="58">
        <v>44104</v>
      </c>
      <c r="AF175" s="58">
        <v>44196</v>
      </c>
      <c r="AG175" s="58">
        <v>44286</v>
      </c>
      <c r="AH175" s="58">
        <v>44377</v>
      </c>
      <c r="AI175" s="58">
        <v>44469</v>
      </c>
      <c r="AJ175" s="58"/>
      <c r="AK175" s="58"/>
      <c r="AL175" s="58"/>
      <c r="AM175" s="58"/>
      <c r="AN175" s="58"/>
    </row>
    <row r="176" spans="2:40" x14ac:dyDescent="0.3">
      <c r="D176" s="59" t="s">
        <v>115</v>
      </c>
      <c r="E176" s="1">
        <v>0</v>
      </c>
      <c r="F176" s="1">
        <v>0</v>
      </c>
      <c r="G176" s="1">
        <v>0</v>
      </c>
      <c r="H176" s="1">
        <v>0</v>
      </c>
      <c r="I176" s="1">
        <v>0</v>
      </c>
      <c r="J176" s="1">
        <v>0</v>
      </c>
      <c r="K176" s="1">
        <v>0</v>
      </c>
      <c r="L176" s="1">
        <v>6367.9489999999996</v>
      </c>
      <c r="M176" s="1">
        <v>1167.8309999999999</v>
      </c>
      <c r="N176" s="1">
        <v>1218.0709999999999</v>
      </c>
      <c r="O176" s="2">
        <f t="shared" ref="O176:O185" si="68">SUM(AG176:AI176)*4/3</f>
        <v>1649.7640000000001</v>
      </c>
      <c r="P176" s="1"/>
      <c r="Q176" s="1"/>
      <c r="AA176" s="59" t="s">
        <v>115</v>
      </c>
      <c r="AB176" s="1">
        <v>278.24900000000002</v>
      </c>
      <c r="AC176" s="1">
        <v>273.62400000000002</v>
      </c>
      <c r="AD176" s="1">
        <v>280.05599999999998</v>
      </c>
      <c r="AE176" s="1">
        <v>305.548</v>
      </c>
      <c r="AF176" s="1">
        <v>358.84399999999999</v>
      </c>
      <c r="AG176" s="1">
        <v>383.44799999999998</v>
      </c>
      <c r="AH176" s="1">
        <v>417.74299999999999</v>
      </c>
      <c r="AI176" s="1">
        <v>436.13200000000001</v>
      </c>
      <c r="AJ176" s="1"/>
      <c r="AK176" s="1"/>
      <c r="AL176" s="1"/>
      <c r="AM176" s="1"/>
      <c r="AN176" s="1"/>
    </row>
    <row r="177" spans="2:40" x14ac:dyDescent="0.3">
      <c r="D177" s="59" t="s">
        <v>118</v>
      </c>
      <c r="E177" s="1">
        <v>0</v>
      </c>
      <c r="F177" s="1">
        <v>0</v>
      </c>
      <c r="G177" s="1">
        <v>0</v>
      </c>
      <c r="H177" s="1">
        <v>0</v>
      </c>
      <c r="I177" s="1">
        <v>0</v>
      </c>
      <c r="J177" s="1">
        <v>0</v>
      </c>
      <c r="K177" s="1">
        <v>0</v>
      </c>
      <c r="L177" s="1">
        <v>1107.9000000000001</v>
      </c>
      <c r="M177" s="1">
        <v>1434.712</v>
      </c>
      <c r="N177" s="1">
        <v>1373.2190000000001</v>
      </c>
      <c r="O177" s="2">
        <f t="shared" si="68"/>
        <v>1537.2346666666665</v>
      </c>
      <c r="P177" s="1"/>
      <c r="Q177" s="1"/>
      <c r="AA177" s="59" t="s">
        <v>118</v>
      </c>
      <c r="AB177" s="1">
        <v>414.21499999999997</v>
      </c>
      <c r="AC177" s="1">
        <v>339.93200000000002</v>
      </c>
      <c r="AD177" s="1">
        <v>259.79899999999998</v>
      </c>
      <c r="AE177" s="1">
        <v>378.98500000000001</v>
      </c>
      <c r="AF177" s="1">
        <v>394.50299999999999</v>
      </c>
      <c r="AG177" s="1">
        <v>391.48</v>
      </c>
      <c r="AH177" s="1">
        <v>274.73</v>
      </c>
      <c r="AI177" s="1">
        <v>486.71600000000001</v>
      </c>
      <c r="AJ177" s="1"/>
      <c r="AK177" s="1"/>
      <c r="AL177" s="1"/>
      <c r="AM177" s="1"/>
      <c r="AN177" s="1"/>
    </row>
    <row r="178" spans="2:40" x14ac:dyDescent="0.3">
      <c r="D178" s="59" t="s">
        <v>120</v>
      </c>
      <c r="E178" s="1">
        <v>0</v>
      </c>
      <c r="F178" s="1">
        <v>0</v>
      </c>
      <c r="G178" s="1">
        <v>0</v>
      </c>
      <c r="H178" s="1">
        <v>0</v>
      </c>
      <c r="I178" s="1">
        <v>0</v>
      </c>
      <c r="J178" s="1">
        <v>0</v>
      </c>
      <c r="K178" s="1">
        <v>0</v>
      </c>
      <c r="L178" s="1">
        <v>1623.808</v>
      </c>
      <c r="M178" s="1">
        <v>630</v>
      </c>
      <c r="N178" s="1">
        <v>769</v>
      </c>
      <c r="O178" s="2">
        <f t="shared" si="68"/>
        <v>742.66666666666663</v>
      </c>
      <c r="P178" s="1"/>
      <c r="Q178" s="1"/>
      <c r="AA178" s="59" t="s">
        <v>120</v>
      </c>
      <c r="AB178" s="1">
        <v>130</v>
      </c>
      <c r="AC178" s="1">
        <v>183</v>
      </c>
      <c r="AD178" s="1">
        <v>132</v>
      </c>
      <c r="AE178" s="1">
        <v>177</v>
      </c>
      <c r="AF178" s="1">
        <v>277</v>
      </c>
      <c r="AG178" s="1">
        <v>175</v>
      </c>
      <c r="AH178" s="1">
        <v>198</v>
      </c>
      <c r="AI178" s="1">
        <v>184</v>
      </c>
      <c r="AJ178" s="1"/>
      <c r="AK178" s="1"/>
      <c r="AL178" s="1"/>
      <c r="AM178" s="1"/>
      <c r="AN178" s="1"/>
    </row>
    <row r="179" spans="2:40" x14ac:dyDescent="0.3">
      <c r="D179" s="59" t="s">
        <v>122</v>
      </c>
      <c r="E179" s="1">
        <v>0</v>
      </c>
      <c r="F179" s="1">
        <v>0</v>
      </c>
      <c r="G179" s="1">
        <v>0</v>
      </c>
      <c r="H179" s="1">
        <v>0</v>
      </c>
      <c r="I179" s="1">
        <v>0</v>
      </c>
      <c r="J179" s="1">
        <v>0</v>
      </c>
      <c r="K179" s="1">
        <v>0</v>
      </c>
      <c r="L179" s="1">
        <v>2230.799</v>
      </c>
      <c r="M179" s="1">
        <v>459.303</v>
      </c>
      <c r="N179" s="1">
        <v>-133.99100000000001</v>
      </c>
      <c r="O179" s="2">
        <f t="shared" si="68"/>
        <v>710.976</v>
      </c>
      <c r="P179" s="1"/>
      <c r="Q179" s="1"/>
      <c r="AA179" s="59" t="s">
        <v>122</v>
      </c>
      <c r="AB179" s="1">
        <v>90.790999999999997</v>
      </c>
      <c r="AC179" s="1">
        <v>181.58099999999999</v>
      </c>
      <c r="AD179" s="1">
        <v>-499.98</v>
      </c>
      <c r="AE179" s="1">
        <v>63.146999999999998</v>
      </c>
      <c r="AF179" s="1">
        <v>121.261</v>
      </c>
      <c r="AG179" s="1">
        <v>168.28399999999999</v>
      </c>
      <c r="AH179" s="1">
        <v>212.95500000000001</v>
      </c>
      <c r="AI179" s="1">
        <v>151.99299999999999</v>
      </c>
      <c r="AJ179" s="1"/>
      <c r="AK179" s="1"/>
      <c r="AL179" s="1"/>
      <c r="AM179" s="1"/>
      <c r="AN179" s="1"/>
    </row>
    <row r="180" spans="2:40" x14ac:dyDescent="0.3">
      <c r="D180" s="59" t="s">
        <v>124</v>
      </c>
      <c r="E180" s="1">
        <v>0</v>
      </c>
      <c r="F180" s="1">
        <v>0</v>
      </c>
      <c r="G180" s="1">
        <v>0</v>
      </c>
      <c r="H180" s="1">
        <v>0</v>
      </c>
      <c r="I180" s="1">
        <v>0</v>
      </c>
      <c r="J180" s="1">
        <v>0</v>
      </c>
      <c r="K180" s="1">
        <v>0</v>
      </c>
      <c r="L180" s="1">
        <v>1904.038</v>
      </c>
      <c r="M180" s="1">
        <v>504.17599999999999</v>
      </c>
      <c r="N180" s="1">
        <v>464.02499999999998</v>
      </c>
      <c r="O180" s="2">
        <f t="shared" si="68"/>
        <v>429.07733333333334</v>
      </c>
      <c r="P180" s="1"/>
      <c r="Q180" s="1"/>
      <c r="AA180" s="59" t="s">
        <v>124</v>
      </c>
      <c r="AB180" s="1">
        <v>58.271000000000001</v>
      </c>
      <c r="AC180" s="1">
        <v>118.55200000000001</v>
      </c>
      <c r="AD180" s="1">
        <v>115.85899999999999</v>
      </c>
      <c r="AE180" s="1">
        <v>90.358000000000004</v>
      </c>
      <c r="AF180" s="1">
        <v>139.256</v>
      </c>
      <c r="AG180" s="1">
        <v>125.748</v>
      </c>
      <c r="AH180" s="1">
        <v>86.492000000000004</v>
      </c>
      <c r="AI180" s="1">
        <v>109.568</v>
      </c>
      <c r="AJ180" s="1"/>
      <c r="AK180" s="1"/>
      <c r="AL180" s="1"/>
      <c r="AM180" s="1"/>
      <c r="AN180" s="1"/>
    </row>
    <row r="181" spans="2:40" x14ac:dyDescent="0.3">
      <c r="D181" s="59" t="s">
        <v>126</v>
      </c>
      <c r="E181" s="1">
        <v>0</v>
      </c>
      <c r="F181" s="1">
        <v>0</v>
      </c>
      <c r="G181" s="1">
        <v>0</v>
      </c>
      <c r="H181" s="1">
        <v>0</v>
      </c>
      <c r="I181" s="1">
        <v>0</v>
      </c>
      <c r="J181" s="1">
        <v>0</v>
      </c>
      <c r="K181" s="1">
        <v>0</v>
      </c>
      <c r="L181" s="1">
        <v>-339.51799999999997</v>
      </c>
      <c r="M181" s="1">
        <v>281.64600000000002</v>
      </c>
      <c r="N181" s="1">
        <v>235.768</v>
      </c>
      <c r="O181" s="2">
        <f t="shared" si="68"/>
        <v>320.37066666666664</v>
      </c>
      <c r="P181" s="1"/>
      <c r="Q181" s="1"/>
      <c r="AA181" s="59" t="s">
        <v>126</v>
      </c>
      <c r="AB181" s="1">
        <v>56.503</v>
      </c>
      <c r="AC181" s="1">
        <v>41.140999999999998</v>
      </c>
      <c r="AD181" s="1">
        <v>63.609000000000002</v>
      </c>
      <c r="AE181" s="1">
        <v>85.722999999999999</v>
      </c>
      <c r="AF181" s="1">
        <v>45.295000000000002</v>
      </c>
      <c r="AG181" s="1">
        <v>73.78</v>
      </c>
      <c r="AH181" s="1">
        <v>81.653999999999996</v>
      </c>
      <c r="AI181" s="1">
        <v>84.843999999999994</v>
      </c>
      <c r="AJ181" s="1"/>
      <c r="AK181" s="1"/>
      <c r="AL181" s="1"/>
      <c r="AM181" s="1"/>
      <c r="AN181" s="1"/>
    </row>
    <row r="182" spans="2:40" x14ac:dyDescent="0.3">
      <c r="D182" s="59" t="s">
        <v>130</v>
      </c>
      <c r="E182" s="1">
        <v>0</v>
      </c>
      <c r="F182" s="1">
        <v>0</v>
      </c>
      <c r="G182" s="1">
        <v>0</v>
      </c>
      <c r="H182" s="1">
        <v>0</v>
      </c>
      <c r="I182" s="1">
        <v>0</v>
      </c>
      <c r="J182" s="1">
        <v>0</v>
      </c>
      <c r="K182" s="1">
        <v>0</v>
      </c>
      <c r="L182" s="1">
        <v>497.81700000000001</v>
      </c>
      <c r="M182" s="1">
        <v>142.983</v>
      </c>
      <c r="N182" s="1">
        <v>153.172</v>
      </c>
      <c r="O182" s="2">
        <f t="shared" si="68"/>
        <v>192.68666666666664</v>
      </c>
      <c r="P182" s="1"/>
      <c r="Q182" s="1"/>
      <c r="AA182" s="59" t="s">
        <v>130</v>
      </c>
      <c r="AB182" s="1">
        <v>39.201000000000001</v>
      </c>
      <c r="AC182" s="1">
        <v>30.672999999999998</v>
      </c>
      <c r="AD182" s="1">
        <v>36.127000000000002</v>
      </c>
      <c r="AE182" s="1">
        <v>43.459000000000003</v>
      </c>
      <c r="AF182" s="1">
        <v>42.912999999999997</v>
      </c>
      <c r="AG182" s="1">
        <v>45.098999999999997</v>
      </c>
      <c r="AH182" s="1">
        <v>47.777999999999999</v>
      </c>
      <c r="AI182" s="1">
        <v>51.637999999999998</v>
      </c>
      <c r="AJ182" s="1"/>
      <c r="AK182" s="1"/>
      <c r="AL182" s="1"/>
      <c r="AM182" s="1"/>
      <c r="AN182" s="1"/>
    </row>
    <row r="183" spans="2:40" x14ac:dyDescent="0.3">
      <c r="D183" s="59" t="s">
        <v>128</v>
      </c>
      <c r="E183" s="1">
        <v>0</v>
      </c>
      <c r="F183" s="1">
        <v>0</v>
      </c>
      <c r="G183" s="1">
        <v>0</v>
      </c>
      <c r="H183" s="1">
        <v>0</v>
      </c>
      <c r="I183" s="1" t="s">
        <v>2</v>
      </c>
      <c r="J183" s="1" t="s">
        <v>2</v>
      </c>
      <c r="K183" s="1" t="s">
        <v>2</v>
      </c>
      <c r="L183" s="1">
        <v>-658.84199999999998</v>
      </c>
      <c r="M183" s="1">
        <v>528.81799999999998</v>
      </c>
      <c r="N183" s="1">
        <v>502.70800000000003</v>
      </c>
      <c r="O183" s="2">
        <f t="shared" si="68"/>
        <v>445.62666666666661</v>
      </c>
      <c r="P183" s="1"/>
      <c r="Q183" s="1"/>
      <c r="AA183" s="59" t="s">
        <v>128</v>
      </c>
      <c r="AB183" s="1">
        <v>140.01300000000001</v>
      </c>
      <c r="AC183" s="1">
        <v>126.935</v>
      </c>
      <c r="AD183" s="1">
        <v>112.157</v>
      </c>
      <c r="AE183" s="1">
        <v>116.01900000000001</v>
      </c>
      <c r="AF183" s="1">
        <v>147.59700000000001</v>
      </c>
      <c r="AG183" s="1">
        <v>126.708</v>
      </c>
      <c r="AH183" s="1">
        <v>107.663</v>
      </c>
      <c r="AI183" s="1">
        <v>99.849000000000004</v>
      </c>
      <c r="AJ183" s="1"/>
      <c r="AK183" s="1"/>
      <c r="AL183" s="1"/>
      <c r="AM183" s="1"/>
      <c r="AN183" s="1"/>
    </row>
    <row r="184" spans="2:40" x14ac:dyDescent="0.3">
      <c r="D184" s="59" t="s">
        <v>132</v>
      </c>
      <c r="E184" s="1">
        <v>0</v>
      </c>
      <c r="F184" s="1">
        <v>0</v>
      </c>
      <c r="G184" s="1">
        <v>0</v>
      </c>
      <c r="H184" s="1">
        <v>0</v>
      </c>
      <c r="I184" s="1">
        <v>0</v>
      </c>
      <c r="J184" s="1" t="s">
        <v>2</v>
      </c>
      <c r="K184" s="1" t="s">
        <v>2</v>
      </c>
      <c r="L184" s="1">
        <v>622.03099999999995</v>
      </c>
      <c r="M184" s="1">
        <v>131.00700000000001</v>
      </c>
      <c r="N184" s="1">
        <v>-2.5590000000000002</v>
      </c>
      <c r="O184" s="2">
        <f t="shared" si="68"/>
        <v>139.34266666666667</v>
      </c>
      <c r="P184" s="1"/>
      <c r="Q184" s="1"/>
      <c r="AA184" s="59" t="s">
        <v>132</v>
      </c>
      <c r="AB184" s="1">
        <v>46.439</v>
      </c>
      <c r="AC184" s="1">
        <v>35.002000000000002</v>
      </c>
      <c r="AD184" s="1">
        <v>32.976999999999997</v>
      </c>
      <c r="AE184" s="1">
        <v>19.207999999999998</v>
      </c>
      <c r="AF184" s="1">
        <v>-89.745999999999995</v>
      </c>
      <c r="AG184" s="1">
        <v>42.009</v>
      </c>
      <c r="AH184" s="1">
        <v>25.763999999999999</v>
      </c>
      <c r="AI184" s="1">
        <v>36.734000000000002</v>
      </c>
      <c r="AJ184" s="1"/>
      <c r="AK184" s="1"/>
      <c r="AL184" s="1"/>
      <c r="AM184" s="1"/>
      <c r="AN184" s="1"/>
    </row>
    <row r="185" spans="2:40" x14ac:dyDescent="0.3">
      <c r="D185" s="59" t="s">
        <v>134</v>
      </c>
      <c r="E185" s="1">
        <v>0</v>
      </c>
      <c r="F185" s="1">
        <v>0</v>
      </c>
      <c r="G185" s="1">
        <v>0</v>
      </c>
      <c r="H185" s="1">
        <v>0</v>
      </c>
      <c r="I185" s="1">
        <v>0</v>
      </c>
      <c r="J185" s="1">
        <v>0</v>
      </c>
      <c r="K185" s="1">
        <v>0</v>
      </c>
      <c r="L185" s="1">
        <v>867.87099999999998</v>
      </c>
      <c r="M185" s="1">
        <v>90.04</v>
      </c>
      <c r="N185" s="1">
        <v>248.946</v>
      </c>
      <c r="O185" s="2">
        <f t="shared" si="68"/>
        <v>191.69200000000001</v>
      </c>
      <c r="P185" s="1"/>
      <c r="Q185" s="1"/>
      <c r="AA185" s="59" t="s">
        <v>134</v>
      </c>
      <c r="AB185" s="1">
        <v>-7.9260000000000002</v>
      </c>
      <c r="AC185" s="1">
        <v>22.416</v>
      </c>
      <c r="AD185" s="1">
        <v>71.875</v>
      </c>
      <c r="AE185" s="1">
        <v>80.192999999999998</v>
      </c>
      <c r="AF185" s="1">
        <v>74.462000000000003</v>
      </c>
      <c r="AG185" s="1">
        <v>50.079000000000001</v>
      </c>
      <c r="AH185" s="1">
        <v>25.853000000000002</v>
      </c>
      <c r="AI185" s="1">
        <v>67.837000000000003</v>
      </c>
      <c r="AJ185" s="1"/>
      <c r="AK185" s="1"/>
      <c r="AL185" s="1"/>
      <c r="AM185" s="1"/>
      <c r="AN185" s="1"/>
    </row>
    <row r="186" spans="2:40" x14ac:dyDescent="0.3">
      <c r="D186" s="59"/>
      <c r="E186" s="1"/>
      <c r="F186" s="1"/>
      <c r="G186" s="1"/>
      <c r="H186" s="1"/>
      <c r="I186" s="1"/>
      <c r="J186" s="1"/>
      <c r="K186" s="1"/>
      <c r="L186" s="1"/>
      <c r="M186" s="1"/>
      <c r="N186" s="1"/>
      <c r="P186" s="1"/>
      <c r="Q186" s="1"/>
      <c r="AA186" s="59"/>
      <c r="AB186" s="1"/>
      <c r="AC186" s="1"/>
      <c r="AD186" s="1"/>
      <c r="AE186" s="1"/>
      <c r="AF186" s="1"/>
      <c r="AG186" s="1"/>
      <c r="AH186" s="1"/>
      <c r="AI186" s="1"/>
      <c r="AJ186" s="1"/>
      <c r="AK186" s="1"/>
      <c r="AL186" s="1"/>
      <c r="AM186" s="1"/>
      <c r="AN186" s="1"/>
    </row>
    <row r="187" spans="2:40" x14ac:dyDescent="0.3">
      <c r="E187" s="62">
        <f t="shared" ref="E187:Q187" si="69">SUM(E176:E185)</f>
        <v>0</v>
      </c>
      <c r="F187" s="62">
        <f t="shared" si="69"/>
        <v>0</v>
      </c>
      <c r="G187" s="62">
        <f t="shared" si="69"/>
        <v>0</v>
      </c>
      <c r="H187" s="62">
        <f t="shared" si="69"/>
        <v>0</v>
      </c>
      <c r="I187" s="62">
        <f t="shared" si="69"/>
        <v>0</v>
      </c>
      <c r="J187" s="62">
        <f t="shared" si="69"/>
        <v>0</v>
      </c>
      <c r="K187" s="62">
        <f t="shared" si="69"/>
        <v>0</v>
      </c>
      <c r="L187" s="62">
        <f t="shared" si="69"/>
        <v>14223.852999999996</v>
      </c>
      <c r="M187" s="62">
        <f t="shared" si="69"/>
        <v>5370.5159999999996</v>
      </c>
      <c r="N187" s="62">
        <f t="shared" si="69"/>
        <v>4828.3589999999995</v>
      </c>
      <c r="O187" s="62">
        <f t="shared" si="69"/>
        <v>6359.4373333333333</v>
      </c>
      <c r="P187" s="62">
        <f t="shared" si="69"/>
        <v>0</v>
      </c>
      <c r="Q187" s="62">
        <f t="shared" si="69"/>
        <v>0</v>
      </c>
      <c r="AB187" s="62">
        <f t="shared" ref="AB187:AN187" si="70">SUM(AB176:AB185)</f>
        <v>1245.7559999999999</v>
      </c>
      <c r="AC187" s="62">
        <f t="shared" si="70"/>
        <v>1352.856</v>
      </c>
      <c r="AD187" s="62">
        <f t="shared" si="70"/>
        <v>604.47899999999993</v>
      </c>
      <c r="AE187" s="62">
        <f t="shared" si="70"/>
        <v>1359.64</v>
      </c>
      <c r="AF187" s="62">
        <f t="shared" si="70"/>
        <v>1511.385</v>
      </c>
      <c r="AG187" s="62">
        <f t="shared" si="70"/>
        <v>1581.635</v>
      </c>
      <c r="AH187" s="62">
        <f t="shared" si="70"/>
        <v>1478.6319999999998</v>
      </c>
      <c r="AI187" s="62">
        <f t="shared" si="70"/>
        <v>1709.3109999999997</v>
      </c>
      <c r="AJ187" s="62">
        <f t="shared" si="70"/>
        <v>0</v>
      </c>
      <c r="AK187" s="62">
        <f t="shared" si="70"/>
        <v>0</v>
      </c>
      <c r="AL187" s="62">
        <f t="shared" si="70"/>
        <v>0</v>
      </c>
      <c r="AM187" s="62">
        <f t="shared" si="70"/>
        <v>0</v>
      </c>
      <c r="AN187" s="62">
        <f t="shared" si="70"/>
        <v>0</v>
      </c>
    </row>
    <row r="189" spans="2:40" x14ac:dyDescent="0.3">
      <c r="B189" t="e">
        <f ca="1">_xll.TR($B$85:$B$95,"TR.NetIncome(Scale=6)","Period=FY0 Frq=FY SDate=0 EDate=-12 Curn=SAR CH=Fd;periodenddate RH=IN SORTA=periodenddate",D189)</f>
        <v>#NAME?</v>
      </c>
      <c r="E189" t="s">
        <v>62</v>
      </c>
      <c r="F189" t="s">
        <v>62</v>
      </c>
      <c r="G189" t="s">
        <v>62</v>
      </c>
      <c r="H189" t="s">
        <v>62</v>
      </c>
      <c r="I189" t="s">
        <v>62</v>
      </c>
      <c r="J189" t="s">
        <v>62</v>
      </c>
      <c r="K189" t="s">
        <v>62</v>
      </c>
      <c r="L189" t="s">
        <v>62</v>
      </c>
      <c r="M189" t="s">
        <v>62</v>
      </c>
      <c r="N189" t="s">
        <v>62</v>
      </c>
      <c r="O189" t="s">
        <v>62</v>
      </c>
      <c r="P189" t="s">
        <v>62</v>
      </c>
      <c r="Q189" t="s">
        <v>62</v>
      </c>
      <c r="Y189" t="e">
        <f ca="1">_xll.TR($B$85:$B$95,"TR.NetIncome(Scale=6)","Period=FQ0 Frq=FQ SDate=0 EDate=-7 Curn=SAR CH=Fd;periodenddate RH=IN SORTA=periodenddate",AA189)</f>
        <v>#NAME?</v>
      </c>
      <c r="AB189" t="s">
        <v>62</v>
      </c>
      <c r="AC189" t="s">
        <v>62</v>
      </c>
      <c r="AD189" t="s">
        <v>62</v>
      </c>
      <c r="AE189" t="s">
        <v>62</v>
      </c>
      <c r="AF189" t="s">
        <v>62</v>
      </c>
      <c r="AG189" t="s">
        <v>62</v>
      </c>
      <c r="AH189" t="s">
        <v>62</v>
      </c>
      <c r="AI189" t="s">
        <v>62</v>
      </c>
    </row>
    <row r="190" spans="2:40" x14ac:dyDescent="0.3">
      <c r="E190" s="58">
        <v>39813</v>
      </c>
      <c r="F190" s="58">
        <v>40178</v>
      </c>
      <c r="G190" s="58">
        <v>40543</v>
      </c>
      <c r="H190" s="58">
        <v>40908</v>
      </c>
      <c r="I190" s="58">
        <v>41274</v>
      </c>
      <c r="J190" s="58">
        <v>41639</v>
      </c>
      <c r="K190" s="58">
        <v>42004</v>
      </c>
      <c r="L190" s="58">
        <v>42369</v>
      </c>
      <c r="M190" s="58">
        <v>42735</v>
      </c>
      <c r="N190" s="58">
        <v>43100</v>
      </c>
      <c r="O190" s="58">
        <v>43465</v>
      </c>
      <c r="P190" s="58">
        <v>43830</v>
      </c>
      <c r="Q190" s="58">
        <v>44196</v>
      </c>
      <c r="AB190" s="58">
        <v>43830</v>
      </c>
      <c r="AC190" s="58">
        <v>43921</v>
      </c>
      <c r="AD190" s="58">
        <v>44012</v>
      </c>
      <c r="AE190" s="58">
        <v>44104</v>
      </c>
      <c r="AF190" s="58">
        <v>44196</v>
      </c>
      <c r="AG190" s="58">
        <v>44286</v>
      </c>
      <c r="AH190" s="58">
        <v>44377</v>
      </c>
      <c r="AI190" s="58">
        <v>44469</v>
      </c>
      <c r="AJ190" s="58"/>
      <c r="AK190" s="58"/>
      <c r="AL190" s="58"/>
      <c r="AM190" s="58"/>
      <c r="AN190" s="58"/>
    </row>
    <row r="191" spans="2:40" x14ac:dyDescent="0.3">
      <c r="D191" s="59" t="s">
        <v>115</v>
      </c>
      <c r="E191" s="1">
        <v>6524.6040000000003</v>
      </c>
      <c r="F191" s="1">
        <v>6767.2280000000001</v>
      </c>
      <c r="G191" s="1">
        <v>6770.8289999999997</v>
      </c>
      <c r="H191" s="1">
        <v>7378.268</v>
      </c>
      <c r="I191" s="1">
        <v>4024.509</v>
      </c>
      <c r="J191" s="1">
        <v>7437.9870000000001</v>
      </c>
      <c r="K191" s="1">
        <v>6836.1719999999996</v>
      </c>
      <c r="L191" s="1">
        <v>7130.0749999999998</v>
      </c>
      <c r="M191" s="1">
        <v>8125.96</v>
      </c>
      <c r="N191" s="1">
        <v>9120.7260000000006</v>
      </c>
      <c r="O191" s="1">
        <v>3767.953</v>
      </c>
      <c r="P191" s="1">
        <v>10158.527</v>
      </c>
      <c r="Q191" s="1">
        <v>10595.548000000001</v>
      </c>
      <c r="R191" s="2">
        <f t="shared" ref="R191:R200" si="71">SUM(AG191:AI191)*4/3</f>
        <v>14311.897333333334</v>
      </c>
      <c r="AA191" s="59" t="s">
        <v>115</v>
      </c>
      <c r="AB191" s="1">
        <v>2152.2849999999999</v>
      </c>
      <c r="AC191" s="1">
        <v>2380.152</v>
      </c>
      <c r="AD191" s="1">
        <v>2436.1</v>
      </c>
      <c r="AE191" s="1">
        <v>2657.848</v>
      </c>
      <c r="AF191" s="1">
        <v>3121.4470000000001</v>
      </c>
      <c r="AG191" s="1">
        <v>3335.4850000000001</v>
      </c>
      <c r="AH191" s="1">
        <v>3604.6869999999999</v>
      </c>
      <c r="AI191" s="1">
        <v>3793.7510000000002</v>
      </c>
      <c r="AJ191" s="1"/>
      <c r="AK191" s="1"/>
      <c r="AL191" s="1"/>
      <c r="AM191" s="1"/>
      <c r="AN191" s="1"/>
    </row>
    <row r="192" spans="2:40" x14ac:dyDescent="0.3">
      <c r="D192" s="59" t="s">
        <v>118</v>
      </c>
      <c r="E192" s="1">
        <v>2031.299</v>
      </c>
      <c r="F192" s="1">
        <v>4040.2559999999999</v>
      </c>
      <c r="G192" s="1">
        <v>4723.835</v>
      </c>
      <c r="H192" s="1">
        <v>6011.7510000000002</v>
      </c>
      <c r="I192" s="1">
        <v>6452.8040000000001</v>
      </c>
      <c r="J192" s="1">
        <v>7852.1989999999996</v>
      </c>
      <c r="K192" s="1">
        <v>8655.15</v>
      </c>
      <c r="L192" s="1">
        <v>9089.1830000000009</v>
      </c>
      <c r="M192" s="1">
        <v>9316.857</v>
      </c>
      <c r="N192" s="1">
        <v>9801.982</v>
      </c>
      <c r="O192" s="1">
        <v>9593.9490000000005</v>
      </c>
      <c r="P192" s="1">
        <v>11401.436</v>
      </c>
      <c r="Q192" s="1">
        <v>11440.097</v>
      </c>
      <c r="R192" s="2">
        <f t="shared" si="71"/>
        <v>12414.603999999999</v>
      </c>
      <c r="AA192" s="59" t="s">
        <v>118</v>
      </c>
      <c r="AB192" s="1">
        <v>3389.607</v>
      </c>
      <c r="AC192" s="1">
        <v>2834.1990000000001</v>
      </c>
      <c r="AD192" s="1">
        <v>2087.7260000000001</v>
      </c>
      <c r="AE192" s="1">
        <v>3158.4009999999998</v>
      </c>
      <c r="AF192" s="1">
        <v>3359.7710000000002</v>
      </c>
      <c r="AG192" s="1">
        <v>3408.4679999999998</v>
      </c>
      <c r="AH192" s="1">
        <v>2117.0819999999999</v>
      </c>
      <c r="AI192" s="1">
        <v>3785.4029999999998</v>
      </c>
      <c r="AJ192" s="1"/>
      <c r="AK192" s="1"/>
      <c r="AL192" s="1"/>
      <c r="AM192" s="1"/>
      <c r="AN192" s="1"/>
    </row>
    <row r="193" spans="2:43" x14ac:dyDescent="0.3">
      <c r="D193" s="59" t="s">
        <v>120</v>
      </c>
      <c r="E193" s="1">
        <v>2638.7570000000001</v>
      </c>
      <c r="F193" s="1">
        <v>3030.4850000000001</v>
      </c>
      <c r="G193" s="1">
        <v>2824.627</v>
      </c>
      <c r="H193" s="1">
        <v>3149.3530000000001</v>
      </c>
      <c r="I193" s="1">
        <v>3466.049</v>
      </c>
      <c r="J193" s="1">
        <v>3947.105</v>
      </c>
      <c r="K193" s="1">
        <v>4352.4080000000004</v>
      </c>
      <c r="L193" s="1">
        <v>4049.4769999999999</v>
      </c>
      <c r="M193" s="1">
        <v>3342.4870000000001</v>
      </c>
      <c r="N193" s="1">
        <v>3945.9960000000001</v>
      </c>
      <c r="O193" s="1">
        <v>3092.277</v>
      </c>
      <c r="P193" s="1">
        <v>5602.0659999999998</v>
      </c>
      <c r="Q193" s="1">
        <v>4714.9970000000003</v>
      </c>
      <c r="R193" s="2">
        <f t="shared" si="71"/>
        <v>5877.3613333333333</v>
      </c>
      <c r="AA193" s="59" t="s">
        <v>120</v>
      </c>
      <c r="AB193" s="1">
        <v>1111.181</v>
      </c>
      <c r="AC193" s="1">
        <v>1476.434</v>
      </c>
      <c r="AD193" s="1">
        <v>1063.046</v>
      </c>
      <c r="AE193" s="1">
        <v>1295.9749999999999</v>
      </c>
      <c r="AF193" s="1">
        <v>879.54200000000003</v>
      </c>
      <c r="AG193" s="1">
        <v>1353.617</v>
      </c>
      <c r="AH193" s="1">
        <v>1511.5989999999999</v>
      </c>
      <c r="AI193" s="1">
        <v>1542.8050000000001</v>
      </c>
      <c r="AJ193" s="1"/>
      <c r="AK193" s="1"/>
      <c r="AL193" s="1"/>
      <c r="AM193" s="1"/>
      <c r="AN193" s="1"/>
    </row>
    <row r="194" spans="2:43" x14ac:dyDescent="0.3">
      <c r="D194" s="59" t="s">
        <v>122</v>
      </c>
      <c r="E194" s="1">
        <v>2920.0189999999998</v>
      </c>
      <c r="F194" s="1">
        <v>2032.277</v>
      </c>
      <c r="G194" s="1">
        <v>1883.152</v>
      </c>
      <c r="H194" s="1">
        <v>2888.4349999999999</v>
      </c>
      <c r="I194" s="1">
        <v>3240.3159999999998</v>
      </c>
      <c r="J194" s="1">
        <v>3773.81</v>
      </c>
      <c r="K194" s="1">
        <v>4266.0609999999997</v>
      </c>
      <c r="L194" s="1">
        <v>4330.5469999999996</v>
      </c>
      <c r="M194" s="1">
        <v>3894.7310000000002</v>
      </c>
      <c r="N194" s="1">
        <v>3954.578</v>
      </c>
      <c r="O194" s="1">
        <v>2715.4430000000002</v>
      </c>
      <c r="P194" s="1">
        <v>2754.26</v>
      </c>
      <c r="Q194" s="1">
        <v>-4132.1409999999996</v>
      </c>
      <c r="R194" s="2">
        <f t="shared" si="71"/>
        <v>3703.3440000000005</v>
      </c>
      <c r="AA194" s="59" t="s">
        <v>122</v>
      </c>
      <c r="AB194" s="1">
        <v>660.09900000000005</v>
      </c>
      <c r="AC194" s="1">
        <v>975.58600000000001</v>
      </c>
      <c r="AD194" s="1">
        <v>-6857.4920000000002</v>
      </c>
      <c r="AE194" s="1">
        <v>1049.991</v>
      </c>
      <c r="AF194" s="1">
        <v>688.12400000000002</v>
      </c>
      <c r="AG194" s="1">
        <v>973.70600000000002</v>
      </c>
      <c r="AH194" s="1">
        <v>918.5</v>
      </c>
      <c r="AI194" s="1">
        <v>885.30200000000002</v>
      </c>
      <c r="AJ194" s="1"/>
      <c r="AK194" s="1"/>
      <c r="AL194" s="1"/>
      <c r="AM194" s="1"/>
      <c r="AN194" s="1"/>
    </row>
    <row r="195" spans="2:43" x14ac:dyDescent="0.3">
      <c r="D195" s="59" t="s">
        <v>124</v>
      </c>
      <c r="E195" s="1">
        <v>2805.6590000000001</v>
      </c>
      <c r="F195" s="1">
        <v>2470.6149999999998</v>
      </c>
      <c r="G195" s="1">
        <v>2801.0070000000001</v>
      </c>
      <c r="H195" s="1">
        <v>2910.942</v>
      </c>
      <c r="I195" s="1">
        <v>3015.136</v>
      </c>
      <c r="J195" s="1">
        <v>2405.5749999999998</v>
      </c>
      <c r="K195" s="1">
        <v>3516.3409999999999</v>
      </c>
      <c r="L195" s="1">
        <v>4036.444</v>
      </c>
      <c r="M195" s="1">
        <v>3510.2339999999999</v>
      </c>
      <c r="N195" s="1">
        <v>3531.884</v>
      </c>
      <c r="O195" s="1">
        <v>1403.0160000000001</v>
      </c>
      <c r="P195" s="1">
        <v>3114.9659999999999</v>
      </c>
      <c r="Q195" s="1">
        <v>1546.211</v>
      </c>
      <c r="R195" s="2">
        <f t="shared" si="71"/>
        <v>3275.4799999999996</v>
      </c>
      <c r="AA195" s="59" t="s">
        <v>124</v>
      </c>
      <c r="AB195" s="1">
        <v>514.50800000000004</v>
      </c>
      <c r="AC195" s="1">
        <v>682.077</v>
      </c>
      <c r="AD195" s="1">
        <v>436.79599999999999</v>
      </c>
      <c r="AE195" s="1">
        <v>333.39</v>
      </c>
      <c r="AF195" s="1">
        <v>93.947999999999993</v>
      </c>
      <c r="AG195" s="1">
        <v>779.68299999999999</v>
      </c>
      <c r="AH195" s="1">
        <v>769.678</v>
      </c>
      <c r="AI195" s="1">
        <v>907.24900000000002</v>
      </c>
      <c r="AJ195" s="1"/>
      <c r="AK195" s="1"/>
      <c r="AL195" s="1"/>
      <c r="AM195" s="1"/>
      <c r="AN195" s="1"/>
    </row>
    <row r="196" spans="2:43" x14ac:dyDescent="0.3">
      <c r="D196" s="59" t="s">
        <v>126</v>
      </c>
      <c r="E196" s="1">
        <v>389.98099999999999</v>
      </c>
      <c r="F196" s="1">
        <v>605.34100000000001</v>
      </c>
      <c r="G196" s="1">
        <v>15.2</v>
      </c>
      <c r="H196" s="1">
        <v>431.334</v>
      </c>
      <c r="I196" s="1">
        <v>733.15899999999999</v>
      </c>
      <c r="J196" s="1">
        <v>1004.7569999999999</v>
      </c>
      <c r="K196" s="1">
        <v>1264.431</v>
      </c>
      <c r="L196" s="1">
        <v>1469.9760000000001</v>
      </c>
      <c r="M196" s="1">
        <v>1502.271</v>
      </c>
      <c r="N196" s="1">
        <v>2011.357</v>
      </c>
      <c r="O196" s="1">
        <v>2856.951</v>
      </c>
      <c r="P196" s="1">
        <v>2534.81</v>
      </c>
      <c r="Q196" s="1">
        <v>1965.992</v>
      </c>
      <c r="R196" s="2">
        <f t="shared" si="71"/>
        <v>2787.0120000000002</v>
      </c>
      <c r="AA196" s="59" t="s">
        <v>126</v>
      </c>
      <c r="AB196" s="1">
        <v>508.52499999999998</v>
      </c>
      <c r="AC196" s="1">
        <v>370.26499999999999</v>
      </c>
      <c r="AD196" s="1">
        <v>572.48599999999999</v>
      </c>
      <c r="AE196" s="1">
        <v>629.24699999999996</v>
      </c>
      <c r="AF196" s="1">
        <v>393.99400000000003</v>
      </c>
      <c r="AG196" s="1">
        <v>641.83799999999997</v>
      </c>
      <c r="AH196" s="1">
        <v>710.33100000000002</v>
      </c>
      <c r="AI196" s="1">
        <v>738.09</v>
      </c>
      <c r="AJ196" s="1"/>
      <c r="AK196" s="1"/>
      <c r="AL196" s="1"/>
      <c r="AM196" s="1"/>
      <c r="AN196" s="1"/>
    </row>
    <row r="197" spans="2:43" x14ac:dyDescent="0.3">
      <c r="D197" s="59" t="s">
        <v>130</v>
      </c>
      <c r="E197" s="1">
        <v>125.069</v>
      </c>
      <c r="F197" s="1">
        <v>-248.38900000000001</v>
      </c>
      <c r="G197" s="1">
        <v>92.32</v>
      </c>
      <c r="H197" s="1">
        <v>329.625</v>
      </c>
      <c r="I197" s="1">
        <v>941.80399999999997</v>
      </c>
      <c r="J197" s="1">
        <v>729.16800000000001</v>
      </c>
      <c r="K197" s="1">
        <v>864.029</v>
      </c>
      <c r="L197" s="1">
        <v>788.423</v>
      </c>
      <c r="M197" s="1">
        <v>807.72299999999996</v>
      </c>
      <c r="N197" s="1">
        <v>942.04700000000003</v>
      </c>
      <c r="O197" s="1">
        <v>612.69299999999998</v>
      </c>
      <c r="P197" s="1">
        <v>1243.74</v>
      </c>
      <c r="Q197" s="1">
        <v>1348.518</v>
      </c>
      <c r="R197" s="2">
        <f t="shared" si="71"/>
        <v>1678.0600000000002</v>
      </c>
      <c r="AA197" s="59" t="s">
        <v>130</v>
      </c>
      <c r="AB197" s="1">
        <v>327.14699999999999</v>
      </c>
      <c r="AC197" s="1">
        <v>270.04300000000001</v>
      </c>
      <c r="AD197" s="1">
        <v>318.06099999999998</v>
      </c>
      <c r="AE197" s="1">
        <v>382.60599999999999</v>
      </c>
      <c r="AF197" s="1">
        <v>377.80799999999999</v>
      </c>
      <c r="AG197" s="1">
        <v>392.75400000000002</v>
      </c>
      <c r="AH197" s="1">
        <v>416.08699999999999</v>
      </c>
      <c r="AI197" s="1">
        <v>449.70400000000001</v>
      </c>
      <c r="AJ197" s="1"/>
      <c r="AK197" s="1"/>
      <c r="AL197" s="1"/>
      <c r="AM197" s="1"/>
      <c r="AN197" s="1"/>
    </row>
    <row r="198" spans="2:43" x14ac:dyDescent="0.3">
      <c r="D198" s="59" t="s">
        <v>128</v>
      </c>
      <c r="E198" s="1">
        <v>2486.1239999999998</v>
      </c>
      <c r="F198" s="1">
        <v>2370.0120000000002</v>
      </c>
      <c r="G198" s="1">
        <v>1911.0889999999999</v>
      </c>
      <c r="H198" s="1">
        <v>2171.123</v>
      </c>
      <c r="I198" s="1">
        <v>2371.1779999999999</v>
      </c>
      <c r="J198" s="1">
        <v>2522.4949999999999</v>
      </c>
      <c r="K198" s="1">
        <v>2875.05</v>
      </c>
      <c r="L198" s="1">
        <v>2964.4169999999999</v>
      </c>
      <c r="M198" s="1">
        <v>2853.9009999999998</v>
      </c>
      <c r="N198" s="1">
        <v>3026.9720000000002</v>
      </c>
      <c r="O198" s="1">
        <v>3969.0059999999999</v>
      </c>
      <c r="P198" s="1">
        <v>3023.2350000000001</v>
      </c>
      <c r="Q198" s="1">
        <v>2072.212</v>
      </c>
      <c r="R198" s="2">
        <f t="shared" si="71"/>
        <v>2293.7946666666667</v>
      </c>
      <c r="AA198" s="59" t="s">
        <v>128</v>
      </c>
      <c r="AB198" s="1">
        <v>515.25699999999995</v>
      </c>
      <c r="AC198" s="1">
        <v>643.78700000000003</v>
      </c>
      <c r="AD198" s="1">
        <v>485.952</v>
      </c>
      <c r="AE198" s="1">
        <v>668.6</v>
      </c>
      <c r="AF198" s="1">
        <v>273.87299999999999</v>
      </c>
      <c r="AG198" s="1">
        <v>582.23099999999999</v>
      </c>
      <c r="AH198" s="1">
        <v>472.76100000000002</v>
      </c>
      <c r="AI198" s="1">
        <v>665.35400000000004</v>
      </c>
      <c r="AJ198" s="1"/>
      <c r="AK198" s="1"/>
      <c r="AL198" s="1"/>
      <c r="AM198" s="1"/>
      <c r="AN198" s="1"/>
    </row>
    <row r="199" spans="2:43" x14ac:dyDescent="0.3">
      <c r="D199" s="59" t="s">
        <v>132</v>
      </c>
      <c r="E199" s="1">
        <v>222.339</v>
      </c>
      <c r="F199" s="1">
        <v>27.524000000000001</v>
      </c>
      <c r="G199" s="1">
        <v>28.911999999999999</v>
      </c>
      <c r="H199" s="1">
        <v>302.85300000000001</v>
      </c>
      <c r="I199" s="1">
        <v>500.48</v>
      </c>
      <c r="J199" s="1">
        <v>650.63599999999997</v>
      </c>
      <c r="K199" s="1">
        <v>572.46699999999998</v>
      </c>
      <c r="L199" s="1">
        <v>1287.1189999999999</v>
      </c>
      <c r="M199" s="1">
        <v>871.94200000000001</v>
      </c>
      <c r="N199" s="1">
        <v>857.51400000000001</v>
      </c>
      <c r="O199" s="1">
        <v>378.27600000000001</v>
      </c>
      <c r="P199" s="1">
        <v>991.02300000000002</v>
      </c>
      <c r="Q199" s="1">
        <v>33.753999999999998</v>
      </c>
      <c r="R199" s="2">
        <f t="shared" si="71"/>
        <v>1036.3733333333332</v>
      </c>
      <c r="AA199" s="59" t="s">
        <v>132</v>
      </c>
      <c r="AB199" s="1">
        <v>247.33</v>
      </c>
      <c r="AC199" s="1">
        <v>181.60900000000001</v>
      </c>
      <c r="AD199" s="1">
        <v>165.767</v>
      </c>
      <c r="AE199" s="1">
        <v>181.63200000000001</v>
      </c>
      <c r="AF199" s="1">
        <v>-495.25400000000002</v>
      </c>
      <c r="AG199" s="1">
        <v>321.59300000000002</v>
      </c>
      <c r="AH199" s="1">
        <v>251.15899999999999</v>
      </c>
      <c r="AI199" s="1">
        <v>204.52799999999999</v>
      </c>
      <c r="AJ199" s="1"/>
      <c r="AK199" s="1"/>
      <c r="AL199" s="1"/>
      <c r="AM199" s="1"/>
      <c r="AN199" s="1"/>
    </row>
    <row r="200" spans="2:43" x14ac:dyDescent="0.3">
      <c r="D200" s="59" t="s">
        <v>134</v>
      </c>
      <c r="E200" s="1">
        <v>513.22900000000004</v>
      </c>
      <c r="F200" s="1">
        <v>521.62599999999998</v>
      </c>
      <c r="G200" s="1">
        <v>429.33499999999998</v>
      </c>
      <c r="H200" s="1">
        <v>707.60599999999999</v>
      </c>
      <c r="I200" s="1">
        <v>912.03700000000003</v>
      </c>
      <c r="J200" s="1">
        <v>1286.8340000000001</v>
      </c>
      <c r="K200" s="1">
        <v>1436.479</v>
      </c>
      <c r="L200" s="1">
        <v>1328.6569999999999</v>
      </c>
      <c r="M200" s="1">
        <v>1052.9580000000001</v>
      </c>
      <c r="N200" s="1">
        <v>1410.798</v>
      </c>
      <c r="O200" s="1">
        <v>575.89700000000005</v>
      </c>
      <c r="P200" s="1">
        <v>239.46100000000001</v>
      </c>
      <c r="Q200" s="1">
        <v>979.56100000000004</v>
      </c>
      <c r="R200" s="2">
        <f t="shared" si="71"/>
        <v>1034.1466666666668</v>
      </c>
      <c r="AA200" s="59" t="s">
        <v>134</v>
      </c>
      <c r="AB200" s="1">
        <v>-69.180000000000007</v>
      </c>
      <c r="AC200" s="1">
        <v>150.714</v>
      </c>
      <c r="AD200" s="1">
        <v>262.26400000000001</v>
      </c>
      <c r="AE200" s="1">
        <v>301.37299999999999</v>
      </c>
      <c r="AF200" s="1">
        <v>265.20999999999998</v>
      </c>
      <c r="AG200" s="1">
        <v>213.495</v>
      </c>
      <c r="AH200" s="1">
        <v>287.77</v>
      </c>
      <c r="AI200" s="1">
        <v>274.34500000000003</v>
      </c>
      <c r="AJ200" s="1"/>
      <c r="AK200" s="1"/>
      <c r="AL200" s="1"/>
      <c r="AM200" s="1"/>
      <c r="AN200" s="1"/>
    </row>
    <row r="201" spans="2:43" x14ac:dyDescent="0.3">
      <c r="D201" s="59"/>
      <c r="E201" s="1"/>
      <c r="F201" s="1"/>
      <c r="G201" s="1"/>
      <c r="H201" s="1"/>
      <c r="I201" s="1"/>
      <c r="J201" s="1"/>
      <c r="K201" s="1"/>
      <c r="L201" s="1"/>
      <c r="M201" s="1"/>
      <c r="N201" s="1"/>
      <c r="O201" s="1"/>
      <c r="P201" s="1"/>
      <c r="Q201" s="1"/>
      <c r="AA201" s="59"/>
      <c r="AB201" s="1"/>
      <c r="AC201" s="1"/>
      <c r="AD201" s="1"/>
      <c r="AE201" s="1"/>
      <c r="AF201" s="1"/>
      <c r="AG201" s="1"/>
      <c r="AH201" s="1"/>
      <c r="AI201" s="1"/>
      <c r="AJ201" s="1"/>
      <c r="AK201" s="1"/>
      <c r="AL201" s="1"/>
      <c r="AM201" s="1"/>
      <c r="AN201" s="1"/>
    </row>
    <row r="202" spans="2:43" x14ac:dyDescent="0.3">
      <c r="E202" s="62">
        <f t="shared" ref="E202:R202" si="72">SUM(E191:E200)</f>
        <v>20657.079999999998</v>
      </c>
      <c r="F202" s="62">
        <f t="shared" si="72"/>
        <v>21616.975000000002</v>
      </c>
      <c r="G202" s="62">
        <f t="shared" si="72"/>
        <v>21480.306</v>
      </c>
      <c r="H202" s="62">
        <f t="shared" si="72"/>
        <v>26281.289999999997</v>
      </c>
      <c r="I202" s="62">
        <f t="shared" si="72"/>
        <v>25657.471999999998</v>
      </c>
      <c r="J202" s="62">
        <f t="shared" si="72"/>
        <v>31610.566000000003</v>
      </c>
      <c r="K202" s="62">
        <f t="shared" si="72"/>
        <v>34638.587999999996</v>
      </c>
      <c r="L202" s="62">
        <f t="shared" si="72"/>
        <v>36474.317999999992</v>
      </c>
      <c r="M202" s="62">
        <f t="shared" si="72"/>
        <v>35279.063999999998</v>
      </c>
      <c r="N202" s="62">
        <f t="shared" si="72"/>
        <v>38603.854000000007</v>
      </c>
      <c r="O202" s="62">
        <f t="shared" si="72"/>
        <v>28965.461000000003</v>
      </c>
      <c r="P202" s="62">
        <f t="shared" si="72"/>
        <v>41063.523999999998</v>
      </c>
      <c r="Q202" s="62">
        <f t="shared" si="72"/>
        <v>30564.749</v>
      </c>
      <c r="R202" s="62">
        <f t="shared" si="72"/>
        <v>48412.073333333334</v>
      </c>
      <c r="AB202" s="62">
        <f t="shared" ref="AB202:AN202" si="73">SUM(AB191:AB200)</f>
        <v>9356.759</v>
      </c>
      <c r="AC202" s="62">
        <f t="shared" si="73"/>
        <v>9964.866</v>
      </c>
      <c r="AD202" s="62">
        <f t="shared" si="73"/>
        <v>970.70600000000024</v>
      </c>
      <c r="AE202" s="62">
        <f t="shared" si="73"/>
        <v>10659.062999999998</v>
      </c>
      <c r="AF202" s="62">
        <f t="shared" si="73"/>
        <v>8958.4629999999997</v>
      </c>
      <c r="AG202" s="62">
        <f t="shared" si="73"/>
        <v>12002.87</v>
      </c>
      <c r="AH202" s="62">
        <f t="shared" si="73"/>
        <v>11059.654</v>
      </c>
      <c r="AI202" s="62">
        <f t="shared" si="73"/>
        <v>13246.530999999999</v>
      </c>
      <c r="AJ202" s="62">
        <f t="shared" si="73"/>
        <v>0</v>
      </c>
      <c r="AK202" s="62">
        <f t="shared" si="73"/>
        <v>0</v>
      </c>
      <c r="AL202" s="62">
        <f t="shared" si="73"/>
        <v>0</v>
      </c>
      <c r="AM202" s="62">
        <f t="shared" si="73"/>
        <v>0</v>
      </c>
      <c r="AN202" s="62">
        <f t="shared" si="73"/>
        <v>0</v>
      </c>
    </row>
    <row r="204" spans="2:43" x14ac:dyDescent="0.3">
      <c r="B204" t="e">
        <f ca="1">_xll.TR($B$85:$B$95,"TR.NetLoans(Scale=6)","Period=FY0 Frq=FY SDate=0 EDate=-12 Curn=SAR CH=Fd;periodenddate RH=IN SORTA=periodenddate",D204)</f>
        <v>#NAME?</v>
      </c>
      <c r="E204" t="s">
        <v>0</v>
      </c>
      <c r="F204" t="s">
        <v>0</v>
      </c>
      <c r="G204" t="s">
        <v>0</v>
      </c>
      <c r="H204" t="s">
        <v>0</v>
      </c>
      <c r="I204" t="s">
        <v>0</v>
      </c>
      <c r="J204" t="s">
        <v>0</v>
      </c>
      <c r="K204" t="s">
        <v>0</v>
      </c>
      <c r="L204" t="s">
        <v>0</v>
      </c>
      <c r="M204" t="s">
        <v>0</v>
      </c>
      <c r="N204" t="s">
        <v>0</v>
      </c>
      <c r="O204" t="s">
        <v>0</v>
      </c>
      <c r="P204" t="s">
        <v>0</v>
      </c>
      <c r="Q204" t="s">
        <v>0</v>
      </c>
      <c r="Y204" t="e">
        <f ca="1">_xll.TR($B$85:$B$95,"TR.NetLoans(Scale=6)","Period=FQ0 Frq=FQ SDate=0 EDate=-7 Curn=SAR CH=Fd;periodenddate RH=IN SORTA=periodenddate",AA204)</f>
        <v>#NAME?</v>
      </c>
      <c r="AB204" t="s">
        <v>0</v>
      </c>
      <c r="AC204" t="s">
        <v>0</v>
      </c>
      <c r="AD204" t="s">
        <v>0</v>
      </c>
      <c r="AE204" t="s">
        <v>0</v>
      </c>
      <c r="AF204" t="s">
        <v>0</v>
      </c>
      <c r="AG204" t="s">
        <v>0</v>
      </c>
      <c r="AH204" t="s">
        <v>0</v>
      </c>
      <c r="AI204" t="s">
        <v>0</v>
      </c>
    </row>
    <row r="205" spans="2:43" x14ac:dyDescent="0.3">
      <c r="E205" s="58">
        <v>39813</v>
      </c>
      <c r="F205" s="58">
        <v>40178</v>
      </c>
      <c r="G205" s="58">
        <v>40543</v>
      </c>
      <c r="H205" s="58">
        <v>40908</v>
      </c>
      <c r="I205" s="58">
        <v>41274</v>
      </c>
      <c r="J205" s="58">
        <v>41639</v>
      </c>
      <c r="K205" s="58">
        <v>42004</v>
      </c>
      <c r="L205" s="58">
        <v>42369</v>
      </c>
      <c r="M205" s="58">
        <v>42735</v>
      </c>
      <c r="N205" s="58">
        <v>43100</v>
      </c>
      <c r="O205" s="58">
        <v>43465</v>
      </c>
      <c r="P205" s="58">
        <v>43830</v>
      </c>
      <c r="Q205" s="58">
        <v>44196</v>
      </c>
      <c r="AB205" s="58">
        <v>43830</v>
      </c>
      <c r="AC205" s="58">
        <v>43921</v>
      </c>
      <c r="AD205" s="58">
        <v>44012</v>
      </c>
      <c r="AE205" s="58">
        <v>44104</v>
      </c>
      <c r="AF205" s="58">
        <v>44196</v>
      </c>
      <c r="AG205" s="58">
        <v>44286</v>
      </c>
      <c r="AH205" s="58">
        <v>44377</v>
      </c>
      <c r="AI205" s="58">
        <v>44469</v>
      </c>
      <c r="AJ205" s="58"/>
      <c r="AK205" s="58"/>
      <c r="AL205" s="58"/>
      <c r="AM205" s="58"/>
      <c r="AN205" s="58"/>
    </row>
    <row r="206" spans="2:43" x14ac:dyDescent="0.3">
      <c r="D206" s="59" t="s">
        <v>115</v>
      </c>
      <c r="E206" s="1">
        <v>143201.35699999999</v>
      </c>
      <c r="F206" s="1">
        <v>112843.45</v>
      </c>
      <c r="G206" s="1">
        <v>120376.72900000001</v>
      </c>
      <c r="H206" s="1">
        <v>140689.23300000001</v>
      </c>
      <c r="I206" s="1">
        <v>172233.61600000001</v>
      </c>
      <c r="J206" s="1">
        <v>186813.22500000001</v>
      </c>
      <c r="K206" s="1">
        <v>205939.96</v>
      </c>
      <c r="L206" s="1">
        <v>210217.86799999999</v>
      </c>
      <c r="M206" s="1">
        <v>224994.12400000001</v>
      </c>
      <c r="N206" s="1">
        <v>233535.573</v>
      </c>
      <c r="O206" s="1">
        <v>231758.20600000001</v>
      </c>
      <c r="P206" s="1">
        <v>249682.80499999999</v>
      </c>
      <c r="Q206" s="1">
        <v>315712.10100000002</v>
      </c>
      <c r="R206" s="2">
        <f t="shared" ref="R206:R215" si="74">AI206*(1+AVERAGE(AK206:AP206))</f>
        <v>453658.80754234246</v>
      </c>
      <c r="AA206" s="59" t="s">
        <v>115</v>
      </c>
      <c r="AB206" s="1">
        <v>249682.80499999999</v>
      </c>
      <c r="AC206" s="1">
        <v>261385.345</v>
      </c>
      <c r="AD206" s="1">
        <v>274928.261</v>
      </c>
      <c r="AE206" s="1">
        <v>289728.71999999997</v>
      </c>
      <c r="AF206" s="1">
        <v>315712.10100000002</v>
      </c>
      <c r="AG206" s="1">
        <v>356143.91200000001</v>
      </c>
      <c r="AH206" s="1">
        <v>390295.755</v>
      </c>
      <c r="AI206" s="1">
        <v>420953.77399999998</v>
      </c>
      <c r="AJ206" s="1"/>
      <c r="AK206" s="50">
        <f t="shared" ref="AK206:AK215" si="75">AC206/AB206-1</f>
        <v>4.6869627245656797E-2</v>
      </c>
      <c r="AL206" s="50">
        <f t="shared" ref="AL206:AL215" si="76">AD206/AC206-1</f>
        <v>5.1812070795323351E-2</v>
      </c>
      <c r="AM206" s="50">
        <f t="shared" ref="AM206:AM215" si="77">AE206/AD206-1</f>
        <v>5.38338945082113E-2</v>
      </c>
      <c r="AN206" s="50">
        <f t="shared" ref="AN206:AN215" si="78">AF206/AE206-1</f>
        <v>8.9681758163291603E-2</v>
      </c>
      <c r="AO206" s="50">
        <f t="shared" ref="AO206:AO215" si="79">AG206/AF206-1</f>
        <v>0.12806544592980296</v>
      </c>
      <c r="AP206" s="50">
        <f t="shared" ref="AP206:AP215" si="80">AH206/AG206-1</f>
        <v>9.5893378629479331E-2</v>
      </c>
      <c r="AQ206" s="50">
        <f t="shared" ref="AQ206:AQ215" si="81">AI206/AH206-1</f>
        <v>7.8550736479314098E-2</v>
      </c>
    </row>
    <row r="207" spans="2:43" x14ac:dyDescent="0.3">
      <c r="D207" s="59" t="s">
        <v>118</v>
      </c>
      <c r="E207" s="1">
        <v>107908.76700000001</v>
      </c>
      <c r="F207" s="1">
        <v>112157.64</v>
      </c>
      <c r="G207" s="1">
        <v>125597.091</v>
      </c>
      <c r="H207" s="1">
        <v>135289.49600000001</v>
      </c>
      <c r="I207" s="1">
        <v>163461.18900000001</v>
      </c>
      <c r="J207" s="1">
        <v>187687.03700000001</v>
      </c>
      <c r="K207" s="1">
        <v>220722.36300000001</v>
      </c>
      <c r="L207" s="1">
        <v>252940.09099999999</v>
      </c>
      <c r="M207" s="1">
        <v>253592.141</v>
      </c>
      <c r="N207" s="1">
        <v>249234.24600000001</v>
      </c>
      <c r="O207" s="1">
        <v>265055.33100000001</v>
      </c>
      <c r="P207" s="1">
        <v>282284.57699999999</v>
      </c>
      <c r="Q207" s="1">
        <v>346704.7</v>
      </c>
      <c r="R207" s="2">
        <f t="shared" si="74"/>
        <v>558360.23312239046</v>
      </c>
      <c r="AA207" s="59" t="s">
        <v>118</v>
      </c>
      <c r="AB207" s="1">
        <v>282288.76</v>
      </c>
      <c r="AC207" s="1">
        <v>305214.20199999999</v>
      </c>
      <c r="AD207" s="1">
        <v>316298.571</v>
      </c>
      <c r="AE207" s="1">
        <v>336860.22899999999</v>
      </c>
      <c r="AF207" s="1">
        <v>346708.13799999998</v>
      </c>
      <c r="AG207" s="1">
        <v>356719.54800000001</v>
      </c>
      <c r="AH207" s="1">
        <v>503156.97899999999</v>
      </c>
      <c r="AI207" s="1">
        <v>503695.96299999999</v>
      </c>
      <c r="AJ207" s="1"/>
      <c r="AK207" s="50">
        <f t="shared" si="75"/>
        <v>8.1212734081229421E-2</v>
      </c>
      <c r="AL207" s="50">
        <f t="shared" si="76"/>
        <v>3.6316688172983502E-2</v>
      </c>
      <c r="AM207" s="50">
        <f t="shared" si="77"/>
        <v>6.5007116329969028E-2</v>
      </c>
      <c r="AN207" s="50">
        <f t="shared" si="78"/>
        <v>2.9234406891055054E-2</v>
      </c>
      <c r="AO207" s="50">
        <f t="shared" si="79"/>
        <v>2.8875612951433149E-2</v>
      </c>
      <c r="AP207" s="50">
        <f t="shared" si="80"/>
        <v>0.41051137180741204</v>
      </c>
      <c r="AQ207" s="50">
        <f t="shared" si="81"/>
        <v>1.0712044600300619E-3</v>
      </c>
    </row>
    <row r="208" spans="2:43" x14ac:dyDescent="0.3">
      <c r="D208" s="59" t="s">
        <v>120</v>
      </c>
      <c r="E208" s="1">
        <v>96429.846000000005</v>
      </c>
      <c r="F208" s="1">
        <v>106514.613</v>
      </c>
      <c r="G208" s="1">
        <v>106034.74</v>
      </c>
      <c r="H208" s="1">
        <v>112972.764</v>
      </c>
      <c r="I208" s="1">
        <v>117470.65399999999</v>
      </c>
      <c r="J208" s="1">
        <v>131190.557</v>
      </c>
      <c r="K208" s="1">
        <v>133490.274</v>
      </c>
      <c r="L208" s="1">
        <v>145066.19099999999</v>
      </c>
      <c r="M208" s="1">
        <v>142909.367</v>
      </c>
      <c r="N208" s="1">
        <v>138837.61799999999</v>
      </c>
      <c r="O208" s="1">
        <v>151024.82999999999</v>
      </c>
      <c r="P208" s="1">
        <v>173981.99900000001</v>
      </c>
      <c r="Q208" s="1">
        <v>191346.63500000001</v>
      </c>
      <c r="R208" s="2">
        <f t="shared" si="74"/>
        <v>216296.62040628941</v>
      </c>
      <c r="AA208" s="59" t="s">
        <v>120</v>
      </c>
      <c r="AB208" s="1">
        <v>173981.99900000001</v>
      </c>
      <c r="AC208" s="1">
        <v>182783.86300000001</v>
      </c>
      <c r="AD208" s="1">
        <v>187650.666</v>
      </c>
      <c r="AE208" s="1">
        <v>190823.05</v>
      </c>
      <c r="AF208" s="1">
        <v>191346.63500000001</v>
      </c>
      <c r="AG208" s="1">
        <v>196442.769</v>
      </c>
      <c r="AH208" s="1">
        <v>204742.53599999999</v>
      </c>
      <c r="AI208" s="1">
        <v>210482.068</v>
      </c>
      <c r="AJ208" s="1"/>
      <c r="AK208" s="50">
        <f t="shared" si="75"/>
        <v>5.0590659094565282E-2</v>
      </c>
      <c r="AL208" s="50">
        <f t="shared" si="76"/>
        <v>2.662599925464959E-2</v>
      </c>
      <c r="AM208" s="50">
        <f t="shared" si="77"/>
        <v>1.6905796646626392E-2</v>
      </c>
      <c r="AN208" s="50">
        <f t="shared" si="78"/>
        <v>2.7438247109037306E-3</v>
      </c>
      <c r="AO208" s="50">
        <f t="shared" si="79"/>
        <v>2.663299513994577E-2</v>
      </c>
      <c r="AP208" s="50">
        <f t="shared" si="80"/>
        <v>4.2250305482101957E-2</v>
      </c>
      <c r="AQ208" s="50">
        <f t="shared" si="81"/>
        <v>2.8032924238078349E-2</v>
      </c>
    </row>
    <row r="209" spans="2:43" x14ac:dyDescent="0.3">
      <c r="D209" s="59" t="s">
        <v>122</v>
      </c>
      <c r="E209" s="1">
        <v>80236.756999999998</v>
      </c>
      <c r="F209" s="1">
        <v>76381.599000000002</v>
      </c>
      <c r="G209" s="1">
        <v>74248.486000000004</v>
      </c>
      <c r="H209" s="1">
        <v>84811.286999999997</v>
      </c>
      <c r="I209" s="1">
        <v>96098.305999999997</v>
      </c>
      <c r="J209" s="1">
        <v>106114.93</v>
      </c>
      <c r="K209" s="1">
        <v>115220.79700000001</v>
      </c>
      <c r="L209" s="1">
        <v>125946.636</v>
      </c>
      <c r="M209" s="1">
        <v>120964.815</v>
      </c>
      <c r="N209" s="1">
        <v>117006.087</v>
      </c>
      <c r="O209" s="1">
        <v>110325.959</v>
      </c>
      <c r="P209" s="1">
        <v>152075.08600000001</v>
      </c>
      <c r="Q209" s="1">
        <v>153243.07800000001</v>
      </c>
      <c r="R209" s="2">
        <f t="shared" si="74"/>
        <v>165158.49690012043</v>
      </c>
      <c r="AA209" s="59" t="s">
        <v>122</v>
      </c>
      <c r="AB209" s="1">
        <v>152075.08600000001</v>
      </c>
      <c r="AC209" s="1">
        <v>155183.416</v>
      </c>
      <c r="AD209" s="1">
        <v>152951.50399999999</v>
      </c>
      <c r="AE209" s="1">
        <v>151885.546</v>
      </c>
      <c r="AF209" s="1">
        <v>153243.07800000001</v>
      </c>
      <c r="AG209" s="1">
        <v>156710.06400000001</v>
      </c>
      <c r="AH209" s="1">
        <v>161444.005</v>
      </c>
      <c r="AI209" s="1">
        <v>163500.11499999999</v>
      </c>
      <c r="AJ209" s="1"/>
      <c r="AK209" s="50">
        <f t="shared" si="75"/>
        <v>2.0439442657951057E-2</v>
      </c>
      <c r="AL209" s="50">
        <f t="shared" si="76"/>
        <v>-1.4382413131052707E-2</v>
      </c>
      <c r="AM209" s="50">
        <f t="shared" si="77"/>
        <v>-6.9692547776449842E-3</v>
      </c>
      <c r="AN209" s="50">
        <f t="shared" si="78"/>
        <v>8.9378616711823788E-3</v>
      </c>
      <c r="AO209" s="50">
        <f t="shared" si="79"/>
        <v>2.2624095295188607E-2</v>
      </c>
      <c r="AP209" s="50">
        <f t="shared" si="80"/>
        <v>3.0208276859615024E-2</v>
      </c>
      <c r="AQ209" s="50">
        <f t="shared" si="81"/>
        <v>1.2735746985464091E-2</v>
      </c>
    </row>
    <row r="210" spans="2:43" x14ac:dyDescent="0.3">
      <c r="D210" s="59" t="s">
        <v>124</v>
      </c>
      <c r="E210" s="1">
        <v>80866.475000000006</v>
      </c>
      <c r="F210" s="1">
        <v>78315.195999999996</v>
      </c>
      <c r="G210" s="1">
        <v>80976.587</v>
      </c>
      <c r="H210" s="1">
        <v>92325.042000000001</v>
      </c>
      <c r="I210" s="1">
        <v>102785.372</v>
      </c>
      <c r="J210" s="1">
        <v>111306.90399999999</v>
      </c>
      <c r="K210" s="1">
        <v>116540.68399999999</v>
      </c>
      <c r="L210" s="1">
        <v>123769.45699999999</v>
      </c>
      <c r="M210" s="1">
        <v>129457.86900000001</v>
      </c>
      <c r="N210" s="1">
        <v>121940.394</v>
      </c>
      <c r="O210" s="1">
        <v>120631.63400000001</v>
      </c>
      <c r="P210" s="1">
        <v>125725.09600000001</v>
      </c>
      <c r="Q210" s="1">
        <v>130564.83500000001</v>
      </c>
      <c r="R210" s="2">
        <f t="shared" si="74"/>
        <v>147409.03478188909</v>
      </c>
      <c r="AA210" s="59" t="s">
        <v>124</v>
      </c>
      <c r="AB210" s="1">
        <v>125725.09600000001</v>
      </c>
      <c r="AC210" s="1">
        <v>134881.86300000001</v>
      </c>
      <c r="AD210" s="1">
        <v>135749.14499999999</v>
      </c>
      <c r="AE210" s="1">
        <v>134355.742</v>
      </c>
      <c r="AF210" s="1">
        <v>130564.83500000001</v>
      </c>
      <c r="AG210" s="1">
        <v>134104.83199999999</v>
      </c>
      <c r="AH210" s="1">
        <v>141807.00200000001</v>
      </c>
      <c r="AI210" s="1">
        <v>144392.943</v>
      </c>
      <c r="AJ210" s="1"/>
      <c r="AK210" s="50">
        <f t="shared" si="75"/>
        <v>7.2831656457832405E-2</v>
      </c>
      <c r="AL210" s="50">
        <f t="shared" si="76"/>
        <v>6.4299378783045924E-3</v>
      </c>
      <c r="AM210" s="50">
        <f t="shared" si="77"/>
        <v>-1.0264543470973497E-2</v>
      </c>
      <c r="AN210" s="50">
        <f t="shared" si="78"/>
        <v>-2.8215444636523146E-2</v>
      </c>
      <c r="AO210" s="50">
        <f t="shared" si="79"/>
        <v>2.71129435425701E-2</v>
      </c>
      <c r="AP210" s="50">
        <f t="shared" si="80"/>
        <v>5.7433948390465339E-2</v>
      </c>
      <c r="AQ210" s="50">
        <f t="shared" si="81"/>
        <v>1.8235636911638542E-2</v>
      </c>
    </row>
    <row r="211" spans="2:43" x14ac:dyDescent="0.3">
      <c r="D211" s="59" t="s">
        <v>126</v>
      </c>
      <c r="E211" s="1" t="s">
        <v>2</v>
      </c>
      <c r="F211" s="1">
        <v>1111.8430000000001</v>
      </c>
      <c r="G211" s="1">
        <v>15593.25</v>
      </c>
      <c r="H211" s="1">
        <v>25259.909</v>
      </c>
      <c r="I211" s="1">
        <v>37186.5</v>
      </c>
      <c r="J211" s="1">
        <v>49744.724000000002</v>
      </c>
      <c r="K211" s="1">
        <v>63840.173999999999</v>
      </c>
      <c r="L211" s="1">
        <v>57005.576999999997</v>
      </c>
      <c r="M211" s="1">
        <v>87581.269</v>
      </c>
      <c r="N211" s="1">
        <v>79062.596999999994</v>
      </c>
      <c r="O211" s="1">
        <v>83889.15</v>
      </c>
      <c r="P211" s="1">
        <v>96687.865000000005</v>
      </c>
      <c r="Q211" s="1">
        <v>111193.273</v>
      </c>
      <c r="R211" s="2">
        <f t="shared" si="74"/>
        <v>126126.38602410594</v>
      </c>
      <c r="AA211" s="59" t="s">
        <v>126</v>
      </c>
      <c r="AB211" s="1">
        <v>94801.398000000001</v>
      </c>
      <c r="AC211" s="1">
        <v>97783.544999999998</v>
      </c>
      <c r="AD211" s="1">
        <v>103177.825</v>
      </c>
      <c r="AE211" s="1">
        <v>105325.102</v>
      </c>
      <c r="AF211" s="1">
        <v>111195.55899999999</v>
      </c>
      <c r="AG211" s="1">
        <v>117148.856</v>
      </c>
      <c r="AH211" s="1">
        <v>119622.599</v>
      </c>
      <c r="AI211" s="1">
        <v>121317.648</v>
      </c>
      <c r="AJ211" s="1"/>
      <c r="AK211" s="50">
        <f t="shared" si="75"/>
        <v>3.1456782947441253E-2</v>
      </c>
      <c r="AL211" s="50">
        <f t="shared" si="76"/>
        <v>5.5165518901978849E-2</v>
      </c>
      <c r="AM211" s="50">
        <f t="shared" si="77"/>
        <v>2.0811419508019346E-2</v>
      </c>
      <c r="AN211" s="50">
        <f t="shared" si="78"/>
        <v>5.5736542272705192E-2</v>
      </c>
      <c r="AO211" s="50">
        <f t="shared" si="79"/>
        <v>5.3538981714188916E-2</v>
      </c>
      <c r="AP211" s="50">
        <f t="shared" si="80"/>
        <v>2.1116236935339705E-2</v>
      </c>
      <c r="AQ211" s="50">
        <f t="shared" si="81"/>
        <v>1.4169973016553428E-2</v>
      </c>
    </row>
    <row r="212" spans="2:43" x14ac:dyDescent="0.3">
      <c r="D212" s="59" t="s">
        <v>130</v>
      </c>
      <c r="E212" s="1">
        <v>8276.0840000000007</v>
      </c>
      <c r="F212" s="1">
        <v>11014.115</v>
      </c>
      <c r="G212" s="1">
        <v>12289.825999999999</v>
      </c>
      <c r="H212" s="1">
        <v>13779.745999999999</v>
      </c>
      <c r="I212" s="1">
        <v>18255.675999999999</v>
      </c>
      <c r="J212" s="1">
        <v>23415.422999999999</v>
      </c>
      <c r="K212" s="1">
        <v>28355.27</v>
      </c>
      <c r="L212" s="1">
        <v>34254.623</v>
      </c>
      <c r="M212" s="1">
        <v>36178.387000000002</v>
      </c>
      <c r="N212" s="1">
        <v>43447.428999999996</v>
      </c>
      <c r="O212" s="1">
        <v>50588.114999999998</v>
      </c>
      <c r="P212" s="1">
        <v>59290.536999999997</v>
      </c>
      <c r="Q212" s="1">
        <v>70114.98</v>
      </c>
      <c r="R212" s="2">
        <f t="shared" si="74"/>
        <v>85837.167640482017</v>
      </c>
      <c r="AA212" s="59" t="s">
        <v>130</v>
      </c>
      <c r="AB212" s="1">
        <v>59290.536999999997</v>
      </c>
      <c r="AC212" s="1">
        <v>62464.620999999999</v>
      </c>
      <c r="AD212" s="1">
        <v>64922.659</v>
      </c>
      <c r="AE212" s="1">
        <v>67762.301000000007</v>
      </c>
      <c r="AF212" s="1">
        <v>70114.98</v>
      </c>
      <c r="AG212" s="1">
        <v>75531.388999999996</v>
      </c>
      <c r="AH212" s="1">
        <v>79129.991999999998</v>
      </c>
      <c r="AI212" s="1">
        <v>81798.53</v>
      </c>
      <c r="AJ212" s="1"/>
      <c r="AK212" s="50">
        <f t="shared" si="75"/>
        <v>5.3534411401940929E-2</v>
      </c>
      <c r="AL212" s="50">
        <f t="shared" si="76"/>
        <v>3.9350883118301594E-2</v>
      </c>
      <c r="AM212" s="50">
        <f t="shared" si="77"/>
        <v>4.3738843167221653E-2</v>
      </c>
      <c r="AN212" s="50">
        <f t="shared" si="78"/>
        <v>3.4719585452093638E-2</v>
      </c>
      <c r="AO212" s="50">
        <f t="shared" si="79"/>
        <v>7.7250382157992403E-2</v>
      </c>
      <c r="AP212" s="50">
        <f t="shared" si="80"/>
        <v>4.7643808059719461E-2</v>
      </c>
      <c r="AQ212" s="50">
        <f t="shared" si="81"/>
        <v>3.3723471120785664E-2</v>
      </c>
    </row>
    <row r="213" spans="2:43" x14ac:dyDescent="0.3">
      <c r="D213" s="59" t="s">
        <v>128</v>
      </c>
      <c r="E213" s="1">
        <v>74661.61</v>
      </c>
      <c r="F213" s="1">
        <v>66811.032999999996</v>
      </c>
      <c r="G213" s="1">
        <v>66202.951000000001</v>
      </c>
      <c r="H213" s="1">
        <v>72843.77</v>
      </c>
      <c r="I213" s="1">
        <v>86328.607999999993</v>
      </c>
      <c r="J213" s="1">
        <v>88456.106</v>
      </c>
      <c r="K213" s="1">
        <v>103724.016</v>
      </c>
      <c r="L213" s="1">
        <v>115655.825</v>
      </c>
      <c r="M213" s="1">
        <v>115511.52099999999</v>
      </c>
      <c r="N213" s="1">
        <v>114542.929</v>
      </c>
      <c r="O213" s="1">
        <v>121038.239</v>
      </c>
      <c r="P213" s="1">
        <v>118837.121</v>
      </c>
      <c r="Q213" s="1">
        <v>113362.613</v>
      </c>
      <c r="R213" s="2">
        <f t="shared" si="74"/>
        <v>119876.25093753534</v>
      </c>
      <c r="AA213" s="59" t="s">
        <v>128</v>
      </c>
      <c r="AB213" s="1">
        <v>118837.121</v>
      </c>
      <c r="AC213" s="1">
        <v>119937.868</v>
      </c>
      <c r="AD213" s="1">
        <v>117128.954</v>
      </c>
      <c r="AE213" s="1">
        <v>118058.06</v>
      </c>
      <c r="AF213" s="1">
        <v>113362.613</v>
      </c>
      <c r="AG213" s="1">
        <v>115559.145</v>
      </c>
      <c r="AH213" s="1">
        <v>117830.016</v>
      </c>
      <c r="AI213" s="1">
        <v>120015.66499999999</v>
      </c>
      <c r="AJ213" s="1"/>
      <c r="AK213" s="50">
        <f t="shared" si="75"/>
        <v>9.2626528708987799E-3</v>
      </c>
      <c r="AL213" s="50">
        <f t="shared" si="76"/>
        <v>-2.3419742628741802E-2</v>
      </c>
      <c r="AM213" s="50">
        <f t="shared" si="77"/>
        <v>7.9323341349057941E-3</v>
      </c>
      <c r="AN213" s="50">
        <f t="shared" si="78"/>
        <v>-3.9772354382242137E-2</v>
      </c>
      <c r="AO213" s="50">
        <f t="shared" si="79"/>
        <v>1.9376158875237026E-2</v>
      </c>
      <c r="AP213" s="50">
        <f t="shared" si="80"/>
        <v>1.9651157855139934E-2</v>
      </c>
      <c r="AQ213" s="50">
        <f t="shared" si="81"/>
        <v>1.8549170017934991E-2</v>
      </c>
    </row>
    <row r="214" spans="2:43" x14ac:dyDescent="0.3">
      <c r="D214" s="59" t="s">
        <v>132</v>
      </c>
      <c r="E214" s="1">
        <v>15133.153</v>
      </c>
      <c r="F214" s="1">
        <v>15504.093999999999</v>
      </c>
      <c r="G214" s="1">
        <v>18704.441999999999</v>
      </c>
      <c r="H214" s="1">
        <v>23307.451000000001</v>
      </c>
      <c r="I214" s="1">
        <v>29896.781999999999</v>
      </c>
      <c r="J214" s="1">
        <v>34994.758999999998</v>
      </c>
      <c r="K214" s="1">
        <v>41244.550999999999</v>
      </c>
      <c r="L214" s="1">
        <v>42173.847000000002</v>
      </c>
      <c r="M214" s="1">
        <v>42098.695</v>
      </c>
      <c r="N214" s="1">
        <v>39789.845999999998</v>
      </c>
      <c r="O214" s="1">
        <v>40896.891000000003</v>
      </c>
      <c r="P214" s="1">
        <v>49660.118999999999</v>
      </c>
      <c r="Q214" s="1">
        <v>53961.211000000003</v>
      </c>
      <c r="R214" s="2">
        <f t="shared" si="74"/>
        <v>59788.22284724233</v>
      </c>
      <c r="AA214" s="59" t="s">
        <v>132</v>
      </c>
      <c r="AB214" s="1">
        <v>49660.118999999999</v>
      </c>
      <c r="AC214" s="1">
        <v>51979.019</v>
      </c>
      <c r="AD214" s="1">
        <v>53756.023000000001</v>
      </c>
      <c r="AE214" s="1">
        <v>54137.940999999999</v>
      </c>
      <c r="AF214" s="1">
        <v>53961.211000000003</v>
      </c>
      <c r="AG214" s="1">
        <v>55174.633000000002</v>
      </c>
      <c r="AH214" s="1">
        <v>56900.680999999997</v>
      </c>
      <c r="AI214" s="1">
        <v>58439.317999999999</v>
      </c>
      <c r="AJ214" s="1"/>
      <c r="AK214" s="50">
        <f t="shared" si="75"/>
        <v>4.6695417705302056E-2</v>
      </c>
      <c r="AL214" s="50">
        <f t="shared" si="76"/>
        <v>3.4186947622077968E-2</v>
      </c>
      <c r="AM214" s="50">
        <f t="shared" si="77"/>
        <v>7.1046550448867762E-3</v>
      </c>
      <c r="AN214" s="50">
        <f t="shared" si="78"/>
        <v>-3.2644388895395338E-3</v>
      </c>
      <c r="AO214" s="50">
        <f t="shared" si="79"/>
        <v>2.2486930473076372E-2</v>
      </c>
      <c r="AP214" s="50">
        <f t="shared" si="80"/>
        <v>3.1283361685432443E-2</v>
      </c>
      <c r="AQ214" s="50">
        <f t="shared" si="81"/>
        <v>2.7040748422677119E-2</v>
      </c>
    </row>
    <row r="215" spans="2:43" x14ac:dyDescent="0.3">
      <c r="D215" s="59" t="s">
        <v>134</v>
      </c>
      <c r="E215" s="1">
        <v>29555.56</v>
      </c>
      <c r="F215" s="1">
        <v>29784.804</v>
      </c>
      <c r="G215" s="1">
        <v>31001.899000000001</v>
      </c>
      <c r="H215" s="1">
        <v>27114.093000000001</v>
      </c>
      <c r="I215" s="1">
        <v>34050.692000000003</v>
      </c>
      <c r="J215" s="1">
        <v>47566.870999999999</v>
      </c>
      <c r="K215" s="1">
        <v>57472.514000000003</v>
      </c>
      <c r="L215" s="1">
        <v>60268.805999999997</v>
      </c>
      <c r="M215" s="1">
        <v>60249.052000000003</v>
      </c>
      <c r="N215" s="1">
        <v>59588.284</v>
      </c>
      <c r="O215" s="1">
        <v>59412.529000000002</v>
      </c>
      <c r="P215" s="1">
        <v>57112.906999999999</v>
      </c>
      <c r="Q215" s="1">
        <v>55073.894</v>
      </c>
      <c r="R215" s="2">
        <f t="shared" si="74"/>
        <v>58176.777061637935</v>
      </c>
      <c r="AA215" s="59" t="s">
        <v>134</v>
      </c>
      <c r="AB215" s="1">
        <v>57112.906999999999</v>
      </c>
      <c r="AC215" s="1">
        <v>59877.2</v>
      </c>
      <c r="AD215" s="1">
        <v>58603.139000000003</v>
      </c>
      <c r="AE215" s="1">
        <v>57722.733999999997</v>
      </c>
      <c r="AF215" s="1">
        <v>55073.894</v>
      </c>
      <c r="AG215" s="1">
        <v>55423.508000000002</v>
      </c>
      <c r="AH215" s="1">
        <v>56295.925999999999</v>
      </c>
      <c r="AI215" s="1">
        <v>58290.449000000001</v>
      </c>
      <c r="AJ215" s="1"/>
      <c r="AK215" s="50">
        <f t="shared" si="75"/>
        <v>4.8400495530721344E-2</v>
      </c>
      <c r="AL215" s="50">
        <f t="shared" si="76"/>
        <v>-2.1277898766141279E-2</v>
      </c>
      <c r="AM215" s="50">
        <f t="shared" si="77"/>
        <v>-1.5023171369711208E-2</v>
      </c>
      <c r="AN215" s="50">
        <f t="shared" si="78"/>
        <v>-4.588902528421468E-2</v>
      </c>
      <c r="AO215" s="50">
        <f t="shared" si="79"/>
        <v>6.3480893506460134E-3</v>
      </c>
      <c r="AP215" s="50">
        <f t="shared" si="80"/>
        <v>1.5740937942794853E-2</v>
      </c>
      <c r="AQ215" s="50">
        <f t="shared" si="81"/>
        <v>3.5429260014303798E-2</v>
      </c>
    </row>
    <row r="216" spans="2:43" x14ac:dyDescent="0.3">
      <c r="D216" s="59"/>
      <c r="E216" s="1"/>
      <c r="F216" s="1"/>
      <c r="G216" s="1"/>
      <c r="H216" s="1"/>
      <c r="I216" s="1"/>
      <c r="J216" s="1"/>
      <c r="K216" s="1"/>
      <c r="L216" s="1"/>
      <c r="M216" s="1"/>
      <c r="N216" s="1"/>
      <c r="O216" s="1"/>
      <c r="P216" s="1"/>
      <c r="Q216" s="1"/>
      <c r="AA216" s="59"/>
      <c r="AB216" s="1"/>
      <c r="AC216" s="1"/>
      <c r="AD216" s="1"/>
      <c r="AE216" s="1"/>
      <c r="AF216" s="1"/>
      <c r="AG216" s="1"/>
      <c r="AH216" s="1"/>
      <c r="AI216" s="1"/>
      <c r="AJ216" s="1"/>
      <c r="AK216" s="1"/>
      <c r="AL216" s="1"/>
      <c r="AM216" s="1"/>
      <c r="AN216" s="1"/>
    </row>
    <row r="217" spans="2:43" x14ac:dyDescent="0.3">
      <c r="E217" s="62">
        <f t="shared" ref="E217:R217" si="82">SUM(E206:E215)</f>
        <v>636269.60900000017</v>
      </c>
      <c r="F217" s="62">
        <f t="shared" si="82"/>
        <v>610438.38699999999</v>
      </c>
      <c r="G217" s="62">
        <f t="shared" si="82"/>
        <v>651026.00099999993</v>
      </c>
      <c r="H217" s="62">
        <f t="shared" si="82"/>
        <v>728392.79100000008</v>
      </c>
      <c r="I217" s="62">
        <f t="shared" si="82"/>
        <v>857767.39500000002</v>
      </c>
      <c r="J217" s="62">
        <f t="shared" si="82"/>
        <v>967290.53600000008</v>
      </c>
      <c r="K217" s="62">
        <f t="shared" si="82"/>
        <v>1086550.6029999999</v>
      </c>
      <c r="L217" s="62">
        <f t="shared" si="82"/>
        <v>1167298.9210000001</v>
      </c>
      <c r="M217" s="62">
        <f t="shared" si="82"/>
        <v>1213537.2399999998</v>
      </c>
      <c r="N217" s="62">
        <f t="shared" si="82"/>
        <v>1196985.0029999998</v>
      </c>
      <c r="O217" s="62">
        <f t="shared" si="82"/>
        <v>1234620.8840000001</v>
      </c>
      <c r="P217" s="62">
        <f t="shared" si="82"/>
        <v>1365338.112</v>
      </c>
      <c r="Q217" s="62">
        <f t="shared" si="82"/>
        <v>1541277.3199999998</v>
      </c>
      <c r="R217" s="62">
        <f t="shared" si="82"/>
        <v>1990687.9972640355</v>
      </c>
      <c r="AB217" s="62">
        <f t="shared" ref="AB217:AN217" si="83">SUM(AB206:AB215)</f>
        <v>1363455.828</v>
      </c>
      <c r="AC217" s="62">
        <f t="shared" si="83"/>
        <v>1431490.942</v>
      </c>
      <c r="AD217" s="62">
        <f t="shared" si="83"/>
        <v>1465166.7469999997</v>
      </c>
      <c r="AE217" s="62">
        <f t="shared" si="83"/>
        <v>1506659.425</v>
      </c>
      <c r="AF217" s="62">
        <f t="shared" si="83"/>
        <v>1541283.0439999998</v>
      </c>
      <c r="AG217" s="62">
        <f t="shared" si="83"/>
        <v>1618958.6559999997</v>
      </c>
      <c r="AH217" s="62">
        <f t="shared" si="83"/>
        <v>1831225.4910000002</v>
      </c>
      <c r="AI217" s="62">
        <f t="shared" si="83"/>
        <v>1882886.473</v>
      </c>
      <c r="AJ217" s="62">
        <f t="shared" si="83"/>
        <v>0</v>
      </c>
      <c r="AK217" s="62">
        <f t="shared" si="83"/>
        <v>0.46129387999353932</v>
      </c>
      <c r="AL217" s="62">
        <f t="shared" si="83"/>
        <v>0.19080799121768366</v>
      </c>
      <c r="AM217" s="62">
        <f t="shared" si="83"/>
        <v>0.1830770897215106</v>
      </c>
      <c r="AN217" s="62">
        <f t="shared" si="83"/>
        <v>0.1039127159687121</v>
      </c>
    </row>
    <row r="219" spans="2:43" x14ac:dyDescent="0.3">
      <c r="B219" t="e">
        <f ca="1">_xll.TR($B$85:$B$95,"TR.TotalDepositsBnk(Scale=6)","Period=FY0 Frq=FY SDate=0 EDate=-12 Curn=SAR CH=Fd;periodenddate RH=IN SORTA=periodenddate",D219)</f>
        <v>#NAME?</v>
      </c>
      <c r="E219" t="s">
        <v>1</v>
      </c>
      <c r="F219" t="s">
        <v>1</v>
      </c>
      <c r="G219" t="s">
        <v>1</v>
      </c>
      <c r="H219" t="s">
        <v>1</v>
      </c>
      <c r="I219" t="s">
        <v>1</v>
      </c>
      <c r="J219" t="s">
        <v>1</v>
      </c>
      <c r="K219" t="s">
        <v>1</v>
      </c>
      <c r="L219" t="s">
        <v>1</v>
      </c>
      <c r="M219" t="s">
        <v>1</v>
      </c>
      <c r="N219" t="s">
        <v>1</v>
      </c>
      <c r="O219" t="s">
        <v>1</v>
      </c>
      <c r="P219" t="s">
        <v>1</v>
      </c>
      <c r="Q219" t="s">
        <v>1</v>
      </c>
      <c r="Y219" t="e">
        <f ca="1">_xll.TR($B$85:$B$95,"TR.TotalDepositsBnk(Scale=6)","Period=FQ0 Frq=FQ SDate=0 EDate=-7 Curn=SAR CH=Fd;periodenddate RH=IN SORTA=periodenddate",AA219)</f>
        <v>#NAME?</v>
      </c>
      <c r="AB219" t="s">
        <v>1</v>
      </c>
      <c r="AC219" t="s">
        <v>1</v>
      </c>
      <c r="AD219" t="s">
        <v>1</v>
      </c>
      <c r="AE219" t="s">
        <v>1</v>
      </c>
      <c r="AF219" t="s">
        <v>1</v>
      </c>
      <c r="AG219" t="s">
        <v>1</v>
      </c>
      <c r="AH219" t="s">
        <v>1</v>
      </c>
      <c r="AI219" t="s">
        <v>1</v>
      </c>
    </row>
    <row r="220" spans="2:43" x14ac:dyDescent="0.3">
      <c r="E220" s="58">
        <v>39813</v>
      </c>
      <c r="F220" s="58">
        <v>40178</v>
      </c>
      <c r="G220" s="58">
        <v>40543</v>
      </c>
      <c r="H220" s="58">
        <v>40908</v>
      </c>
      <c r="I220" s="58">
        <v>41274</v>
      </c>
      <c r="J220" s="58">
        <v>41639</v>
      </c>
      <c r="K220" s="58">
        <v>42004</v>
      </c>
      <c r="L220" s="58">
        <v>42369</v>
      </c>
      <c r="M220" s="58">
        <v>42735</v>
      </c>
      <c r="N220" s="58">
        <v>43100</v>
      </c>
      <c r="O220" s="58">
        <v>43465</v>
      </c>
      <c r="P220" s="58">
        <v>43830</v>
      </c>
      <c r="Q220" s="58">
        <v>44196</v>
      </c>
      <c r="AB220" s="58">
        <v>43830</v>
      </c>
      <c r="AC220" s="58">
        <v>43921</v>
      </c>
      <c r="AD220" s="58">
        <v>44012</v>
      </c>
      <c r="AE220" s="58">
        <v>44104</v>
      </c>
      <c r="AF220" s="58">
        <v>44196</v>
      </c>
      <c r="AG220" s="58">
        <v>44286</v>
      </c>
      <c r="AH220" s="58">
        <v>44377</v>
      </c>
      <c r="AI220" s="58">
        <v>44469</v>
      </c>
      <c r="AJ220" s="58"/>
      <c r="AK220" s="58"/>
      <c r="AL220" s="58"/>
      <c r="AM220" s="58"/>
      <c r="AN220" s="58"/>
    </row>
    <row r="221" spans="2:43" x14ac:dyDescent="0.3">
      <c r="D221" s="59" t="s">
        <v>115</v>
      </c>
      <c r="E221" s="1">
        <v>124512.673</v>
      </c>
      <c r="F221" s="1">
        <v>128963.913</v>
      </c>
      <c r="G221" s="1">
        <v>148478.21799999999</v>
      </c>
      <c r="H221" s="1">
        <v>180450.24600000001</v>
      </c>
      <c r="I221" s="1">
        <v>223629.883</v>
      </c>
      <c r="J221" s="1">
        <v>235228.82199999999</v>
      </c>
      <c r="K221" s="1">
        <v>258212.28400000001</v>
      </c>
      <c r="L221" s="1">
        <v>260785.99299999999</v>
      </c>
      <c r="M221" s="1">
        <v>281510.10600000003</v>
      </c>
      <c r="N221" s="1">
        <v>278579.01199999999</v>
      </c>
      <c r="O221" s="1">
        <v>301198.74900000001</v>
      </c>
      <c r="P221" s="1">
        <v>314625.42700000003</v>
      </c>
      <c r="Q221" s="1">
        <v>393395.06400000001</v>
      </c>
      <c r="R221" s="2">
        <f t="shared" ref="R221:R230" si="84">AI221*(1+AVERAGE(AK221:AP221))</f>
        <v>525800.75131189451</v>
      </c>
      <c r="AA221" s="59" t="s">
        <v>115</v>
      </c>
      <c r="AB221" s="1">
        <v>314625.42700000003</v>
      </c>
      <c r="AC221" s="1">
        <v>321171.44099999999</v>
      </c>
      <c r="AD221" s="1">
        <v>344989.99800000002</v>
      </c>
      <c r="AE221" s="1">
        <v>356616.55800000002</v>
      </c>
      <c r="AF221" s="1">
        <v>393395.06400000001</v>
      </c>
      <c r="AG221" s="1">
        <v>430999.85800000001</v>
      </c>
      <c r="AH221" s="1">
        <v>461591.43800000002</v>
      </c>
      <c r="AI221" s="1">
        <v>493063.87699999998</v>
      </c>
      <c r="AJ221" s="1"/>
      <c r="AK221" s="50">
        <f t="shared" ref="AK221:AK230" si="85">AC221/AB221-1</f>
        <v>2.0805737357012744E-2</v>
      </c>
      <c r="AL221" s="50">
        <f t="shared" ref="AL221:AL230" si="86">AD221/AC221-1</f>
        <v>7.4161503668690232E-2</v>
      </c>
      <c r="AM221" s="50">
        <f t="shared" ref="AM221:AM230" si="87">AE221/AD221-1</f>
        <v>3.3701150953367565E-2</v>
      </c>
      <c r="AN221" s="50">
        <f t="shared" ref="AN221:AN230" si="88">AF221/AE221-1</f>
        <v>0.10313179569188713</v>
      </c>
      <c r="AO221" s="50">
        <f t="shared" ref="AO221:AO230" si="89">AG221/AF221-1</f>
        <v>9.5590406289388419E-2</v>
      </c>
      <c r="AP221" s="50">
        <f t="shared" ref="AP221:AP230" si="90">AH221/AG221-1</f>
        <v>7.097816723642647E-2</v>
      </c>
    </row>
    <row r="222" spans="2:43" x14ac:dyDescent="0.3">
      <c r="D222" s="59" t="s">
        <v>118</v>
      </c>
      <c r="E222" s="1">
        <v>184557.98499999999</v>
      </c>
      <c r="F222" s="1">
        <v>218157.52900000001</v>
      </c>
      <c r="G222" s="1">
        <v>243491.87899999999</v>
      </c>
      <c r="H222" s="1">
        <v>259397.22399999999</v>
      </c>
      <c r="I222" s="1">
        <v>299104.266</v>
      </c>
      <c r="J222" s="1">
        <v>325326.989</v>
      </c>
      <c r="K222" s="1">
        <v>368544.97899999999</v>
      </c>
      <c r="L222" s="1">
        <v>371967.13199999998</v>
      </c>
      <c r="M222" s="1">
        <v>361091.96500000003</v>
      </c>
      <c r="N222" s="1">
        <v>329812.89299999998</v>
      </c>
      <c r="O222" s="1">
        <v>341636.26799999998</v>
      </c>
      <c r="P222" s="1">
        <v>378378.27399999998</v>
      </c>
      <c r="Q222" s="1">
        <v>468893.4</v>
      </c>
      <c r="R222" s="2">
        <f t="shared" si="84"/>
        <v>759231.66654570063</v>
      </c>
      <c r="AA222" s="59" t="s">
        <v>118</v>
      </c>
      <c r="AB222" s="1">
        <v>415575.359</v>
      </c>
      <c r="AC222" s="1">
        <v>438564.27</v>
      </c>
      <c r="AD222" s="1">
        <v>454481.49200000003</v>
      </c>
      <c r="AE222" s="1">
        <v>471449.20400000003</v>
      </c>
      <c r="AF222" s="1">
        <v>491446.87800000003</v>
      </c>
      <c r="AG222" s="1">
        <v>491801.96799999999</v>
      </c>
      <c r="AH222" s="1">
        <v>687811.20400000003</v>
      </c>
      <c r="AI222" s="1">
        <v>693294.76</v>
      </c>
      <c r="AJ222" s="1"/>
      <c r="AK222" s="50">
        <f t="shared" si="85"/>
        <v>5.5318272612019825E-2</v>
      </c>
      <c r="AL222" s="50">
        <f t="shared" si="86"/>
        <v>3.6293932471972656E-2</v>
      </c>
      <c r="AM222" s="50">
        <f t="shared" si="87"/>
        <v>3.7334219981833616E-2</v>
      </c>
      <c r="AN222" s="50">
        <f t="shared" si="88"/>
        <v>4.2417452040071746E-2</v>
      </c>
      <c r="AO222" s="50">
        <f t="shared" si="89"/>
        <v>7.225399445918157E-4</v>
      </c>
      <c r="AP222" s="50">
        <f t="shared" si="90"/>
        <v>0.39855317537078272</v>
      </c>
    </row>
    <row r="223" spans="2:43" x14ac:dyDescent="0.3">
      <c r="D223" s="59" t="s">
        <v>120</v>
      </c>
      <c r="E223" s="1">
        <v>126268.74</v>
      </c>
      <c r="F223" s="1">
        <v>141441.11799999999</v>
      </c>
      <c r="G223" s="1">
        <v>137582.01</v>
      </c>
      <c r="H223" s="1">
        <v>146064.448</v>
      </c>
      <c r="I223" s="1">
        <v>152377.535</v>
      </c>
      <c r="J223" s="1">
        <v>160777.85999999999</v>
      </c>
      <c r="K223" s="1">
        <v>167869.22899999999</v>
      </c>
      <c r="L223" s="1">
        <v>172351.826</v>
      </c>
      <c r="M223" s="1">
        <v>165520.06200000001</v>
      </c>
      <c r="N223" s="1">
        <v>161421.717</v>
      </c>
      <c r="O223" s="1">
        <v>178402.67</v>
      </c>
      <c r="P223" s="1">
        <v>207642.37899999999</v>
      </c>
      <c r="Q223" s="1">
        <v>244828.239</v>
      </c>
      <c r="R223" s="2">
        <f t="shared" si="84"/>
        <v>254130.13268074181</v>
      </c>
      <c r="AA223" s="59" t="s">
        <v>120</v>
      </c>
      <c r="AB223" s="1">
        <v>207642.37899999999</v>
      </c>
      <c r="AC223" s="1">
        <v>209589.15100000001</v>
      </c>
      <c r="AD223" s="1">
        <v>231360.54199999999</v>
      </c>
      <c r="AE223" s="1">
        <v>243936.38500000001</v>
      </c>
      <c r="AF223" s="1">
        <v>244828.239</v>
      </c>
      <c r="AG223" s="1">
        <v>239010.41500000001</v>
      </c>
      <c r="AH223" s="1">
        <v>245575.76800000001</v>
      </c>
      <c r="AI223" s="1">
        <v>246929.253</v>
      </c>
      <c r="AJ223" s="1"/>
      <c r="AK223" s="50">
        <f t="shared" si="85"/>
        <v>9.375600536728701E-3</v>
      </c>
      <c r="AL223" s="50">
        <f t="shared" si="86"/>
        <v>0.10387651696723554</v>
      </c>
      <c r="AM223" s="50">
        <f t="shared" si="87"/>
        <v>5.4356040538667161E-2</v>
      </c>
      <c r="AN223" s="50">
        <f t="shared" si="88"/>
        <v>3.6560925505229047E-3</v>
      </c>
      <c r="AO223" s="50">
        <f t="shared" si="89"/>
        <v>-2.3762879738721598E-2</v>
      </c>
      <c r="AP223" s="50">
        <f t="shared" si="90"/>
        <v>2.7468899210940201E-2</v>
      </c>
    </row>
    <row r="224" spans="2:43" x14ac:dyDescent="0.3">
      <c r="D224" s="59" t="s">
        <v>122</v>
      </c>
      <c r="E224" s="1">
        <v>114403.829</v>
      </c>
      <c r="F224" s="1">
        <v>108502.092</v>
      </c>
      <c r="G224" s="1">
        <v>104809.787</v>
      </c>
      <c r="H224" s="1">
        <v>115449.258</v>
      </c>
      <c r="I224" s="1">
        <v>130871.34600000001</v>
      </c>
      <c r="J224" s="1">
        <v>142731.10999999999</v>
      </c>
      <c r="K224" s="1">
        <v>149956.42499999999</v>
      </c>
      <c r="L224" s="1">
        <v>150722.084</v>
      </c>
      <c r="M224" s="1">
        <v>144058.959</v>
      </c>
      <c r="N224" s="1">
        <v>143930.48800000001</v>
      </c>
      <c r="O224" s="1">
        <v>131519.73800000001</v>
      </c>
      <c r="P224" s="1">
        <v>195819.21</v>
      </c>
      <c r="Q224" s="1">
        <v>206731.09599999999</v>
      </c>
      <c r="R224" s="2">
        <f t="shared" si="84"/>
        <v>199218.68271419348</v>
      </c>
      <c r="AA224" s="59" t="s">
        <v>122</v>
      </c>
      <c r="AB224" s="1">
        <v>195819.21</v>
      </c>
      <c r="AC224" s="1">
        <v>194973.761</v>
      </c>
      <c r="AD224" s="1">
        <v>203315.36499999999</v>
      </c>
      <c r="AE224" s="1">
        <v>194678.82199999999</v>
      </c>
      <c r="AF224" s="1">
        <v>206731.09599999999</v>
      </c>
      <c r="AG224" s="1">
        <v>200860.66899999999</v>
      </c>
      <c r="AH224" s="1">
        <v>200921.74900000001</v>
      </c>
      <c r="AI224" s="1">
        <v>198234.011</v>
      </c>
      <c r="AJ224" s="1"/>
      <c r="AK224" s="50">
        <f t="shared" si="85"/>
        <v>-4.3174977572424389E-3</v>
      </c>
      <c r="AL224" s="50">
        <f t="shared" si="86"/>
        <v>4.2783213275554566E-2</v>
      </c>
      <c r="AM224" s="50">
        <f t="shared" si="87"/>
        <v>-4.2478555420540909E-2</v>
      </c>
      <c r="AN224" s="50">
        <f t="shared" si="88"/>
        <v>6.1908500761320706E-2</v>
      </c>
      <c r="AO224" s="50">
        <f t="shared" si="89"/>
        <v>-2.8396439208158597E-2</v>
      </c>
      <c r="AP224" s="50">
        <f t="shared" si="90"/>
        <v>3.0409138983800155E-4</v>
      </c>
    </row>
    <row r="225" spans="2:42" x14ac:dyDescent="0.3">
      <c r="D225" s="59" t="s">
        <v>124</v>
      </c>
      <c r="E225" s="1">
        <v>101193.283</v>
      </c>
      <c r="F225" s="1">
        <v>96068.917000000001</v>
      </c>
      <c r="G225" s="1">
        <v>95842.157000000007</v>
      </c>
      <c r="H225" s="1">
        <v>112027.159</v>
      </c>
      <c r="I225" s="1">
        <v>121234.235</v>
      </c>
      <c r="J225" s="1">
        <v>135269.07999999999</v>
      </c>
      <c r="K225" s="1">
        <v>149138.72700000001</v>
      </c>
      <c r="L225" s="1">
        <v>143409.29</v>
      </c>
      <c r="M225" s="1">
        <v>162747.00399999999</v>
      </c>
      <c r="N225" s="1">
        <v>153917.46</v>
      </c>
      <c r="O225" s="1">
        <v>150513.48499999999</v>
      </c>
      <c r="P225" s="1">
        <v>135209.64199999999</v>
      </c>
      <c r="Q225" s="1">
        <v>143903.85699999999</v>
      </c>
      <c r="R225" s="2">
        <f t="shared" si="84"/>
        <v>168436.80610454353</v>
      </c>
      <c r="AA225" s="59" t="s">
        <v>124</v>
      </c>
      <c r="AB225" s="1">
        <v>135209.64199999999</v>
      </c>
      <c r="AC225" s="1">
        <v>153313.78599999999</v>
      </c>
      <c r="AD225" s="1">
        <v>155467.52499999999</v>
      </c>
      <c r="AE225" s="1">
        <v>152106.622</v>
      </c>
      <c r="AF225" s="1">
        <v>143903.85699999999</v>
      </c>
      <c r="AG225" s="1">
        <v>151031.837</v>
      </c>
      <c r="AH225" s="1">
        <v>160749.04699999999</v>
      </c>
      <c r="AI225" s="1">
        <v>163365.11600000001</v>
      </c>
      <c r="AJ225" s="1"/>
      <c r="AK225" s="50">
        <f t="shared" si="85"/>
        <v>0.13389684146933845</v>
      </c>
      <c r="AL225" s="50">
        <f t="shared" si="86"/>
        <v>1.4047914777866044E-2</v>
      </c>
      <c r="AM225" s="50">
        <f t="shared" si="87"/>
        <v>-2.1618038879823831E-2</v>
      </c>
      <c r="AN225" s="50">
        <f t="shared" si="88"/>
        <v>-5.3927731035930959E-2</v>
      </c>
      <c r="AO225" s="50">
        <f t="shared" si="89"/>
        <v>4.9532932254901407E-2</v>
      </c>
      <c r="AP225" s="50">
        <f t="shared" si="90"/>
        <v>6.4338818841222167E-2</v>
      </c>
    </row>
    <row r="226" spans="2:42" x14ac:dyDescent="0.3">
      <c r="D226" s="59" t="s">
        <v>126</v>
      </c>
      <c r="E226" s="1" t="s">
        <v>2</v>
      </c>
      <c r="F226" s="1">
        <v>1497.528</v>
      </c>
      <c r="G226" s="1">
        <v>10569.894</v>
      </c>
      <c r="H226" s="1">
        <v>20219.16</v>
      </c>
      <c r="I226" s="1">
        <v>34628.144</v>
      </c>
      <c r="J226" s="1">
        <v>22475.153999999999</v>
      </c>
      <c r="K226" s="1">
        <v>32607.793000000001</v>
      </c>
      <c r="L226" s="1">
        <v>38696.508999999998</v>
      </c>
      <c r="M226" s="1">
        <v>44245.726999999999</v>
      </c>
      <c r="N226" s="1">
        <v>47430.252999999997</v>
      </c>
      <c r="O226" s="1">
        <v>60756.182999999997</v>
      </c>
      <c r="P226" s="1">
        <v>59058.904000000002</v>
      </c>
      <c r="Q226" s="1">
        <v>75830.343999999997</v>
      </c>
      <c r="R226" s="2">
        <f t="shared" si="84"/>
        <v>95506.893571838344</v>
      </c>
      <c r="AA226" s="59" t="s">
        <v>126</v>
      </c>
      <c r="AB226" s="1">
        <v>62283.677000000003</v>
      </c>
      <c r="AC226" s="1">
        <v>70801.038</v>
      </c>
      <c r="AD226" s="1">
        <v>73417.600000000006</v>
      </c>
      <c r="AE226" s="1">
        <v>74382.214999999997</v>
      </c>
      <c r="AF226" s="1">
        <v>76587.285000000003</v>
      </c>
      <c r="AG226" s="1">
        <v>81014.673999999999</v>
      </c>
      <c r="AH226" s="1">
        <v>86594.183000000005</v>
      </c>
      <c r="AI226" s="1">
        <v>90339.899000000005</v>
      </c>
      <c r="AJ226" s="1"/>
      <c r="AK226" s="50">
        <f t="shared" si="85"/>
        <v>0.13675109451229095</v>
      </c>
      <c r="AL226" s="50">
        <f t="shared" si="86"/>
        <v>3.6956548574895276E-2</v>
      </c>
      <c r="AM226" s="50">
        <f t="shared" si="87"/>
        <v>1.3138743298609423E-2</v>
      </c>
      <c r="AN226" s="50">
        <f t="shared" si="88"/>
        <v>2.9645124173836468E-2</v>
      </c>
      <c r="AO226" s="50">
        <f t="shared" si="89"/>
        <v>5.780840775332341E-2</v>
      </c>
      <c r="AP226" s="50">
        <f t="shared" si="90"/>
        <v>6.8870350573773997E-2</v>
      </c>
    </row>
    <row r="227" spans="2:42" x14ac:dyDescent="0.3">
      <c r="D227" s="59" t="s">
        <v>130</v>
      </c>
      <c r="E227" s="1">
        <v>12435.143</v>
      </c>
      <c r="F227" s="1">
        <v>13918.954</v>
      </c>
      <c r="G227" s="1">
        <v>17314.844000000001</v>
      </c>
      <c r="H227" s="1">
        <v>23459.771000000001</v>
      </c>
      <c r="I227" s="1">
        <v>24312.454000000002</v>
      </c>
      <c r="J227" s="1">
        <v>30083.333999999999</v>
      </c>
      <c r="K227" s="1">
        <v>37914.76</v>
      </c>
      <c r="L227" s="1">
        <v>43601.112000000001</v>
      </c>
      <c r="M227" s="1">
        <v>43237.32</v>
      </c>
      <c r="N227" s="1">
        <v>51544.413999999997</v>
      </c>
      <c r="O227" s="1">
        <v>60276.385000000002</v>
      </c>
      <c r="P227" s="1">
        <v>67750.663</v>
      </c>
      <c r="Q227" s="1">
        <v>76955.819000000003</v>
      </c>
      <c r="R227" s="2">
        <f t="shared" si="84"/>
        <v>94084.76875807636</v>
      </c>
      <c r="AA227" s="59" t="s">
        <v>130</v>
      </c>
      <c r="AB227" s="1">
        <v>67750.663</v>
      </c>
      <c r="AC227" s="1">
        <v>70551.046000000002</v>
      </c>
      <c r="AD227" s="1">
        <v>70544.990999999995</v>
      </c>
      <c r="AE227" s="1">
        <v>74352.082999999999</v>
      </c>
      <c r="AF227" s="1">
        <v>76955.819000000003</v>
      </c>
      <c r="AG227" s="1">
        <v>83510.769</v>
      </c>
      <c r="AH227" s="1">
        <v>86701.346000000005</v>
      </c>
      <c r="AI227" s="1">
        <v>90269.131999999998</v>
      </c>
      <c r="AJ227" s="1"/>
      <c r="AK227" s="50">
        <f t="shared" si="85"/>
        <v>4.1333661930363697E-2</v>
      </c>
      <c r="AL227" s="50">
        <f t="shared" si="86"/>
        <v>-8.5824383100008284E-5</v>
      </c>
      <c r="AM227" s="50">
        <f t="shared" si="87"/>
        <v>5.3966864918871593E-2</v>
      </c>
      <c r="AN227" s="50">
        <f t="shared" si="88"/>
        <v>3.5019005452745722E-2</v>
      </c>
      <c r="AO227" s="50">
        <f t="shared" si="89"/>
        <v>8.5178094199738208E-2</v>
      </c>
      <c r="AP227" s="50">
        <f t="shared" si="90"/>
        <v>3.82055756186368E-2</v>
      </c>
    </row>
    <row r="228" spans="2:42" x14ac:dyDescent="0.3">
      <c r="D228" s="59" t="s">
        <v>128</v>
      </c>
      <c r="E228" s="1">
        <v>103252.526</v>
      </c>
      <c r="F228" s="1">
        <v>91394.467999999993</v>
      </c>
      <c r="G228" s="1">
        <v>96295.417000000001</v>
      </c>
      <c r="H228" s="1">
        <v>96683.275999999998</v>
      </c>
      <c r="I228" s="1">
        <v>114110.367</v>
      </c>
      <c r="J228" s="1">
        <v>114013.79</v>
      </c>
      <c r="K228" s="1">
        <v>138646.818</v>
      </c>
      <c r="L228" s="1">
        <v>141434.307</v>
      </c>
      <c r="M228" s="1">
        <v>139766.32800000001</v>
      </c>
      <c r="N228" s="1">
        <v>138739.63800000001</v>
      </c>
      <c r="O228" s="1">
        <v>143592.21</v>
      </c>
      <c r="P228" s="1">
        <v>145211.07800000001</v>
      </c>
      <c r="Q228" s="1">
        <v>139149.92000000001</v>
      </c>
      <c r="R228" s="2">
        <f t="shared" si="84"/>
        <v>140935.57277666364</v>
      </c>
      <c r="AA228" s="59" t="s">
        <v>128</v>
      </c>
      <c r="AB228" s="1">
        <v>145211.07800000001</v>
      </c>
      <c r="AC228" s="1">
        <v>144573.18</v>
      </c>
      <c r="AD228" s="1">
        <v>146704.617</v>
      </c>
      <c r="AE228" s="1">
        <v>147799.65700000001</v>
      </c>
      <c r="AF228" s="1">
        <v>139149.92000000001</v>
      </c>
      <c r="AG228" s="1">
        <v>136520.94500000001</v>
      </c>
      <c r="AH228" s="1">
        <v>140971.58900000001</v>
      </c>
      <c r="AI228" s="1">
        <v>141572.69099999999</v>
      </c>
      <c r="AJ228" s="1"/>
      <c r="AK228" s="50">
        <f t="shared" si="85"/>
        <v>-4.3929017591896047E-3</v>
      </c>
      <c r="AL228" s="50">
        <f t="shared" si="86"/>
        <v>1.4742962698890638E-2</v>
      </c>
      <c r="AM228" s="50">
        <f t="shared" si="87"/>
        <v>7.4642504264197385E-3</v>
      </c>
      <c r="AN228" s="50">
        <f t="shared" si="88"/>
        <v>-5.8523390213280346E-2</v>
      </c>
      <c r="AO228" s="50">
        <f t="shared" si="89"/>
        <v>-1.8893111832187892E-2</v>
      </c>
      <c r="AP228" s="50">
        <f t="shared" si="90"/>
        <v>3.2600448231588253E-2</v>
      </c>
    </row>
    <row r="229" spans="2:42" x14ac:dyDescent="0.3">
      <c r="D229" s="59" t="s">
        <v>132</v>
      </c>
      <c r="E229" s="1">
        <v>22267.012999999999</v>
      </c>
      <c r="F229" s="1">
        <v>24833.115000000002</v>
      </c>
      <c r="G229" s="1">
        <v>27733.636999999999</v>
      </c>
      <c r="H229" s="1">
        <v>32464.309000000001</v>
      </c>
      <c r="I229" s="1">
        <v>43961.334000000003</v>
      </c>
      <c r="J229" s="1">
        <v>52441.262999999999</v>
      </c>
      <c r="K229" s="1">
        <v>58305.749000000003</v>
      </c>
      <c r="L229" s="1">
        <v>53822.504000000001</v>
      </c>
      <c r="M229" s="1">
        <v>55147.466</v>
      </c>
      <c r="N229" s="1">
        <v>56450.911</v>
      </c>
      <c r="O229" s="1">
        <v>57937.048999999999</v>
      </c>
      <c r="P229" s="1">
        <v>70660.430999999997</v>
      </c>
      <c r="Q229" s="1">
        <v>76244.66</v>
      </c>
      <c r="R229" s="2">
        <f t="shared" si="84"/>
        <v>84230.246028478316</v>
      </c>
      <c r="AA229" s="59" t="s">
        <v>132</v>
      </c>
      <c r="AB229" s="1">
        <v>70950.547999999995</v>
      </c>
      <c r="AC229" s="1">
        <v>73888.156000000003</v>
      </c>
      <c r="AD229" s="1">
        <v>75845.607999999993</v>
      </c>
      <c r="AE229" s="1">
        <v>75643.558000000005</v>
      </c>
      <c r="AF229" s="1">
        <v>76533.808000000005</v>
      </c>
      <c r="AG229" s="1">
        <v>78801.929000000004</v>
      </c>
      <c r="AH229" s="1">
        <v>79803.106</v>
      </c>
      <c r="AI229" s="1">
        <v>82587.562000000005</v>
      </c>
      <c r="AJ229" s="1"/>
      <c r="AK229" s="50">
        <f t="shared" si="85"/>
        <v>4.1403598461283275E-2</v>
      </c>
      <c r="AL229" s="50">
        <f t="shared" si="86"/>
        <v>2.6492094348653072E-2</v>
      </c>
      <c r="AM229" s="50">
        <f t="shared" si="87"/>
        <v>-2.663964405163588E-3</v>
      </c>
      <c r="AN229" s="50">
        <f t="shared" si="88"/>
        <v>1.1769012769071496E-2</v>
      </c>
      <c r="AO229" s="50">
        <f t="shared" si="89"/>
        <v>2.9635543549590526E-2</v>
      </c>
      <c r="AP229" s="50">
        <f t="shared" si="90"/>
        <v>1.2704980864110427E-2</v>
      </c>
    </row>
    <row r="230" spans="2:42" x14ac:dyDescent="0.3">
      <c r="D230" s="59" t="s">
        <v>134</v>
      </c>
      <c r="E230" s="1">
        <v>45911.303999999996</v>
      </c>
      <c r="F230" s="1">
        <v>41459.379000000001</v>
      </c>
      <c r="G230" s="1">
        <v>42111.154999999999</v>
      </c>
      <c r="H230" s="1">
        <v>40994.663999999997</v>
      </c>
      <c r="I230" s="1">
        <v>46682.616000000002</v>
      </c>
      <c r="J230" s="1">
        <v>62484.415000000001</v>
      </c>
      <c r="K230" s="1">
        <v>73221.827000000005</v>
      </c>
      <c r="L230" s="1">
        <v>72028.539999999994</v>
      </c>
      <c r="M230" s="1">
        <v>70485.509999999995</v>
      </c>
      <c r="N230" s="1">
        <v>71600.648000000001</v>
      </c>
      <c r="O230" s="1">
        <v>68654.635999999999</v>
      </c>
      <c r="P230" s="1">
        <v>72523.233999999997</v>
      </c>
      <c r="Q230" s="1">
        <v>67714.046000000002</v>
      </c>
      <c r="R230" s="2">
        <f t="shared" si="84"/>
        <v>66293.869330940797</v>
      </c>
      <c r="AA230" s="59" t="s">
        <v>134</v>
      </c>
      <c r="AB230" s="1">
        <v>82846.244999999995</v>
      </c>
      <c r="AC230" s="1">
        <v>84338</v>
      </c>
      <c r="AD230" s="1">
        <v>86128.263999999996</v>
      </c>
      <c r="AE230" s="1">
        <v>68323.404999999999</v>
      </c>
      <c r="AF230" s="1">
        <v>67714.046000000002</v>
      </c>
      <c r="AG230" s="1">
        <v>63724.637999999999</v>
      </c>
      <c r="AH230" s="1">
        <v>67951.524999999994</v>
      </c>
      <c r="AI230" s="1">
        <v>68215.209000000003</v>
      </c>
      <c r="AJ230" s="1"/>
      <c r="AK230" s="50">
        <f t="shared" si="85"/>
        <v>1.8006307950348299E-2</v>
      </c>
      <c r="AL230" s="50">
        <f t="shared" si="86"/>
        <v>2.1227252246911243E-2</v>
      </c>
      <c r="AM230" s="50">
        <f t="shared" si="87"/>
        <v>-0.20672492597784153</v>
      </c>
      <c r="AN230" s="50">
        <f t="shared" si="88"/>
        <v>-8.9187446088203615E-3</v>
      </c>
      <c r="AO230" s="50">
        <f t="shared" si="89"/>
        <v>-5.891551658277816E-2</v>
      </c>
      <c r="AP230" s="50">
        <f t="shared" si="90"/>
        <v>6.6330498417268347E-2</v>
      </c>
    </row>
    <row r="231" spans="2:42" x14ac:dyDescent="0.3">
      <c r="D231" s="59"/>
      <c r="E231" s="1"/>
      <c r="F231" s="1"/>
      <c r="G231" s="1"/>
      <c r="H231" s="1"/>
      <c r="I231" s="1"/>
      <c r="J231" s="1"/>
      <c r="K231" s="1"/>
      <c r="L231" s="1"/>
      <c r="M231" s="1"/>
      <c r="N231" s="1"/>
      <c r="O231" s="1"/>
      <c r="P231" s="1"/>
      <c r="Q231" s="1"/>
      <c r="AA231" s="59"/>
      <c r="AB231" s="1"/>
      <c r="AC231" s="1"/>
      <c r="AD231" s="1"/>
      <c r="AE231" s="1"/>
      <c r="AF231" s="1"/>
      <c r="AG231" s="1"/>
      <c r="AH231" s="1"/>
      <c r="AI231" s="1"/>
      <c r="AJ231" s="1"/>
      <c r="AK231" s="1"/>
      <c r="AL231" s="1"/>
      <c r="AM231" s="1"/>
      <c r="AN231" s="1"/>
    </row>
    <row r="232" spans="2:42" x14ac:dyDescent="0.3">
      <c r="E232" s="62">
        <f t="shared" ref="E232:R232" si="91">SUM(E221:E230)</f>
        <v>834802.49600000004</v>
      </c>
      <c r="F232" s="62">
        <f t="shared" si="91"/>
        <v>866237.01300000004</v>
      </c>
      <c r="G232" s="62">
        <f t="shared" si="91"/>
        <v>924228.99800000002</v>
      </c>
      <c r="H232" s="62">
        <f t="shared" si="91"/>
        <v>1027209.5149999999</v>
      </c>
      <c r="I232" s="62">
        <f t="shared" si="91"/>
        <v>1190912.18</v>
      </c>
      <c r="J232" s="62">
        <f t="shared" si="91"/>
        <v>1280831.817</v>
      </c>
      <c r="K232" s="62">
        <f t="shared" si="91"/>
        <v>1434418.5910000002</v>
      </c>
      <c r="L232" s="62">
        <f t="shared" si="91"/>
        <v>1448819.297</v>
      </c>
      <c r="M232" s="62">
        <f t="shared" si="91"/>
        <v>1467810.4470000002</v>
      </c>
      <c r="N232" s="62">
        <f t="shared" si="91"/>
        <v>1433427.4340000004</v>
      </c>
      <c r="O232" s="62">
        <f t="shared" si="91"/>
        <v>1494487.3730000001</v>
      </c>
      <c r="P232" s="62">
        <f t="shared" si="91"/>
        <v>1646879.2420000001</v>
      </c>
      <c r="Q232" s="62">
        <f t="shared" si="91"/>
        <v>1893646.4449999998</v>
      </c>
      <c r="R232" s="62">
        <f t="shared" si="91"/>
        <v>2387869.3898230712</v>
      </c>
      <c r="AB232" s="62">
        <f t="shared" ref="AB232:AN232" si="92">SUM(AB221:AB230)</f>
        <v>1697914.2279999997</v>
      </c>
      <c r="AC232" s="62">
        <f t="shared" si="92"/>
        <v>1761763.8289999999</v>
      </c>
      <c r="AD232" s="62">
        <f t="shared" si="92"/>
        <v>1842256.0019999999</v>
      </c>
      <c r="AE232" s="62">
        <f t="shared" si="92"/>
        <v>1859288.5090000001</v>
      </c>
      <c r="AF232" s="62">
        <f t="shared" si="92"/>
        <v>1917246.0119999999</v>
      </c>
      <c r="AG232" s="62">
        <f t="shared" si="92"/>
        <v>1957277.7020000003</v>
      </c>
      <c r="AH232" s="62">
        <f t="shared" si="92"/>
        <v>2218670.9549999996</v>
      </c>
      <c r="AI232" s="62">
        <f t="shared" si="92"/>
        <v>2267871.5099999998</v>
      </c>
      <c r="AJ232" s="62">
        <f t="shared" si="92"/>
        <v>0</v>
      </c>
      <c r="AK232" s="62">
        <f t="shared" si="92"/>
        <v>0.44818071531295389</v>
      </c>
      <c r="AL232" s="62">
        <f t="shared" si="92"/>
        <v>0.37049611464756926</v>
      </c>
      <c r="AM232" s="62">
        <f t="shared" si="92"/>
        <v>-7.3524214565600765E-2</v>
      </c>
      <c r="AN232" s="62">
        <f t="shared" si="92"/>
        <v>0.1661771175814245</v>
      </c>
    </row>
    <row r="234" spans="2:42" x14ac:dyDescent="0.3">
      <c r="B234" t="e">
        <f ca="1">_xll.TR($B$85:$B$95,"TR.TotalAssetsReported(Scale=6)","Period=FY0 Frq=FY SDate=0 EDate=-12 Curn=SAR CH=Fd;periodenddate RH=IN SORTA=periodenddate",D234)</f>
        <v>#NAME?</v>
      </c>
      <c r="E234" s="59" t="s">
        <v>63</v>
      </c>
      <c r="F234" s="59" t="s">
        <v>63</v>
      </c>
      <c r="G234" s="59" t="s">
        <v>63</v>
      </c>
      <c r="H234" s="59" t="s">
        <v>63</v>
      </c>
      <c r="I234" s="59" t="s">
        <v>63</v>
      </c>
      <c r="J234" s="59" t="s">
        <v>63</v>
      </c>
      <c r="K234" s="59" t="s">
        <v>63</v>
      </c>
      <c r="L234" s="59" t="s">
        <v>63</v>
      </c>
      <c r="M234" s="59" t="s">
        <v>63</v>
      </c>
      <c r="N234" s="59" t="s">
        <v>63</v>
      </c>
      <c r="O234" s="59" t="s">
        <v>63</v>
      </c>
      <c r="P234" s="59" t="s">
        <v>63</v>
      </c>
      <c r="Q234" s="59" t="s">
        <v>63</v>
      </c>
      <c r="Y234" t="e">
        <f ca="1">_xll.TR($B$85:$B$95,"TR.TotalAssetsReported(Scale=6)","Period=FQ0 Frq=FQ SDate=0 EDate=-7 Curn=SAR CH=Fd;periodenddate RH=IN SORTA=periodenddate",AA234)</f>
        <v>#NAME?</v>
      </c>
      <c r="AB234" s="59" t="s">
        <v>63</v>
      </c>
      <c r="AC234" s="59" t="s">
        <v>63</v>
      </c>
      <c r="AD234" s="59" t="s">
        <v>63</v>
      </c>
      <c r="AE234" s="59" t="s">
        <v>63</v>
      </c>
      <c r="AF234" s="59" t="s">
        <v>63</v>
      </c>
      <c r="AG234" s="59" t="s">
        <v>63</v>
      </c>
      <c r="AH234" s="59" t="s">
        <v>63</v>
      </c>
      <c r="AI234" s="59" t="s">
        <v>63</v>
      </c>
      <c r="AJ234" s="59"/>
      <c r="AK234" s="59"/>
      <c r="AL234" s="59"/>
      <c r="AM234" s="59"/>
      <c r="AN234" s="59"/>
    </row>
    <row r="235" spans="2:42" x14ac:dyDescent="0.3">
      <c r="E235" s="58">
        <v>39813</v>
      </c>
      <c r="F235" s="58">
        <v>40178</v>
      </c>
      <c r="G235" s="58">
        <v>40543</v>
      </c>
      <c r="H235" s="58">
        <v>40908</v>
      </c>
      <c r="I235" s="58">
        <v>41274</v>
      </c>
      <c r="J235" s="58">
        <v>41639</v>
      </c>
      <c r="K235" s="58">
        <v>42004</v>
      </c>
      <c r="L235" s="58">
        <v>42369</v>
      </c>
      <c r="M235" s="58">
        <v>42735</v>
      </c>
      <c r="N235" s="58">
        <v>43100</v>
      </c>
      <c r="O235" s="58">
        <v>43465</v>
      </c>
      <c r="P235" s="58">
        <v>43830</v>
      </c>
      <c r="Q235" s="58">
        <v>44196</v>
      </c>
      <c r="AB235" s="58">
        <v>43830</v>
      </c>
      <c r="AC235" s="58">
        <v>43921</v>
      </c>
      <c r="AD235" s="58">
        <v>44012</v>
      </c>
      <c r="AE235" s="58">
        <v>44104</v>
      </c>
      <c r="AF235" s="58">
        <v>44196</v>
      </c>
      <c r="AG235" s="58">
        <v>44286</v>
      </c>
      <c r="AH235" s="58">
        <v>44377</v>
      </c>
      <c r="AI235" s="58">
        <v>44469</v>
      </c>
      <c r="AJ235" s="58"/>
      <c r="AK235" s="58"/>
      <c r="AL235" s="58"/>
      <c r="AM235" s="58"/>
      <c r="AN235" s="58"/>
    </row>
    <row r="236" spans="2:42" x14ac:dyDescent="0.3">
      <c r="D236" s="59" t="s">
        <v>115</v>
      </c>
      <c r="E236" s="1">
        <v>163373.22399999999</v>
      </c>
      <c r="F236" s="1">
        <v>170729.72899999999</v>
      </c>
      <c r="G236" s="1">
        <v>184840.91</v>
      </c>
      <c r="H236" s="1">
        <v>220731.08499999999</v>
      </c>
      <c r="I236" s="1">
        <v>267382.56199999998</v>
      </c>
      <c r="J236" s="1">
        <v>279870.685</v>
      </c>
      <c r="K236" s="1">
        <v>307711.55499999999</v>
      </c>
      <c r="L236" s="1">
        <v>315619.64799999999</v>
      </c>
      <c r="M236" s="1">
        <v>339711.81699999998</v>
      </c>
      <c r="N236" s="1">
        <v>343116.52799999999</v>
      </c>
      <c r="O236" s="1">
        <v>364030.84399999998</v>
      </c>
      <c r="P236" s="1">
        <v>384086.576</v>
      </c>
      <c r="Q236" s="1">
        <v>468824.723</v>
      </c>
      <c r="R236" s="2">
        <f t="shared" ref="R236:R245" si="93">AI236*(1+AVERAGE(AK236:AP236))</f>
        <v>618097.29063766776</v>
      </c>
      <c r="AA236" s="59" t="s">
        <v>115</v>
      </c>
      <c r="AB236" s="1">
        <v>384086.576</v>
      </c>
      <c r="AC236" s="1">
        <v>391901.36900000001</v>
      </c>
      <c r="AD236" s="1">
        <v>417684.20699999999</v>
      </c>
      <c r="AE236" s="1">
        <v>430300.39199999999</v>
      </c>
      <c r="AF236" s="1">
        <v>468824.723</v>
      </c>
      <c r="AG236" s="1">
        <v>512233.60499999998</v>
      </c>
      <c r="AH236" s="1">
        <v>546139.23699999996</v>
      </c>
      <c r="AI236" s="1">
        <v>582684.43700000003</v>
      </c>
      <c r="AJ236" s="1"/>
      <c r="AK236" s="50">
        <f t="shared" ref="AK236:AK245" si="94">AC236/AB236-1</f>
        <v>2.0346436163913184E-2</v>
      </c>
      <c r="AL236" s="50">
        <f t="shared" ref="AL236:AL245" si="95">AD236/AC236-1</f>
        <v>6.5789099093450654E-2</v>
      </c>
      <c r="AM236" s="50">
        <f t="shared" ref="AM236:AM245" si="96">AE236/AD236-1</f>
        <v>3.0205080270128581E-2</v>
      </c>
      <c r="AN236" s="50">
        <f t="shared" ref="AN236:AN245" si="97">AF236/AE236-1</f>
        <v>8.9528923784945036E-2</v>
      </c>
      <c r="AO236" s="50">
        <f t="shared" ref="AO236:AO245" si="98">AG236/AF236-1</f>
        <v>9.2590855111538195E-2</v>
      </c>
      <c r="AP236" s="50">
        <f t="shared" ref="AP236:AP245" si="99">AH236/AG236-1</f>
        <v>6.6191736873647766E-2</v>
      </c>
    </row>
    <row r="237" spans="2:42" x14ac:dyDescent="0.3">
      <c r="D237" s="59" t="s">
        <v>118</v>
      </c>
      <c r="E237" s="1">
        <v>221801.97500000001</v>
      </c>
      <c r="F237" s="1">
        <v>257452.17499999999</v>
      </c>
      <c r="G237" s="1">
        <v>282371.99200000003</v>
      </c>
      <c r="H237" s="1">
        <v>301198.16100000002</v>
      </c>
      <c r="I237" s="1">
        <v>345259.70299999998</v>
      </c>
      <c r="J237" s="1">
        <v>377280.33399999997</v>
      </c>
      <c r="K237" s="1">
        <v>434878.08399999997</v>
      </c>
      <c r="L237" s="1">
        <v>448642.04</v>
      </c>
      <c r="M237" s="1">
        <v>442657.11700000003</v>
      </c>
      <c r="N237" s="1">
        <v>444791.70199999999</v>
      </c>
      <c r="O237" s="1">
        <v>452176.76799999998</v>
      </c>
      <c r="P237" s="1">
        <v>507263.80200000003</v>
      </c>
      <c r="Q237" s="1">
        <v>599445.99800000002</v>
      </c>
      <c r="R237" s="2">
        <f t="shared" si="93"/>
        <v>1002910.2933994811</v>
      </c>
      <c r="AA237" s="59" t="s">
        <v>118</v>
      </c>
      <c r="AB237" s="1">
        <v>507263.80200000003</v>
      </c>
      <c r="AC237" s="1">
        <v>535006.59699999995</v>
      </c>
      <c r="AD237" s="1">
        <v>557310.03399999999</v>
      </c>
      <c r="AE237" s="1">
        <v>577083.80599999998</v>
      </c>
      <c r="AF237" s="1">
        <v>599445.99800000002</v>
      </c>
      <c r="AG237" s="1">
        <v>599570.26699999999</v>
      </c>
      <c r="AH237" s="1">
        <v>896421.2</v>
      </c>
      <c r="AI237" s="1">
        <v>902719.86</v>
      </c>
      <c r="AJ237" s="1"/>
      <c r="AK237" s="50">
        <f t="shared" si="94"/>
        <v>5.4691059938867692E-2</v>
      </c>
      <c r="AL237" s="50">
        <f t="shared" si="95"/>
        <v>4.1688153239725523E-2</v>
      </c>
      <c r="AM237" s="50">
        <f t="shared" si="96"/>
        <v>3.5480739254014626E-2</v>
      </c>
      <c r="AN237" s="50">
        <f t="shared" si="97"/>
        <v>3.8750337069760166E-2</v>
      </c>
      <c r="AO237" s="50">
        <f t="shared" si="98"/>
        <v>2.0730641361277335E-4</v>
      </c>
      <c r="AP237" s="50">
        <f t="shared" si="99"/>
        <v>0.49510616075963609</v>
      </c>
    </row>
    <row r="238" spans="2:42" x14ac:dyDescent="0.3">
      <c r="D238" s="59" t="s">
        <v>120</v>
      </c>
      <c r="E238" s="1">
        <v>159652.52499999999</v>
      </c>
      <c r="F238" s="1">
        <v>176399.258</v>
      </c>
      <c r="G238" s="1">
        <v>173556.43</v>
      </c>
      <c r="H238" s="1">
        <v>180887.39</v>
      </c>
      <c r="I238" s="1">
        <v>190180.83799999999</v>
      </c>
      <c r="J238" s="1">
        <v>205246.47899999999</v>
      </c>
      <c r="K238" s="1">
        <v>214589.29300000001</v>
      </c>
      <c r="L238" s="1">
        <v>223315.875</v>
      </c>
      <c r="M238" s="1">
        <v>217619.00099999999</v>
      </c>
      <c r="N238" s="1">
        <v>216282.171</v>
      </c>
      <c r="O238" s="1">
        <v>229899.576</v>
      </c>
      <c r="P238" s="1">
        <v>265788.87800000003</v>
      </c>
      <c r="Q238" s="1">
        <v>310087.90700000001</v>
      </c>
      <c r="R238" s="2">
        <f t="shared" si="93"/>
        <v>328285.78076092427</v>
      </c>
      <c r="AA238" s="59" t="s">
        <v>120</v>
      </c>
      <c r="AB238" s="1">
        <v>265788.87800000003</v>
      </c>
      <c r="AC238" s="1">
        <v>279696.56599999999</v>
      </c>
      <c r="AD238" s="1">
        <v>295083.36200000002</v>
      </c>
      <c r="AE238" s="1">
        <v>308557.755</v>
      </c>
      <c r="AF238" s="1">
        <v>310087.90700000001</v>
      </c>
      <c r="AG238" s="1">
        <v>308036.28000000003</v>
      </c>
      <c r="AH238" s="1">
        <v>317266.32900000003</v>
      </c>
      <c r="AI238" s="1">
        <v>318656.59100000001</v>
      </c>
      <c r="AJ238" s="1"/>
      <c r="AK238" s="50">
        <f t="shared" si="94"/>
        <v>5.2326072124056155E-2</v>
      </c>
      <c r="AL238" s="50">
        <f t="shared" si="95"/>
        <v>5.5012459466520669E-2</v>
      </c>
      <c r="AM238" s="50">
        <f t="shared" si="96"/>
        <v>4.5663004883345515E-2</v>
      </c>
      <c r="AN238" s="50">
        <f t="shared" si="97"/>
        <v>4.9590456736372523E-3</v>
      </c>
      <c r="AO238" s="50">
        <f t="shared" si="98"/>
        <v>-6.6162754292767856E-3</v>
      </c>
      <c r="AP238" s="50">
        <f t="shared" si="99"/>
        <v>2.996416201364327E-2</v>
      </c>
    </row>
    <row r="239" spans="2:42" x14ac:dyDescent="0.3">
      <c r="D239" s="59" t="s">
        <v>122</v>
      </c>
      <c r="E239" s="1">
        <v>131660.693</v>
      </c>
      <c r="F239" s="1">
        <v>126837.962</v>
      </c>
      <c r="G239" s="1">
        <v>125372.86599999999</v>
      </c>
      <c r="H239" s="1">
        <v>138657.505</v>
      </c>
      <c r="I239" s="1">
        <v>156652.337</v>
      </c>
      <c r="J239" s="1">
        <v>177302.2</v>
      </c>
      <c r="K239" s="1">
        <v>187609.26800000001</v>
      </c>
      <c r="L239" s="1">
        <v>187750.42300000001</v>
      </c>
      <c r="M239" s="1">
        <v>186055.894</v>
      </c>
      <c r="N239" s="1">
        <v>187615.34400000001</v>
      </c>
      <c r="O239" s="1">
        <v>174676.772</v>
      </c>
      <c r="P239" s="1">
        <v>265986.72899999999</v>
      </c>
      <c r="Q239" s="1">
        <v>276451.67099999997</v>
      </c>
      <c r="R239" s="2">
        <f t="shared" si="93"/>
        <v>270771.71077236248</v>
      </c>
      <c r="AA239" s="59" t="s">
        <v>122</v>
      </c>
      <c r="AB239" s="1">
        <v>265986.72899999999</v>
      </c>
      <c r="AC239" s="1">
        <v>265686.353</v>
      </c>
      <c r="AD239" s="1">
        <v>266991.01</v>
      </c>
      <c r="AE239" s="1">
        <v>263957.56099999999</v>
      </c>
      <c r="AF239" s="1">
        <v>276451.67099999997</v>
      </c>
      <c r="AG239" s="1">
        <v>271555.255</v>
      </c>
      <c r="AH239" s="1">
        <v>272939.60600000003</v>
      </c>
      <c r="AI239" s="1">
        <v>269552.45299999998</v>
      </c>
      <c r="AJ239" s="1"/>
      <c r="AK239" s="50">
        <f t="shared" si="94"/>
        <v>-1.1292894240598761E-3</v>
      </c>
      <c r="AL239" s="50">
        <f t="shared" si="95"/>
        <v>4.9105156710853581E-3</v>
      </c>
      <c r="AM239" s="50">
        <f t="shared" si="96"/>
        <v>-1.1361614759987648E-2</v>
      </c>
      <c r="AN239" s="50">
        <f t="shared" si="97"/>
        <v>4.7333783327388801E-2</v>
      </c>
      <c r="AO239" s="50">
        <f t="shared" si="98"/>
        <v>-1.7711652753945484E-2</v>
      </c>
      <c r="AP239" s="50">
        <f t="shared" si="99"/>
        <v>5.0978612069210172E-3</v>
      </c>
    </row>
    <row r="240" spans="2:42" x14ac:dyDescent="0.3">
      <c r="D240" s="59" t="s">
        <v>124</v>
      </c>
      <c r="E240" s="1">
        <v>125864.761</v>
      </c>
      <c r="F240" s="1">
        <v>120572.43799999999</v>
      </c>
      <c r="G240" s="1">
        <v>123218.33</v>
      </c>
      <c r="H240" s="1">
        <v>140479.95800000001</v>
      </c>
      <c r="I240" s="1">
        <v>157777.302</v>
      </c>
      <c r="J240" s="1">
        <v>170056.674</v>
      </c>
      <c r="K240" s="1">
        <v>188776.90299999999</v>
      </c>
      <c r="L240" s="1">
        <v>183724.28099999999</v>
      </c>
      <c r="M240" s="1">
        <v>203428.709</v>
      </c>
      <c r="N240" s="1">
        <v>192928.88099999999</v>
      </c>
      <c r="O240" s="1">
        <v>190250.277</v>
      </c>
      <c r="P240" s="1">
        <v>178148.57699999999</v>
      </c>
      <c r="Q240" s="1">
        <v>194073.584</v>
      </c>
      <c r="R240" s="2">
        <f t="shared" si="93"/>
        <v>219717.609523252</v>
      </c>
      <c r="AA240" s="59" t="s">
        <v>124</v>
      </c>
      <c r="AB240" s="1">
        <v>178148.57699999999</v>
      </c>
      <c r="AC240" s="1">
        <v>199177.78</v>
      </c>
      <c r="AD240" s="1">
        <v>201952.929</v>
      </c>
      <c r="AE240" s="1">
        <v>197444.80799999999</v>
      </c>
      <c r="AF240" s="1">
        <v>194073.584</v>
      </c>
      <c r="AG240" s="1">
        <v>202232.76</v>
      </c>
      <c r="AH240" s="1">
        <v>211310.174</v>
      </c>
      <c r="AI240" s="1">
        <v>213335.092</v>
      </c>
      <c r="AJ240" s="1"/>
      <c r="AK240" s="50">
        <f t="shared" si="94"/>
        <v>0.11804305908096024</v>
      </c>
      <c r="AL240" s="50">
        <f t="shared" si="95"/>
        <v>1.393302505932148E-2</v>
      </c>
      <c r="AM240" s="50">
        <f t="shared" si="96"/>
        <v>-2.2322632418963373E-2</v>
      </c>
      <c r="AN240" s="50">
        <f t="shared" si="97"/>
        <v>-1.7074260063602131E-2</v>
      </c>
      <c r="AO240" s="50">
        <f t="shared" si="98"/>
        <v>4.2041661888410298E-2</v>
      </c>
      <c r="AP240" s="50">
        <f t="shared" si="99"/>
        <v>4.4885971985943351E-2</v>
      </c>
    </row>
    <row r="241" spans="2:42" x14ac:dyDescent="0.3">
      <c r="D241" s="59" t="s">
        <v>126</v>
      </c>
      <c r="E241" s="1">
        <v>15556.388000000001</v>
      </c>
      <c r="F241" s="1">
        <v>17306.393</v>
      </c>
      <c r="G241" s="1">
        <v>26548.737000000001</v>
      </c>
      <c r="H241" s="1">
        <v>36783.366000000002</v>
      </c>
      <c r="I241" s="1">
        <v>54014.453000000001</v>
      </c>
      <c r="J241" s="1">
        <v>63001.232000000004</v>
      </c>
      <c r="K241" s="1">
        <v>80861.858999999997</v>
      </c>
      <c r="L241" s="1">
        <v>88724.53</v>
      </c>
      <c r="M241" s="1">
        <v>104729.86</v>
      </c>
      <c r="N241" s="1">
        <v>114751.67600000001</v>
      </c>
      <c r="O241" s="1">
        <v>121537.97</v>
      </c>
      <c r="P241" s="1">
        <v>131839.44099999999</v>
      </c>
      <c r="Q241" s="1">
        <v>156876.80300000001</v>
      </c>
      <c r="R241" s="2">
        <f t="shared" si="93"/>
        <v>173013.97402991081</v>
      </c>
      <c r="AA241" s="59" t="s">
        <v>126</v>
      </c>
      <c r="AB241" s="1">
        <v>131839.44099999999</v>
      </c>
      <c r="AC241" s="1">
        <v>138021.33799999999</v>
      </c>
      <c r="AD241" s="1">
        <v>142196.04800000001</v>
      </c>
      <c r="AE241" s="1">
        <v>147849.981</v>
      </c>
      <c r="AF241" s="1">
        <v>156876.80300000001</v>
      </c>
      <c r="AG241" s="1">
        <v>159951.03899999999</v>
      </c>
      <c r="AH241" s="1">
        <v>164056.557</v>
      </c>
      <c r="AI241" s="1">
        <v>166808.269</v>
      </c>
      <c r="AJ241" s="1"/>
      <c r="AK241" s="50">
        <f t="shared" si="94"/>
        <v>4.688958746419436E-2</v>
      </c>
      <c r="AL241" s="50">
        <f t="shared" si="95"/>
        <v>3.0246844875536638E-2</v>
      </c>
      <c r="AM241" s="50">
        <f t="shared" si="96"/>
        <v>3.9761534019566946E-2</v>
      </c>
      <c r="AN241" s="50">
        <f t="shared" si="97"/>
        <v>6.1053927358976301E-2</v>
      </c>
      <c r="AO241" s="50">
        <f t="shared" si="98"/>
        <v>1.959649827897092E-2</v>
      </c>
      <c r="AP241" s="50">
        <f t="shared" si="99"/>
        <v>2.5667341867032345E-2</v>
      </c>
    </row>
    <row r="242" spans="2:42" x14ac:dyDescent="0.3">
      <c r="D242" s="59" t="s">
        <v>130</v>
      </c>
      <c r="E242" s="1">
        <v>16051.789000000001</v>
      </c>
      <c r="F242" s="1">
        <v>17411.191999999999</v>
      </c>
      <c r="G242" s="1">
        <v>21116.686000000002</v>
      </c>
      <c r="H242" s="1">
        <v>27727.169000000002</v>
      </c>
      <c r="I242" s="1">
        <v>29777.501</v>
      </c>
      <c r="J242" s="1">
        <v>36323.307999999997</v>
      </c>
      <c r="K242" s="1">
        <v>45229.913999999997</v>
      </c>
      <c r="L242" s="1">
        <v>51220.41</v>
      </c>
      <c r="M242" s="1">
        <v>53748.67</v>
      </c>
      <c r="N242" s="1">
        <v>63207.675999999999</v>
      </c>
      <c r="O242" s="1">
        <v>73636.126000000004</v>
      </c>
      <c r="P242" s="1">
        <v>86003.432000000001</v>
      </c>
      <c r="Q242" s="1">
        <v>95754.285999999993</v>
      </c>
      <c r="R242" s="2">
        <f t="shared" si="93"/>
        <v>115883.12178080539</v>
      </c>
      <c r="AA242" s="59" t="s">
        <v>130</v>
      </c>
      <c r="AB242" s="1">
        <v>86003.432000000001</v>
      </c>
      <c r="AC242" s="1">
        <v>88398.926999999996</v>
      </c>
      <c r="AD242" s="1">
        <v>88857.721000000005</v>
      </c>
      <c r="AE242" s="1">
        <v>92309.112999999998</v>
      </c>
      <c r="AF242" s="1">
        <v>95754.285999999993</v>
      </c>
      <c r="AG242" s="1">
        <v>102519.693</v>
      </c>
      <c r="AH242" s="1">
        <v>107652.139</v>
      </c>
      <c r="AI242" s="1">
        <v>111606.289</v>
      </c>
      <c r="AJ242" s="1"/>
      <c r="AK242" s="50">
        <f t="shared" si="94"/>
        <v>2.7853481475018205E-2</v>
      </c>
      <c r="AL242" s="50">
        <f t="shared" si="95"/>
        <v>5.1900403723226241E-3</v>
      </c>
      <c r="AM242" s="50">
        <f t="shared" si="96"/>
        <v>3.8841779432988055E-2</v>
      </c>
      <c r="AN242" s="50">
        <f t="shared" si="97"/>
        <v>3.7322133081270081E-2</v>
      </c>
      <c r="AO242" s="50">
        <f t="shared" si="98"/>
        <v>7.0653829531975187E-2</v>
      </c>
      <c r="AP242" s="50">
        <f t="shared" si="99"/>
        <v>5.0063025452095289E-2</v>
      </c>
    </row>
    <row r="243" spans="2:42" x14ac:dyDescent="0.3">
      <c r="D243" s="59" t="s">
        <v>128</v>
      </c>
      <c r="E243" s="1">
        <v>121307.14200000001</v>
      </c>
      <c r="F243" s="1">
        <v>110297.32</v>
      </c>
      <c r="G243" s="1">
        <v>116034.765</v>
      </c>
      <c r="H243" s="1">
        <v>117574.30499999999</v>
      </c>
      <c r="I243" s="1">
        <v>136639.27600000001</v>
      </c>
      <c r="J243" s="1">
        <v>137935.424</v>
      </c>
      <c r="K243" s="1">
        <v>164668.35500000001</v>
      </c>
      <c r="L243" s="1">
        <v>170421.27299999999</v>
      </c>
      <c r="M243" s="1">
        <v>170008.72200000001</v>
      </c>
      <c r="N243" s="1">
        <v>171701.69899999999</v>
      </c>
      <c r="O243" s="1">
        <v>178354.83199999999</v>
      </c>
      <c r="P243" s="1">
        <v>183442.47700000001</v>
      </c>
      <c r="Q243" s="1">
        <v>180395.842</v>
      </c>
      <c r="R243" s="2">
        <f t="shared" si="93"/>
        <v>182061.02016058209</v>
      </c>
      <c r="AA243" s="59" t="s">
        <v>128</v>
      </c>
      <c r="AB243" s="1">
        <v>183442.47700000001</v>
      </c>
      <c r="AC243" s="1">
        <v>184871.11600000001</v>
      </c>
      <c r="AD243" s="1">
        <v>187296.54500000001</v>
      </c>
      <c r="AE243" s="1">
        <v>188526.435</v>
      </c>
      <c r="AF243" s="1">
        <v>180395.842</v>
      </c>
      <c r="AG243" s="1">
        <v>177435.33300000001</v>
      </c>
      <c r="AH243" s="1">
        <v>181876.55799999999</v>
      </c>
      <c r="AI243" s="1">
        <v>182274.71</v>
      </c>
      <c r="AJ243" s="1"/>
      <c r="AK243" s="50">
        <f t="shared" si="94"/>
        <v>7.7879399764100299E-3</v>
      </c>
      <c r="AL243" s="50">
        <f t="shared" si="95"/>
        <v>1.311956703934225E-2</v>
      </c>
      <c r="AM243" s="50">
        <f t="shared" si="96"/>
        <v>6.5665386406352777E-3</v>
      </c>
      <c r="AN243" s="50">
        <f t="shared" si="97"/>
        <v>-4.3127071277828999E-2</v>
      </c>
      <c r="AO243" s="50">
        <f t="shared" si="98"/>
        <v>-1.641118202713332E-2</v>
      </c>
      <c r="AP243" s="50">
        <f t="shared" si="99"/>
        <v>2.5030104911517137E-2</v>
      </c>
    </row>
    <row r="244" spans="2:42" x14ac:dyDescent="0.3">
      <c r="D244" s="59" t="s">
        <v>132</v>
      </c>
      <c r="E244" s="1">
        <v>27519.705000000002</v>
      </c>
      <c r="F244" s="1">
        <v>29976.605</v>
      </c>
      <c r="G244" s="1">
        <v>33018.220999999998</v>
      </c>
      <c r="H244" s="1">
        <v>38686.18</v>
      </c>
      <c r="I244" s="1">
        <v>50781.402000000002</v>
      </c>
      <c r="J244" s="1">
        <v>59976.408000000003</v>
      </c>
      <c r="K244" s="1">
        <v>66553.929000000004</v>
      </c>
      <c r="L244" s="1">
        <v>63264.133999999998</v>
      </c>
      <c r="M244" s="1">
        <v>66319.368000000002</v>
      </c>
      <c r="N244" s="1">
        <v>68287.455000000002</v>
      </c>
      <c r="O244" s="1">
        <v>73003.198000000004</v>
      </c>
      <c r="P244" s="1">
        <v>86544.343999999997</v>
      </c>
      <c r="Q244" s="1">
        <v>92088.873999999996</v>
      </c>
      <c r="R244" s="2">
        <f t="shared" si="93"/>
        <v>100286.54677841034</v>
      </c>
      <c r="AA244" s="59" t="s">
        <v>132</v>
      </c>
      <c r="AB244" s="1">
        <v>86544.343999999997</v>
      </c>
      <c r="AC244" s="1">
        <v>89733.603000000003</v>
      </c>
      <c r="AD244" s="1">
        <v>91869.350999999995</v>
      </c>
      <c r="AE244" s="1">
        <v>91910.782999999996</v>
      </c>
      <c r="AF244" s="1">
        <v>92088.873999999996</v>
      </c>
      <c r="AG244" s="1">
        <v>94583.338000000003</v>
      </c>
      <c r="AH244" s="1">
        <v>95896.054999999993</v>
      </c>
      <c r="AI244" s="1">
        <v>98577.745999999999</v>
      </c>
      <c r="AJ244" s="1"/>
      <c r="AK244" s="50">
        <f t="shared" si="94"/>
        <v>3.6851154594227609E-2</v>
      </c>
      <c r="AL244" s="50">
        <f t="shared" si="95"/>
        <v>2.3800983450982027E-2</v>
      </c>
      <c r="AM244" s="50">
        <f t="shared" si="96"/>
        <v>4.5098827355372073E-4</v>
      </c>
      <c r="AN244" s="50">
        <f t="shared" si="97"/>
        <v>1.937650775970523E-3</v>
      </c>
      <c r="AO244" s="50">
        <f t="shared" si="98"/>
        <v>2.7087571947073785E-2</v>
      </c>
      <c r="AP244" s="50">
        <f t="shared" si="99"/>
        <v>1.3878945570730439E-2</v>
      </c>
    </row>
    <row r="245" spans="2:42" x14ac:dyDescent="0.3">
      <c r="D245" s="59" t="s">
        <v>134</v>
      </c>
      <c r="E245" s="1">
        <v>53596.364000000001</v>
      </c>
      <c r="F245" s="1">
        <v>50148.010999999999</v>
      </c>
      <c r="G245" s="1">
        <v>51491.233</v>
      </c>
      <c r="H245" s="1">
        <v>51945.582000000002</v>
      </c>
      <c r="I245" s="1">
        <v>59066.65</v>
      </c>
      <c r="J245" s="1">
        <v>80495.413</v>
      </c>
      <c r="K245" s="1">
        <v>93626.44</v>
      </c>
      <c r="L245" s="1">
        <v>93578.335999999996</v>
      </c>
      <c r="M245" s="1">
        <v>93047.410999999993</v>
      </c>
      <c r="N245" s="1">
        <v>93796.218999999997</v>
      </c>
      <c r="O245" s="1">
        <v>96069.907999999996</v>
      </c>
      <c r="P245" s="1">
        <v>100814.59600000001</v>
      </c>
      <c r="Q245" s="1">
        <v>99884.532000000007</v>
      </c>
      <c r="R245" s="2">
        <f t="shared" si="93"/>
        <v>99299.055943685875</v>
      </c>
      <c r="AA245" s="59" t="s">
        <v>134</v>
      </c>
      <c r="AB245" s="1">
        <v>100814.59600000001</v>
      </c>
      <c r="AC245" s="1">
        <v>100804.88</v>
      </c>
      <c r="AD245" s="1">
        <v>104615.97</v>
      </c>
      <c r="AE245" s="1">
        <v>98338.506999999998</v>
      </c>
      <c r="AF245" s="1">
        <v>99884.532000000007</v>
      </c>
      <c r="AG245" s="1">
        <v>96270.475000000006</v>
      </c>
      <c r="AH245" s="1">
        <v>98409.375</v>
      </c>
      <c r="AI245" s="1">
        <v>99640.122000000003</v>
      </c>
      <c r="AJ245" s="1"/>
      <c r="AK245" s="50">
        <f t="shared" si="94"/>
        <v>-9.6374933645559935E-5</v>
      </c>
      <c r="AL245" s="50">
        <f t="shared" si="95"/>
        <v>3.7806602220051166E-2</v>
      </c>
      <c r="AM245" s="50">
        <f t="shared" si="96"/>
        <v>-6.0004825267117479E-2</v>
      </c>
      <c r="AN245" s="50">
        <f t="shared" si="97"/>
        <v>1.5721460973573853E-2</v>
      </c>
      <c r="AO245" s="50">
        <f t="shared" si="98"/>
        <v>-3.6182349034783456E-2</v>
      </c>
      <c r="AP245" s="50">
        <f t="shared" si="99"/>
        <v>2.2217611370464185E-2</v>
      </c>
    </row>
    <row r="246" spans="2:42" x14ac:dyDescent="0.3">
      <c r="D246" s="59"/>
      <c r="E246" s="1"/>
      <c r="F246" s="1"/>
      <c r="G246" s="1"/>
      <c r="H246" s="1"/>
      <c r="I246" s="1"/>
      <c r="J246" s="1"/>
      <c r="K246" s="1"/>
      <c r="L246" s="1"/>
      <c r="M246" s="1"/>
      <c r="N246" s="1"/>
      <c r="O246" s="1"/>
      <c r="P246" s="1"/>
      <c r="Q246" s="1"/>
      <c r="AA246" s="59"/>
      <c r="AB246" s="1"/>
      <c r="AC246" s="1"/>
      <c r="AD246" s="1"/>
      <c r="AE246" s="1"/>
      <c r="AF246" s="1"/>
      <c r="AG246" s="1"/>
      <c r="AH246" s="1"/>
      <c r="AI246" s="1"/>
      <c r="AJ246" s="1"/>
      <c r="AK246" s="1"/>
      <c r="AL246" s="1"/>
      <c r="AM246" s="1"/>
      <c r="AN246" s="1"/>
    </row>
    <row r="247" spans="2:42" x14ac:dyDescent="0.3">
      <c r="E247" s="62">
        <f t="shared" ref="E247:R247" si="100">SUM(E236:E245)</f>
        <v>1036384.5660000001</v>
      </c>
      <c r="F247" s="62">
        <f t="shared" si="100"/>
        <v>1077131.0830000001</v>
      </c>
      <c r="G247" s="62">
        <f t="shared" si="100"/>
        <v>1137570.1699999997</v>
      </c>
      <c r="H247" s="62">
        <f t="shared" si="100"/>
        <v>1254670.7009999999</v>
      </c>
      <c r="I247" s="62">
        <f t="shared" si="100"/>
        <v>1447532.0239999997</v>
      </c>
      <c r="J247" s="62">
        <f t="shared" si="100"/>
        <v>1587488.1570000001</v>
      </c>
      <c r="K247" s="62">
        <f t="shared" si="100"/>
        <v>1784505.5999999999</v>
      </c>
      <c r="L247" s="62">
        <f t="shared" si="100"/>
        <v>1826260.95</v>
      </c>
      <c r="M247" s="62">
        <f t="shared" si="100"/>
        <v>1877326.5690000004</v>
      </c>
      <c r="N247" s="62">
        <f t="shared" si="100"/>
        <v>1896479.351</v>
      </c>
      <c r="O247" s="62">
        <f t="shared" si="100"/>
        <v>1953636.2709999999</v>
      </c>
      <c r="P247" s="62">
        <f t="shared" si="100"/>
        <v>2189918.852</v>
      </c>
      <c r="Q247" s="62">
        <f t="shared" si="100"/>
        <v>2473884.2200000002</v>
      </c>
      <c r="R247" s="62">
        <f t="shared" si="100"/>
        <v>3110326.4037870821</v>
      </c>
      <c r="AB247" s="62">
        <f t="shared" ref="AB247:AN247" si="101">SUM(AB236:AB245)</f>
        <v>2189918.852</v>
      </c>
      <c r="AC247" s="62">
        <f t="shared" si="101"/>
        <v>2273298.5290000001</v>
      </c>
      <c r="AD247" s="62">
        <f t="shared" si="101"/>
        <v>2353857.1769999997</v>
      </c>
      <c r="AE247" s="62">
        <f t="shared" si="101"/>
        <v>2396279.1409999998</v>
      </c>
      <c r="AF247" s="62">
        <f t="shared" si="101"/>
        <v>2473884.2200000002</v>
      </c>
      <c r="AG247" s="62">
        <f t="shared" si="101"/>
        <v>2524388.0450000004</v>
      </c>
      <c r="AH247" s="62">
        <f t="shared" si="101"/>
        <v>2891967.2300000004</v>
      </c>
      <c r="AI247" s="62">
        <f t="shared" si="101"/>
        <v>2945855.5689999997</v>
      </c>
      <c r="AJ247" s="62">
        <f t="shared" si="101"/>
        <v>0</v>
      </c>
      <c r="AK247" s="62">
        <f t="shared" si="101"/>
        <v>0.36356312645994204</v>
      </c>
      <c r="AL247" s="62">
        <f t="shared" si="101"/>
        <v>0.29149729048833839</v>
      </c>
      <c r="AM247" s="62">
        <f t="shared" si="101"/>
        <v>0.10328059232816422</v>
      </c>
      <c r="AN247" s="62">
        <f t="shared" si="101"/>
        <v>0.23640593070409088</v>
      </c>
    </row>
    <row r="249" spans="2:42" x14ac:dyDescent="0.3">
      <c r="B249" t="e">
        <f ca="1">_xll.TR($B$85:$B$95,"TR.TotalEquity(Scale=6)","Period=FY0 Frq=FY SDate=0 EDate=-12 Curn=SAR CH=Fd;periodenddate RH=IN SORTA=periodenddate",D249)</f>
        <v>#NAME?</v>
      </c>
      <c r="E249" t="s">
        <v>3</v>
      </c>
      <c r="F249" t="s">
        <v>3</v>
      </c>
      <c r="G249" t="s">
        <v>3</v>
      </c>
      <c r="H249" t="s">
        <v>3</v>
      </c>
      <c r="I249" t="s">
        <v>3</v>
      </c>
      <c r="J249" t="s">
        <v>3</v>
      </c>
      <c r="K249" t="s">
        <v>3</v>
      </c>
      <c r="L249" t="s">
        <v>3</v>
      </c>
      <c r="M249" t="s">
        <v>3</v>
      </c>
      <c r="N249" t="s">
        <v>3</v>
      </c>
      <c r="O249" t="s">
        <v>3</v>
      </c>
      <c r="P249" t="s">
        <v>3</v>
      </c>
      <c r="Q249" t="s">
        <v>3</v>
      </c>
      <c r="Y249" t="e">
        <f ca="1">_xll.TR($B$85:$B$95,"TR.TotalEquity(Scale=6)","Period=FQ0 Frq=FQ SDate=0 EDate=-7 Curn=SAR CH=Fd;periodenddate RH=IN SORTA=periodenddate",AA249)</f>
        <v>#NAME?</v>
      </c>
      <c r="AB249" t="s">
        <v>3</v>
      </c>
      <c r="AC249" t="s">
        <v>3</v>
      </c>
      <c r="AD249" t="s">
        <v>3</v>
      </c>
      <c r="AE249" t="s">
        <v>3</v>
      </c>
      <c r="AF249" t="s">
        <v>3</v>
      </c>
      <c r="AG249" t="s">
        <v>3</v>
      </c>
      <c r="AH249" t="s">
        <v>3</v>
      </c>
      <c r="AI249" t="s">
        <v>3</v>
      </c>
    </row>
    <row r="250" spans="2:42" x14ac:dyDescent="0.3">
      <c r="E250" s="58">
        <v>39813</v>
      </c>
      <c r="F250" s="58">
        <v>40178</v>
      </c>
      <c r="G250" s="58">
        <v>40543</v>
      </c>
      <c r="H250" s="58">
        <v>40908</v>
      </c>
      <c r="I250" s="58">
        <v>41274</v>
      </c>
      <c r="J250" s="58">
        <v>41639</v>
      </c>
      <c r="K250" s="58">
        <v>42004</v>
      </c>
      <c r="L250" s="58">
        <v>42369</v>
      </c>
      <c r="M250" s="58">
        <v>42735</v>
      </c>
      <c r="N250" s="58">
        <v>43100</v>
      </c>
      <c r="O250" s="58">
        <v>43465</v>
      </c>
      <c r="P250" s="58">
        <v>43830</v>
      </c>
      <c r="Q250" s="58">
        <v>44196</v>
      </c>
      <c r="AB250" s="58">
        <v>43830</v>
      </c>
      <c r="AC250" s="58">
        <v>43921</v>
      </c>
      <c r="AD250" s="58">
        <v>44012</v>
      </c>
      <c r="AE250" s="58">
        <v>44104</v>
      </c>
      <c r="AF250" s="58">
        <v>44196</v>
      </c>
      <c r="AG250" s="58">
        <v>44286</v>
      </c>
      <c r="AH250" s="58">
        <v>44377</v>
      </c>
      <c r="AI250" s="58">
        <v>44469</v>
      </c>
      <c r="AJ250" s="58"/>
      <c r="AK250" s="58"/>
      <c r="AL250" s="58"/>
      <c r="AM250" s="58"/>
      <c r="AN250" s="58"/>
    </row>
    <row r="251" spans="2:42" x14ac:dyDescent="0.3">
      <c r="D251" s="59" t="s">
        <v>115</v>
      </c>
      <c r="E251" s="1">
        <v>27031.798999999999</v>
      </c>
      <c r="F251" s="1">
        <v>28740.883999999998</v>
      </c>
      <c r="G251" s="1">
        <v>30317.789000000001</v>
      </c>
      <c r="H251" s="1">
        <v>33488.730000000003</v>
      </c>
      <c r="I251" s="1">
        <v>36468.737000000001</v>
      </c>
      <c r="J251" s="1">
        <v>38497.714999999997</v>
      </c>
      <c r="K251" s="1">
        <v>41896.194000000003</v>
      </c>
      <c r="L251" s="1">
        <v>46639.053999999996</v>
      </c>
      <c r="M251" s="1">
        <v>51946.872000000003</v>
      </c>
      <c r="N251" s="1">
        <v>55750.917999999998</v>
      </c>
      <c r="O251" s="1">
        <v>48305.866000000002</v>
      </c>
      <c r="P251" s="1">
        <v>51191.656999999999</v>
      </c>
      <c r="Q251" s="1">
        <v>58118.517999999996</v>
      </c>
      <c r="R251" s="2">
        <f>AI251*(1+AVERAGE(AK251:AP251))</f>
        <v>65315.206076820061</v>
      </c>
      <c r="AA251" s="59" t="s">
        <v>115</v>
      </c>
      <c r="AB251" s="1">
        <v>51191.656999999999</v>
      </c>
      <c r="AC251" s="1">
        <v>49586.741999999998</v>
      </c>
      <c r="AD251" s="1">
        <v>51930.025999999998</v>
      </c>
      <c r="AE251" s="1">
        <v>54919.002</v>
      </c>
      <c r="AF251" s="1">
        <v>58118.517999999996</v>
      </c>
      <c r="AG251" s="1">
        <v>59222.144999999997</v>
      </c>
      <c r="AH251" s="1">
        <v>59670.071000000004</v>
      </c>
      <c r="AI251" s="1">
        <v>63636.533000000003</v>
      </c>
      <c r="AJ251" s="1"/>
      <c r="AK251" s="50">
        <f t="shared" ref="AK251:AK260" si="102">AC251/AB251-1</f>
        <v>-3.135110473177305E-2</v>
      </c>
      <c r="AL251" s="50">
        <f t="shared" ref="AL251:AL260" si="103">AD251/AC251-1</f>
        <v>4.7256260554484397E-2</v>
      </c>
      <c r="AM251" s="50">
        <f t="shared" ref="AM251:AM260" si="104">AE251/AD251-1</f>
        <v>5.7557760514119538E-2</v>
      </c>
      <c r="AN251" s="50">
        <f t="shared" ref="AN251:AN260" si="105">AF251/AE251-1</f>
        <v>5.8258815409646392E-2</v>
      </c>
      <c r="AO251" s="50">
        <f t="shared" ref="AO251:AO260" si="106">AG251/AF251-1</f>
        <v>1.8989248831155603E-2</v>
      </c>
      <c r="AP251" s="50">
        <f t="shared" ref="AP251:AP260" si="107">AH251/AG251-1</f>
        <v>7.5634882863497843E-3</v>
      </c>
    </row>
    <row r="252" spans="2:42" x14ac:dyDescent="0.3">
      <c r="D252" s="59" t="s">
        <v>118</v>
      </c>
      <c r="E252" s="1">
        <v>26114.846000000001</v>
      </c>
      <c r="F252" s="1">
        <v>29271.087</v>
      </c>
      <c r="G252" s="1">
        <v>31272.258000000002</v>
      </c>
      <c r="H252" s="1">
        <v>34165.218000000001</v>
      </c>
      <c r="I252" s="1">
        <v>37703.631000000001</v>
      </c>
      <c r="J252" s="1">
        <v>40933.906999999999</v>
      </c>
      <c r="K252" s="1">
        <v>45213.637000000002</v>
      </c>
      <c r="L252" s="1">
        <v>54162.485999999997</v>
      </c>
      <c r="M252" s="1">
        <v>58737.614999999998</v>
      </c>
      <c r="N252" s="1">
        <v>63040.548999999999</v>
      </c>
      <c r="O252" s="1">
        <v>64736.917000000001</v>
      </c>
      <c r="P252" s="1">
        <v>68888.024999999994</v>
      </c>
      <c r="Q252" s="1">
        <v>79410.096000000005</v>
      </c>
      <c r="R252" s="166">
        <f>+AI252</f>
        <v>159705.81700000001</v>
      </c>
      <c r="AA252" s="59" t="s">
        <v>118</v>
      </c>
      <c r="AB252" s="1">
        <v>68888.024999999994</v>
      </c>
      <c r="AC252" s="1">
        <v>64158.716999999997</v>
      </c>
      <c r="AD252" s="1">
        <v>73087.543999999994</v>
      </c>
      <c r="AE252" s="1">
        <v>75907.59</v>
      </c>
      <c r="AF252" s="1">
        <v>79410.096000000005</v>
      </c>
      <c r="AG252" s="1">
        <v>83460.104000000007</v>
      </c>
      <c r="AH252" s="1">
        <v>159495.04199999999</v>
      </c>
      <c r="AI252" s="1">
        <v>159705.81700000001</v>
      </c>
      <c r="AJ252" s="1"/>
      <c r="AK252" s="50">
        <f t="shared" si="102"/>
        <v>-6.8652106080846376E-2</v>
      </c>
      <c r="AL252" s="50">
        <f t="shared" si="103"/>
        <v>0.13916779227365161</v>
      </c>
      <c r="AM252" s="50">
        <f t="shared" si="104"/>
        <v>3.8584495327959045E-2</v>
      </c>
      <c r="AN252" s="50">
        <f t="shared" si="105"/>
        <v>4.6141709939678144E-2</v>
      </c>
      <c r="AO252" s="50">
        <f t="shared" si="106"/>
        <v>5.1001172445377829E-2</v>
      </c>
      <c r="AP252" s="50">
        <f t="shared" si="107"/>
        <v>0.91103334834090277</v>
      </c>
    </row>
    <row r="253" spans="2:42" x14ac:dyDescent="0.3">
      <c r="D253" s="59" t="s">
        <v>120</v>
      </c>
      <c r="E253" s="1">
        <v>25690.451000000001</v>
      </c>
      <c r="F253" s="1">
        <v>28235.444</v>
      </c>
      <c r="G253" s="1">
        <v>29233.218000000001</v>
      </c>
      <c r="H253" s="1">
        <v>30158.355</v>
      </c>
      <c r="I253" s="1">
        <v>31963.51</v>
      </c>
      <c r="J253" s="1">
        <v>33870.324000000001</v>
      </c>
      <c r="K253" s="1">
        <v>35537.105000000003</v>
      </c>
      <c r="L253" s="1">
        <v>36545.112000000001</v>
      </c>
      <c r="M253" s="1">
        <v>36973.061000000002</v>
      </c>
      <c r="N253" s="1">
        <v>38622.993000000002</v>
      </c>
      <c r="O253" s="1">
        <v>36774.216</v>
      </c>
      <c r="P253" s="1">
        <v>40571.462</v>
      </c>
      <c r="Q253" s="1">
        <v>44355.097999999998</v>
      </c>
      <c r="R253" s="2">
        <f t="shared" ref="R253:R260" si="108">AI253*(1+AVERAGE(AK253:AP253))</f>
        <v>46823.57112202706</v>
      </c>
      <c r="AA253" s="59" t="s">
        <v>120</v>
      </c>
      <c r="AB253" s="1">
        <v>40571.462</v>
      </c>
      <c r="AC253" s="1">
        <v>37797.337</v>
      </c>
      <c r="AD253" s="1">
        <v>40785.938000000002</v>
      </c>
      <c r="AE253" s="1">
        <v>42654.523999999998</v>
      </c>
      <c r="AF253" s="1">
        <v>44355.097999999998</v>
      </c>
      <c r="AG253" s="1">
        <v>44227.743000000002</v>
      </c>
      <c r="AH253" s="1">
        <v>44550.796999999999</v>
      </c>
      <c r="AI253" s="1">
        <v>46049.864999999998</v>
      </c>
      <c r="AJ253" s="1"/>
      <c r="AK253" s="50">
        <f t="shared" si="102"/>
        <v>-6.8376264084345828E-2</v>
      </c>
      <c r="AL253" s="50">
        <f t="shared" si="103"/>
        <v>7.906908891491482E-2</v>
      </c>
      <c r="AM253" s="50">
        <f t="shared" si="104"/>
        <v>4.5814466740963455E-2</v>
      </c>
      <c r="AN253" s="50">
        <f t="shared" si="105"/>
        <v>3.9868549464999292E-2</v>
      </c>
      <c r="AO253" s="50">
        <f t="shared" si="106"/>
        <v>-2.8712595787748763E-3</v>
      </c>
      <c r="AP253" s="50">
        <f t="shared" si="107"/>
        <v>7.3043293210779403E-3</v>
      </c>
    </row>
    <row r="254" spans="2:42" x14ac:dyDescent="0.3">
      <c r="D254" s="59" t="s">
        <v>122</v>
      </c>
      <c r="E254" s="1">
        <v>11633.831</v>
      </c>
      <c r="F254" s="1">
        <v>13045.289000000001</v>
      </c>
      <c r="G254" s="1">
        <v>15171.947</v>
      </c>
      <c r="H254" s="1">
        <v>17166.201000000001</v>
      </c>
      <c r="I254" s="1">
        <v>20065.507000000001</v>
      </c>
      <c r="J254" s="1">
        <v>22832.798999999999</v>
      </c>
      <c r="K254" s="1">
        <v>26071.212</v>
      </c>
      <c r="L254" s="1">
        <v>28174.537</v>
      </c>
      <c r="M254" s="1">
        <v>31278.928</v>
      </c>
      <c r="N254" s="1">
        <v>33344.591999999997</v>
      </c>
      <c r="O254" s="1">
        <v>32453.883999999998</v>
      </c>
      <c r="P254" s="1">
        <v>55993.659</v>
      </c>
      <c r="Q254" s="1">
        <v>50706.663</v>
      </c>
      <c r="R254" s="2">
        <f t="shared" si="108"/>
        <v>52074.496987054663</v>
      </c>
      <c r="AA254" s="59" t="s">
        <v>122</v>
      </c>
      <c r="AB254" s="1">
        <v>55993.659</v>
      </c>
      <c r="AC254" s="1">
        <v>55555.201000000001</v>
      </c>
      <c r="AD254" s="1">
        <v>48243.951000000001</v>
      </c>
      <c r="AE254" s="1">
        <v>49723.771000000001</v>
      </c>
      <c r="AF254" s="1">
        <v>50706.663</v>
      </c>
      <c r="AG254" s="1">
        <v>51933.125</v>
      </c>
      <c r="AH254" s="1">
        <v>52779.252999999997</v>
      </c>
      <c r="AI254" s="1">
        <v>52498.978000000003</v>
      </c>
      <c r="AJ254" s="1"/>
      <c r="AK254" s="50">
        <f t="shared" si="102"/>
        <v>-7.8304938064504004E-3</v>
      </c>
      <c r="AL254" s="50">
        <f t="shared" si="103"/>
        <v>-0.13160333989251516</v>
      </c>
      <c r="AM254" s="50">
        <f t="shared" si="104"/>
        <v>3.0673690054946023E-2</v>
      </c>
      <c r="AN254" s="50">
        <f t="shared" si="105"/>
        <v>1.9767044619363183E-2</v>
      </c>
      <c r="AO254" s="50">
        <f t="shared" si="106"/>
        <v>2.4187393282022907E-2</v>
      </c>
      <c r="AP254" s="50">
        <f t="shared" si="107"/>
        <v>1.6292645589881083E-2</v>
      </c>
    </row>
    <row r="255" spans="2:42" x14ac:dyDescent="0.3">
      <c r="D255" s="59" t="s">
        <v>124</v>
      </c>
      <c r="E255" s="1">
        <v>14047.218999999999</v>
      </c>
      <c r="F255" s="1">
        <v>15732.673000000001</v>
      </c>
      <c r="G255" s="1">
        <v>18003.661</v>
      </c>
      <c r="H255" s="1">
        <v>19655.327000000001</v>
      </c>
      <c r="I255" s="1">
        <v>22686.817999999999</v>
      </c>
      <c r="J255" s="1">
        <v>23216.631000000001</v>
      </c>
      <c r="K255" s="1">
        <v>26471.337</v>
      </c>
      <c r="L255" s="1">
        <v>27483.800999999999</v>
      </c>
      <c r="M255" s="1">
        <v>29699.003000000001</v>
      </c>
      <c r="N255" s="1">
        <v>31661.381000000001</v>
      </c>
      <c r="O255" s="1">
        <v>30861.95</v>
      </c>
      <c r="P255" s="1">
        <v>32946.718000000001</v>
      </c>
      <c r="Q255" s="1">
        <v>38635.945</v>
      </c>
      <c r="R255" s="2">
        <f t="shared" si="108"/>
        <v>40456.797333735383</v>
      </c>
      <c r="AA255" s="59" t="s">
        <v>124</v>
      </c>
      <c r="AB255" s="1">
        <v>32946.718000000001</v>
      </c>
      <c r="AC255" s="1">
        <v>33945.313999999998</v>
      </c>
      <c r="AD255" s="1">
        <v>33676.6</v>
      </c>
      <c r="AE255" s="1">
        <v>33682.616000000002</v>
      </c>
      <c r="AF255" s="1">
        <v>38635.945</v>
      </c>
      <c r="AG255" s="1">
        <v>39197.726000000002</v>
      </c>
      <c r="AH255" s="1">
        <v>39259.476000000002</v>
      </c>
      <c r="AI255" s="1">
        <v>39241.953999999998</v>
      </c>
      <c r="AJ255" s="1"/>
      <c r="AK255" s="50">
        <f t="shared" si="102"/>
        <v>3.0309422625950155E-2</v>
      </c>
      <c r="AL255" s="50">
        <f t="shared" si="103"/>
        <v>-7.916085265848527E-3</v>
      </c>
      <c r="AM255" s="50">
        <f t="shared" si="104"/>
        <v>1.7864036155668117E-4</v>
      </c>
      <c r="AN255" s="50">
        <f t="shared" si="105"/>
        <v>0.14705891608894039</v>
      </c>
      <c r="AO255" s="50">
        <f t="shared" si="106"/>
        <v>1.4540371666850627E-2</v>
      </c>
      <c r="AP255" s="50">
        <f t="shared" si="107"/>
        <v>1.5753464882120038E-3</v>
      </c>
    </row>
    <row r="256" spans="2:42" x14ac:dyDescent="0.3">
      <c r="D256" s="59" t="s">
        <v>126</v>
      </c>
      <c r="E256" s="1">
        <v>15389.981</v>
      </c>
      <c r="F256" s="1">
        <v>15605.341</v>
      </c>
      <c r="G256" s="1">
        <v>15500.552</v>
      </c>
      <c r="H256" s="1">
        <v>15894.021000000001</v>
      </c>
      <c r="I256" s="1">
        <v>16664.197</v>
      </c>
      <c r="J256" s="1">
        <v>16831.931</v>
      </c>
      <c r="K256" s="1">
        <v>17939.232</v>
      </c>
      <c r="L256" s="1">
        <v>18352.161</v>
      </c>
      <c r="M256" s="1">
        <v>19178.46</v>
      </c>
      <c r="N256" s="1">
        <v>20343.761999999999</v>
      </c>
      <c r="O256" s="1">
        <v>21297.707999999999</v>
      </c>
      <c r="P256" s="1">
        <v>22444.923999999999</v>
      </c>
      <c r="Q256" s="1">
        <v>24428.787</v>
      </c>
      <c r="R256" s="2">
        <f t="shared" si="108"/>
        <v>30752.909668043922</v>
      </c>
      <c r="AA256" s="59" t="s">
        <v>126</v>
      </c>
      <c r="AB256" s="1">
        <v>22444.923999999999</v>
      </c>
      <c r="AC256" s="1">
        <v>22778.87</v>
      </c>
      <c r="AD256" s="1">
        <v>23385.888999999999</v>
      </c>
      <c r="AE256" s="1">
        <v>24038.841</v>
      </c>
      <c r="AF256" s="1">
        <v>24428.787</v>
      </c>
      <c r="AG256" s="1">
        <v>25081.132000000001</v>
      </c>
      <c r="AH256" s="1">
        <v>25198.932000000001</v>
      </c>
      <c r="AI256" s="1">
        <v>30164.353999999999</v>
      </c>
      <c r="AJ256" s="1"/>
      <c r="AK256" s="50">
        <f t="shared" si="102"/>
        <v>1.4878464279941328E-2</v>
      </c>
      <c r="AL256" s="50">
        <f t="shared" si="103"/>
        <v>2.664833681389811E-2</v>
      </c>
      <c r="AM256" s="50">
        <f t="shared" si="104"/>
        <v>2.7920768802075502E-2</v>
      </c>
      <c r="AN256" s="50">
        <f t="shared" si="105"/>
        <v>1.6221497533928542E-2</v>
      </c>
      <c r="AO256" s="50">
        <f t="shared" si="106"/>
        <v>2.6703945635941695E-2</v>
      </c>
      <c r="AP256" s="50">
        <f t="shared" si="107"/>
        <v>4.696757706151411E-3</v>
      </c>
    </row>
    <row r="257" spans="1:42" x14ac:dyDescent="0.3">
      <c r="D257" s="59" t="s">
        <v>130</v>
      </c>
      <c r="E257" s="1">
        <v>3212.84</v>
      </c>
      <c r="F257" s="1">
        <v>3002.1819999999998</v>
      </c>
      <c r="G257" s="1">
        <v>3102.9609999999998</v>
      </c>
      <c r="H257" s="1">
        <v>3416.25</v>
      </c>
      <c r="I257" s="1">
        <v>4370.8159999999998</v>
      </c>
      <c r="J257" s="1">
        <v>5100.8890000000001</v>
      </c>
      <c r="K257" s="1">
        <v>5891.3530000000001</v>
      </c>
      <c r="L257" s="1">
        <v>6442.2389999999996</v>
      </c>
      <c r="M257" s="1">
        <v>7111.9780000000001</v>
      </c>
      <c r="N257" s="1">
        <v>7588.7929999999997</v>
      </c>
      <c r="O257" s="1">
        <v>7832.9489999999996</v>
      </c>
      <c r="P257" s="1">
        <v>9425.9230000000007</v>
      </c>
      <c r="Q257" s="1">
        <v>10740.897000000001</v>
      </c>
      <c r="R257" s="2">
        <f t="shared" si="108"/>
        <v>12254.168743867493</v>
      </c>
      <c r="AA257" s="59" t="s">
        <v>130</v>
      </c>
      <c r="AB257" s="1">
        <v>9425.9230000000007</v>
      </c>
      <c r="AC257" s="1">
        <v>9555.5419999999995</v>
      </c>
      <c r="AD257" s="1">
        <v>9885.8790000000008</v>
      </c>
      <c r="AE257" s="1">
        <v>10326.463</v>
      </c>
      <c r="AF257" s="1">
        <v>10740.897000000001</v>
      </c>
      <c r="AG257" s="1">
        <v>10838.123</v>
      </c>
      <c r="AH257" s="1">
        <v>11416.55</v>
      </c>
      <c r="AI257" s="1">
        <v>11867.594999999999</v>
      </c>
      <c r="AJ257" s="1"/>
      <c r="AK257" s="50">
        <f t="shared" si="102"/>
        <v>1.3751332362888835E-2</v>
      </c>
      <c r="AL257" s="50">
        <f t="shared" si="103"/>
        <v>3.4570200204237622E-2</v>
      </c>
      <c r="AM257" s="50">
        <f t="shared" si="104"/>
        <v>4.4567003096032121E-2</v>
      </c>
      <c r="AN257" s="50">
        <f t="shared" si="105"/>
        <v>4.0133199528241237E-2</v>
      </c>
      <c r="AO257" s="50">
        <f t="shared" si="106"/>
        <v>9.0519441718879268E-3</v>
      </c>
      <c r="AP257" s="50">
        <f t="shared" si="107"/>
        <v>5.3369665577701841E-2</v>
      </c>
    </row>
    <row r="258" spans="1:42" x14ac:dyDescent="0.3">
      <c r="D258" s="59" t="s">
        <v>128</v>
      </c>
      <c r="E258" s="1">
        <v>12671.298000000001</v>
      </c>
      <c r="F258" s="1">
        <v>14368.767</v>
      </c>
      <c r="G258" s="1">
        <v>15290.771000000001</v>
      </c>
      <c r="H258" s="1">
        <v>16624.060000000001</v>
      </c>
      <c r="I258" s="1">
        <v>17804.275000000001</v>
      </c>
      <c r="J258" s="1">
        <v>19080.454000000002</v>
      </c>
      <c r="K258" s="1">
        <v>20601.312999999998</v>
      </c>
      <c r="L258" s="1">
        <v>21893.996999999999</v>
      </c>
      <c r="M258" s="1">
        <v>23235.361000000001</v>
      </c>
      <c r="N258" s="1">
        <v>24369.687000000002</v>
      </c>
      <c r="O258" s="1">
        <v>26520.258999999998</v>
      </c>
      <c r="P258" s="1">
        <v>28308.223000000002</v>
      </c>
      <c r="Q258" s="1">
        <v>29734.327000000001</v>
      </c>
      <c r="R258" s="2">
        <f t="shared" si="108"/>
        <v>31053.655692803481</v>
      </c>
      <c r="AA258" s="59" t="s">
        <v>128</v>
      </c>
      <c r="AB258" s="1">
        <v>28308.223000000002</v>
      </c>
      <c r="AC258" s="1">
        <v>27683.344000000001</v>
      </c>
      <c r="AD258" s="1">
        <v>28426.916000000001</v>
      </c>
      <c r="AE258" s="1">
        <v>29338.749</v>
      </c>
      <c r="AF258" s="1">
        <v>29734.327000000001</v>
      </c>
      <c r="AG258" s="1">
        <v>29973.761999999999</v>
      </c>
      <c r="AH258" s="1">
        <v>30032</v>
      </c>
      <c r="AI258" s="1">
        <v>30744.465</v>
      </c>
      <c r="AJ258" s="1"/>
      <c r="AK258" s="50">
        <f t="shared" si="102"/>
        <v>-2.2074116061612248E-2</v>
      </c>
      <c r="AL258" s="50">
        <f t="shared" si="103"/>
        <v>2.6859905364034153E-2</v>
      </c>
      <c r="AM258" s="50">
        <f t="shared" si="104"/>
        <v>3.2076395483773057E-2</v>
      </c>
      <c r="AN258" s="50">
        <f t="shared" si="105"/>
        <v>1.3483124314537021E-2</v>
      </c>
      <c r="AO258" s="50">
        <f t="shared" si="106"/>
        <v>8.052477528749824E-3</v>
      </c>
      <c r="AP258" s="50">
        <f t="shared" si="107"/>
        <v>1.9429659847169933E-3</v>
      </c>
    </row>
    <row r="259" spans="1:42" x14ac:dyDescent="0.3">
      <c r="D259" s="59" t="s">
        <v>132</v>
      </c>
      <c r="E259" s="1">
        <v>4636.8019999999997</v>
      </c>
      <c r="F259" s="1">
        <v>4485.8670000000002</v>
      </c>
      <c r="G259" s="1">
        <v>4515.518</v>
      </c>
      <c r="H259" s="1">
        <v>4732.5370000000003</v>
      </c>
      <c r="I259" s="1">
        <v>5011.8530000000001</v>
      </c>
      <c r="J259" s="1">
        <v>5728.5450000000001</v>
      </c>
      <c r="K259" s="1">
        <v>6158.0460000000003</v>
      </c>
      <c r="L259" s="1">
        <v>7413.4690000000001</v>
      </c>
      <c r="M259" s="1">
        <v>8103.5259999999998</v>
      </c>
      <c r="N259" s="1">
        <v>8828.8389999999999</v>
      </c>
      <c r="O259" s="1">
        <v>11244.472</v>
      </c>
      <c r="P259" s="1">
        <v>11589.517</v>
      </c>
      <c r="Q259" s="1">
        <v>11364.499</v>
      </c>
      <c r="R259" s="2">
        <f t="shared" si="108"/>
        <v>14104.320901950647</v>
      </c>
      <c r="AA259" s="59" t="s">
        <v>132</v>
      </c>
      <c r="AB259" s="1">
        <v>11589.517</v>
      </c>
      <c r="AC259" s="1">
        <v>11670.692999999999</v>
      </c>
      <c r="AD259" s="1">
        <v>11636.323</v>
      </c>
      <c r="AE259" s="1">
        <v>11801.974</v>
      </c>
      <c r="AF259" s="1">
        <v>11364.499</v>
      </c>
      <c r="AG259" s="1">
        <v>11726.120999999999</v>
      </c>
      <c r="AH259" s="1">
        <v>13808.790999999999</v>
      </c>
      <c r="AI259" s="1">
        <v>13669.942999999999</v>
      </c>
      <c r="AJ259" s="1"/>
      <c r="AK259" s="50">
        <f t="shared" si="102"/>
        <v>7.0042608333029666E-3</v>
      </c>
      <c r="AL259" s="50">
        <f t="shared" si="103"/>
        <v>-2.9449836440731403E-3</v>
      </c>
      <c r="AM259" s="50">
        <f t="shared" si="104"/>
        <v>1.4235682526172466E-2</v>
      </c>
      <c r="AN259" s="50">
        <f t="shared" si="105"/>
        <v>-3.7067951513873876E-2</v>
      </c>
      <c r="AO259" s="50">
        <f t="shared" si="106"/>
        <v>3.1820320455833606E-2</v>
      </c>
      <c r="AP259" s="50">
        <f t="shared" si="107"/>
        <v>0.17760945840487241</v>
      </c>
    </row>
    <row r="260" spans="1:42" x14ac:dyDescent="0.3">
      <c r="D260" s="59" t="s">
        <v>134</v>
      </c>
      <c r="E260" s="1">
        <v>6581.1019999999999</v>
      </c>
      <c r="F260" s="1">
        <v>7392.0630000000001</v>
      </c>
      <c r="G260" s="1">
        <v>8103.2650000000003</v>
      </c>
      <c r="H260" s="1">
        <v>8557.2960000000003</v>
      </c>
      <c r="I260" s="1">
        <v>9378.8259999999991</v>
      </c>
      <c r="J260" s="1">
        <v>10252.775</v>
      </c>
      <c r="K260" s="1">
        <v>11852.132</v>
      </c>
      <c r="L260" s="1">
        <v>12036.462</v>
      </c>
      <c r="M260" s="1">
        <v>13333.541999999999</v>
      </c>
      <c r="N260" s="1">
        <v>14279.066999999999</v>
      </c>
      <c r="O260" s="1">
        <v>13406.067999999999</v>
      </c>
      <c r="P260" s="1">
        <v>14007.007</v>
      </c>
      <c r="Q260" s="1">
        <v>15331.032999999999</v>
      </c>
      <c r="R260" s="2">
        <f t="shared" si="108"/>
        <v>17019.273584979834</v>
      </c>
      <c r="AA260" s="59" t="s">
        <v>134</v>
      </c>
      <c r="AB260" s="1">
        <v>14007.007</v>
      </c>
      <c r="AC260" s="1">
        <v>12491.874</v>
      </c>
      <c r="AD260" s="1">
        <v>14239.074000000001</v>
      </c>
      <c r="AE260" s="1">
        <v>14806.539000000001</v>
      </c>
      <c r="AF260" s="1">
        <v>15331.032999999999</v>
      </c>
      <c r="AG260" s="1">
        <v>15389.271000000001</v>
      </c>
      <c r="AH260" s="1">
        <v>15517.184999999999</v>
      </c>
      <c r="AI260" s="1">
        <v>16688.061000000002</v>
      </c>
      <c r="AJ260" s="1"/>
      <c r="AK260" s="50">
        <f t="shared" si="102"/>
        <v>-0.10816964680605923</v>
      </c>
      <c r="AL260" s="50">
        <f t="shared" si="103"/>
        <v>0.13986692469040274</v>
      </c>
      <c r="AM260" s="50">
        <f t="shared" si="104"/>
        <v>3.9852661767190822E-2</v>
      </c>
      <c r="AN260" s="50">
        <f t="shared" si="105"/>
        <v>3.5423132981988514E-2</v>
      </c>
      <c r="AO260" s="50">
        <f t="shared" si="106"/>
        <v>3.7987003224115856E-3</v>
      </c>
      <c r="AP260" s="50">
        <f t="shared" si="107"/>
        <v>8.311894695986588E-3</v>
      </c>
    </row>
    <row r="261" spans="1:42" x14ac:dyDescent="0.3">
      <c r="D261" s="59"/>
      <c r="E261" s="1"/>
      <c r="F261" s="1"/>
      <c r="G261" s="1"/>
      <c r="H261" s="1"/>
      <c r="I261" s="1"/>
      <c r="J261" s="1"/>
      <c r="K261" s="1"/>
      <c r="L261" s="1"/>
      <c r="M261" s="1"/>
      <c r="N261" s="1"/>
      <c r="O261" s="1"/>
      <c r="P261" s="1"/>
      <c r="Q261" s="1"/>
      <c r="AA261" s="59"/>
      <c r="AB261" s="1"/>
      <c r="AC261" s="1"/>
      <c r="AD261" s="1"/>
      <c r="AE261" s="1"/>
      <c r="AF261" s="1"/>
      <c r="AG261" s="1"/>
      <c r="AH261" s="1"/>
      <c r="AI261" s="1"/>
      <c r="AJ261" s="1"/>
      <c r="AK261" s="1"/>
      <c r="AL261" s="1"/>
      <c r="AM261" s="1"/>
      <c r="AN261" s="1"/>
    </row>
    <row r="262" spans="1:42" x14ac:dyDescent="0.3">
      <c r="E262" s="62">
        <f t="shared" ref="E262:R262" si="109">SUM(E251:E260)</f>
        <v>147010.16900000002</v>
      </c>
      <c r="F262" s="62">
        <f t="shared" si="109"/>
        <v>159879.59699999998</v>
      </c>
      <c r="G262" s="62">
        <f t="shared" si="109"/>
        <v>170511.94000000006</v>
      </c>
      <c r="H262" s="62">
        <f t="shared" si="109"/>
        <v>183857.99500000002</v>
      </c>
      <c r="I262" s="62">
        <f t="shared" si="109"/>
        <v>202118.16999999995</v>
      </c>
      <c r="J262" s="62">
        <f t="shared" si="109"/>
        <v>216345.97</v>
      </c>
      <c r="K262" s="62">
        <f t="shared" si="109"/>
        <v>237631.56100000002</v>
      </c>
      <c r="L262" s="62">
        <f t="shared" si="109"/>
        <v>259143.31800000003</v>
      </c>
      <c r="M262" s="62">
        <f t="shared" si="109"/>
        <v>279598.34600000002</v>
      </c>
      <c r="N262" s="62">
        <f t="shared" si="109"/>
        <v>297830.58099999995</v>
      </c>
      <c r="O262" s="62">
        <f t="shared" si="109"/>
        <v>293434.28899999999</v>
      </c>
      <c r="P262" s="62">
        <f t="shared" si="109"/>
        <v>335367.11499999999</v>
      </c>
      <c r="Q262" s="62">
        <f t="shared" si="109"/>
        <v>362825.86300000001</v>
      </c>
      <c r="R262" s="62">
        <f t="shared" si="109"/>
        <v>469560.21711128252</v>
      </c>
      <c r="AB262" s="62">
        <f t="shared" ref="AB262:AN262" si="110">SUM(AB251:AB260)</f>
        <v>335367.11499999999</v>
      </c>
      <c r="AC262" s="62">
        <f t="shared" si="110"/>
        <v>325223.63400000002</v>
      </c>
      <c r="AD262" s="62">
        <f t="shared" si="110"/>
        <v>335298.14000000007</v>
      </c>
      <c r="AE262" s="62">
        <f t="shared" si="110"/>
        <v>347200.06900000002</v>
      </c>
      <c r="AF262" s="62">
        <f t="shared" si="110"/>
        <v>362825.86300000001</v>
      </c>
      <c r="AG262" s="62">
        <f t="shared" si="110"/>
        <v>371049.25200000004</v>
      </c>
      <c r="AH262" s="62">
        <f t="shared" si="110"/>
        <v>451728.09700000001</v>
      </c>
      <c r="AI262" s="62">
        <f t="shared" si="110"/>
        <v>464267.56499999994</v>
      </c>
      <c r="AJ262" s="62">
        <f t="shared" si="110"/>
        <v>0</v>
      </c>
      <c r="AK262" s="62">
        <f t="shared" si="110"/>
        <v>-0.24051025146900384</v>
      </c>
      <c r="AL262" s="62">
        <f t="shared" si="110"/>
        <v>0.35097410001318663</v>
      </c>
      <c r="AM262" s="62">
        <f t="shared" si="110"/>
        <v>0.33146156467478871</v>
      </c>
      <c r="AN262" s="62">
        <f t="shared" si="110"/>
        <v>0.37928803836744884</v>
      </c>
    </row>
    <row r="264" spans="1:42" x14ac:dyDescent="0.3">
      <c r="A264" s="61"/>
      <c r="X264" s="61"/>
    </row>
    <row r="265" spans="1:42" x14ac:dyDescent="0.3">
      <c r="B265" t="e">
        <f ca="1">_xll.TR($B$85:$B$95,"TR.NonperformingLoansPctofLoans","Period=FY0 Frq=FY SDate=0 EDate=-12 Curn=SAR CH=Fd;periodenddate RH=IN SORTA=periodenddate NULL=Blank",D265)</f>
        <v>#NAME?</v>
      </c>
      <c r="E265" t="s">
        <v>65</v>
      </c>
      <c r="F265" t="s">
        <v>65</v>
      </c>
      <c r="G265" t="s">
        <v>65</v>
      </c>
      <c r="H265" t="s">
        <v>65</v>
      </c>
      <c r="I265" t="s">
        <v>65</v>
      </c>
      <c r="J265" t="s">
        <v>65</v>
      </c>
      <c r="K265" t="s">
        <v>65</v>
      </c>
      <c r="L265" t="s">
        <v>65</v>
      </c>
      <c r="M265" t="s">
        <v>65</v>
      </c>
      <c r="N265" t="s">
        <v>65</v>
      </c>
      <c r="O265" t="s">
        <v>65</v>
      </c>
      <c r="P265" t="s">
        <v>65</v>
      </c>
      <c r="Q265" t="s">
        <v>65</v>
      </c>
      <c r="Y265" t="e">
        <f ca="1">_xll.TR($B$85:$B$95,"TR.NonperformingLoansPctofLoans","Period=FQ0 Frq=FQ SDate=0 EDate=-7 Curn=SAR CH=Fd;periodenddate RH=IN SORTA=periodenddate NULL=Blank",AA265)</f>
        <v>#NAME?</v>
      </c>
      <c r="AB265" t="s">
        <v>65</v>
      </c>
      <c r="AC265" t="s">
        <v>65</v>
      </c>
      <c r="AD265" t="s">
        <v>65</v>
      </c>
      <c r="AE265" t="s">
        <v>65</v>
      </c>
      <c r="AF265" t="s">
        <v>65</v>
      </c>
      <c r="AG265" t="s">
        <v>65</v>
      </c>
      <c r="AH265" t="s">
        <v>65</v>
      </c>
      <c r="AI265" t="s">
        <v>65</v>
      </c>
    </row>
    <row r="266" spans="1:42" x14ac:dyDescent="0.3">
      <c r="E266" s="58">
        <v>39813</v>
      </c>
      <c r="F266" s="58">
        <v>40178</v>
      </c>
      <c r="G266" s="58">
        <v>40543</v>
      </c>
      <c r="H266" s="58">
        <v>40908</v>
      </c>
      <c r="I266" s="58">
        <v>41274</v>
      </c>
      <c r="J266" s="58">
        <v>41639</v>
      </c>
      <c r="K266" s="58">
        <v>42004</v>
      </c>
      <c r="L266" s="58">
        <v>42369</v>
      </c>
      <c r="M266" s="58">
        <v>42735</v>
      </c>
      <c r="N266" s="58">
        <v>43100</v>
      </c>
      <c r="O266" s="58">
        <v>43465</v>
      </c>
      <c r="P266" s="58">
        <v>43830</v>
      </c>
      <c r="Q266" s="58">
        <v>44196</v>
      </c>
      <c r="AB266" s="58">
        <v>43830</v>
      </c>
      <c r="AC266" s="58">
        <v>43921</v>
      </c>
      <c r="AD266" s="58">
        <v>44012</v>
      </c>
      <c r="AE266" s="58">
        <v>44104</v>
      </c>
      <c r="AF266" s="58">
        <v>44196</v>
      </c>
      <c r="AG266" s="58">
        <v>44286</v>
      </c>
      <c r="AH266" s="58">
        <v>44377</v>
      </c>
      <c r="AI266" s="58">
        <v>44469</v>
      </c>
      <c r="AJ266" s="58"/>
      <c r="AK266" s="58"/>
      <c r="AL266" s="58"/>
      <c r="AM266" s="58"/>
      <c r="AN266" s="58"/>
    </row>
    <row r="267" spans="1:42" x14ac:dyDescent="0.3">
      <c r="D267" s="59" t="s">
        <v>115</v>
      </c>
      <c r="E267" s="23"/>
      <c r="F267" s="23"/>
      <c r="G267" s="23">
        <v>2.1524531630000001</v>
      </c>
      <c r="H267" s="23">
        <v>1.6644204090000001</v>
      </c>
      <c r="I267" s="23">
        <v>1.9934810460000001</v>
      </c>
      <c r="J267" s="23">
        <v>1.5736165600000001</v>
      </c>
      <c r="K267" s="23">
        <v>1.818926273</v>
      </c>
      <c r="L267" s="23">
        <v>1.7844846480000001</v>
      </c>
      <c r="M267" s="23">
        <v>2.8571751129999998</v>
      </c>
      <c r="N267" s="23">
        <v>2.5854752419999998</v>
      </c>
      <c r="O267" s="23"/>
      <c r="P267" s="23">
        <v>0.90252096999999998</v>
      </c>
      <c r="Q267" s="23">
        <v>1.0681623471999999</v>
      </c>
      <c r="R267" s="130">
        <f>AI267/100</f>
        <v>1</v>
      </c>
      <c r="AA267" s="59" t="s">
        <v>115</v>
      </c>
      <c r="AB267" s="23">
        <v>0.90252096999999998</v>
      </c>
      <c r="AC267" s="23">
        <v>1.0735437910000001</v>
      </c>
      <c r="AD267" s="23">
        <v>100</v>
      </c>
      <c r="AE267" s="23">
        <v>100</v>
      </c>
      <c r="AF267" s="23">
        <v>1.0681623471999999</v>
      </c>
      <c r="AG267" s="23">
        <v>0.70179440500000001</v>
      </c>
      <c r="AH267" s="23">
        <v>0.66786439379999996</v>
      </c>
      <c r="AI267" s="23">
        <v>100</v>
      </c>
      <c r="AJ267" s="23"/>
      <c r="AK267" s="23"/>
      <c r="AL267" s="23"/>
      <c r="AM267" s="23"/>
      <c r="AN267" s="23"/>
    </row>
    <row r="268" spans="1:42" x14ac:dyDescent="0.3">
      <c r="D268" s="59" t="s">
        <v>118</v>
      </c>
      <c r="E268" s="23"/>
      <c r="F268" s="23"/>
      <c r="G268" s="23"/>
      <c r="H268" s="23"/>
      <c r="I268" s="23"/>
      <c r="J268" s="23"/>
      <c r="K268" s="23">
        <v>1.262429743</v>
      </c>
      <c r="L268" s="23"/>
      <c r="M268" s="23">
        <v>4.2208368800000002</v>
      </c>
      <c r="N268" s="23">
        <v>4.1748815869999998</v>
      </c>
      <c r="O268" s="23"/>
      <c r="P268" s="23">
        <v>1.8399388569999999</v>
      </c>
      <c r="Q268" s="23">
        <v>1.7238940537</v>
      </c>
      <c r="R268" s="129">
        <f t="shared" ref="R268:R276" si="111">AI268</f>
        <v>1.5797058691999999</v>
      </c>
      <c r="AA268" s="59" t="s">
        <v>118</v>
      </c>
      <c r="AB268" s="23">
        <v>1.8399388569999999</v>
      </c>
      <c r="AC268" s="23">
        <v>1.72366537</v>
      </c>
      <c r="AD268" s="23">
        <v>1.8212587419999999</v>
      </c>
      <c r="AE268" s="23">
        <v>1.723441526</v>
      </c>
      <c r="AF268" s="23">
        <v>1.7238940537</v>
      </c>
      <c r="AG268" s="23">
        <v>1.6854396333999999</v>
      </c>
      <c r="AH268" s="23">
        <v>1.4678506806</v>
      </c>
      <c r="AI268" s="23">
        <v>1.5797058691999999</v>
      </c>
      <c r="AJ268" s="23"/>
      <c r="AK268" s="23"/>
      <c r="AL268" s="23"/>
      <c r="AM268" s="23"/>
      <c r="AN268" s="23"/>
    </row>
    <row r="269" spans="1:42" x14ac:dyDescent="0.3">
      <c r="D269" s="59" t="s">
        <v>120</v>
      </c>
      <c r="E269" s="23"/>
      <c r="F269" s="23"/>
      <c r="G269" s="23"/>
      <c r="H269" s="23">
        <v>1.634508861</v>
      </c>
      <c r="I269" s="23">
        <v>1.697437029</v>
      </c>
      <c r="J269" s="23">
        <v>2.3096439200000001</v>
      </c>
      <c r="K269" s="23">
        <v>4.0602414869999999</v>
      </c>
      <c r="L269" s="23">
        <v>2.7554932860000001</v>
      </c>
      <c r="M269" s="23">
        <v>3.1165820160000002</v>
      </c>
      <c r="N269" s="23">
        <v>5.6105707259999997</v>
      </c>
      <c r="O269" s="23">
        <v>4.8448847700000002</v>
      </c>
      <c r="P269" s="23">
        <v>1.8607823512999999</v>
      </c>
      <c r="Q269" s="23">
        <v>2.2316895745999998</v>
      </c>
      <c r="R269" s="129">
        <f t="shared" si="111"/>
        <v>1.5810915695000001</v>
      </c>
      <c r="AA269" s="59" t="s">
        <v>120</v>
      </c>
      <c r="AB269" s="23">
        <v>1.8607823512999999</v>
      </c>
      <c r="AC269" s="23">
        <v>1.0102257640000001</v>
      </c>
      <c r="AD269" s="23">
        <v>1.015258303</v>
      </c>
      <c r="AE269" s="23">
        <v>1.5026342743000001</v>
      </c>
      <c r="AF269" s="23">
        <v>2.2316895745999998</v>
      </c>
      <c r="AG269" s="23">
        <v>1.9541267921000001</v>
      </c>
      <c r="AH269" s="23">
        <v>1.8394344314</v>
      </c>
      <c r="AI269" s="23">
        <v>1.5810915695000001</v>
      </c>
      <c r="AJ269" s="23"/>
      <c r="AK269" s="23"/>
      <c r="AL269" s="23"/>
      <c r="AM269" s="23"/>
      <c r="AN269" s="23"/>
    </row>
    <row r="270" spans="1:42" x14ac:dyDescent="0.3">
      <c r="D270" s="59" t="s">
        <v>122</v>
      </c>
      <c r="E270" s="23">
        <v>0.13367747499999999</v>
      </c>
      <c r="F270" s="23">
        <v>4.5114443639999999</v>
      </c>
      <c r="G270" s="23">
        <v>3.401464201</v>
      </c>
      <c r="H270" s="23">
        <v>1.931206333</v>
      </c>
      <c r="I270" s="23">
        <v>1.6227058940000001</v>
      </c>
      <c r="J270" s="23">
        <v>1.4074138110000001</v>
      </c>
      <c r="K270" s="23">
        <v>1.270948414</v>
      </c>
      <c r="L270" s="23">
        <v>1.1813707149999999</v>
      </c>
      <c r="M270" s="23">
        <v>3.5799515309999999</v>
      </c>
      <c r="N270" s="23">
        <v>5.2339945300000004</v>
      </c>
      <c r="O270" s="23"/>
      <c r="P270" s="23">
        <v>3.2448336957000001</v>
      </c>
      <c r="Q270" s="23">
        <v>3.7423773071999999</v>
      </c>
      <c r="R270" s="129">
        <f t="shared" si="111"/>
        <v>3.2480087975999998</v>
      </c>
      <c r="AA270" s="59" t="s">
        <v>122</v>
      </c>
      <c r="AB270" s="23">
        <v>3.2448336957000001</v>
      </c>
      <c r="AC270" s="23"/>
      <c r="AD270" s="23">
        <v>3.7688081630000001</v>
      </c>
      <c r="AE270" s="23">
        <v>4.1016937219000003</v>
      </c>
      <c r="AF270" s="23">
        <v>3.7423773071999999</v>
      </c>
      <c r="AG270" s="23">
        <v>3.6227090759</v>
      </c>
      <c r="AH270" s="23">
        <v>3.6281148845</v>
      </c>
      <c r="AI270" s="23">
        <v>3.2480087975999998</v>
      </c>
      <c r="AJ270" s="23"/>
      <c r="AK270" s="23"/>
      <c r="AL270" s="23"/>
      <c r="AM270" s="23"/>
      <c r="AN270" s="23"/>
    </row>
    <row r="271" spans="1:42" x14ac:dyDescent="0.3">
      <c r="D271" s="59" t="s">
        <v>124</v>
      </c>
      <c r="E271" s="23"/>
      <c r="F271" s="23">
        <v>1.2666531489999999</v>
      </c>
      <c r="G271" s="23">
        <v>1.2317947250000001</v>
      </c>
      <c r="H271" s="23">
        <v>1.2017948730000001</v>
      </c>
      <c r="I271" s="23">
        <v>1.001257772</v>
      </c>
      <c r="J271" s="23">
        <v>0.92516366299999997</v>
      </c>
      <c r="K271" s="23">
        <v>0.47198987100000001</v>
      </c>
      <c r="L271" s="23">
        <v>0.61275694700000005</v>
      </c>
      <c r="M271" s="23">
        <v>2.2575387679999999</v>
      </c>
      <c r="N271" s="23">
        <v>4.0827837259999997</v>
      </c>
      <c r="O271" s="23">
        <v>2.9072966579999999</v>
      </c>
      <c r="P271" s="23">
        <v>2.6592992419999999</v>
      </c>
      <c r="Q271" s="23">
        <v>2.9469447780000002</v>
      </c>
      <c r="R271" s="129">
        <f t="shared" si="111"/>
        <v>2.6063618555999999</v>
      </c>
      <c r="AA271" s="59" t="s">
        <v>124</v>
      </c>
      <c r="AB271" s="23">
        <v>2.6592992419999999</v>
      </c>
      <c r="AC271" s="23">
        <v>2.7038664510000001</v>
      </c>
      <c r="AD271" s="23">
        <v>2.4421963770000001</v>
      </c>
      <c r="AE271" s="23">
        <v>3.0111301526999998</v>
      </c>
      <c r="AF271" s="23">
        <v>2.9469447780000002</v>
      </c>
      <c r="AG271" s="23">
        <v>2.7145907680999999</v>
      </c>
      <c r="AH271" s="23">
        <v>2.6674521280999999</v>
      </c>
      <c r="AI271" s="23">
        <v>2.6063618555999999</v>
      </c>
      <c r="AJ271" s="23"/>
      <c r="AK271" s="23"/>
      <c r="AL271" s="23"/>
      <c r="AM271" s="23"/>
      <c r="AN271" s="23"/>
    </row>
    <row r="272" spans="1:42" x14ac:dyDescent="0.3">
      <c r="D272" s="59" t="s">
        <v>126</v>
      </c>
      <c r="E272" s="23"/>
      <c r="F272" s="23"/>
      <c r="G272" s="23">
        <v>0</v>
      </c>
      <c r="H272" s="23">
        <v>3.9926179999999999E-2</v>
      </c>
      <c r="I272" s="23">
        <v>0.326624303</v>
      </c>
      <c r="J272" s="23">
        <v>0.76636387500000003</v>
      </c>
      <c r="K272" s="23">
        <v>0.96931309399999999</v>
      </c>
      <c r="L272" s="23">
        <v>1.2487304610000001</v>
      </c>
      <c r="M272" s="23">
        <v>0.61894909300000001</v>
      </c>
      <c r="N272" s="23">
        <v>1.0103613650000001</v>
      </c>
      <c r="O272" s="23">
        <v>5.929218015</v>
      </c>
      <c r="P272" s="23">
        <v>1.1414713350000001</v>
      </c>
      <c r="Q272" s="23">
        <v>1.3146731897999999</v>
      </c>
      <c r="R272" s="129">
        <f t="shared" si="111"/>
        <v>2.2746233364999999</v>
      </c>
      <c r="AA272" s="59" t="s">
        <v>126</v>
      </c>
      <c r="AB272" s="23">
        <v>1.1636007070000001</v>
      </c>
      <c r="AC272" s="23">
        <v>2.4522844519999998</v>
      </c>
      <c r="AD272" s="23">
        <v>2.6451532470000001</v>
      </c>
      <c r="AE272" s="23">
        <v>2.0523939156000002</v>
      </c>
      <c r="AF272" s="23">
        <v>1.3146731897999999</v>
      </c>
      <c r="AG272" s="23">
        <v>2.2462785794000002</v>
      </c>
      <c r="AH272" s="23">
        <v>2.2609585070999998</v>
      </c>
      <c r="AI272" s="23">
        <v>2.2746233364999999</v>
      </c>
      <c r="AJ272" s="23"/>
      <c r="AK272" s="23"/>
      <c r="AL272" s="23"/>
      <c r="AM272" s="23"/>
      <c r="AN272" s="23"/>
    </row>
    <row r="273" spans="4:40" x14ac:dyDescent="0.3">
      <c r="D273" s="59" t="s">
        <v>130</v>
      </c>
      <c r="E273" s="23"/>
      <c r="F273" s="23">
        <v>5.5162040140000004</v>
      </c>
      <c r="G273" s="23">
        <v>5.4770404839999998</v>
      </c>
      <c r="H273" s="23">
        <v>4.6728258150000004</v>
      </c>
      <c r="I273" s="23">
        <v>3.8879269160000001</v>
      </c>
      <c r="J273" s="23">
        <v>2.8796744680000002</v>
      </c>
      <c r="K273" s="23">
        <v>2.5565852169999999</v>
      </c>
      <c r="L273" s="23">
        <v>3.5263598759999999</v>
      </c>
      <c r="M273" s="23">
        <v>3.0645300007</v>
      </c>
      <c r="N273" s="23">
        <v>8.2352038353000001</v>
      </c>
      <c r="O273" s="23">
        <v>1.3930669689999999</v>
      </c>
      <c r="P273" s="23"/>
      <c r="Q273" s="23"/>
      <c r="R273" s="129">
        <f t="shared" si="111"/>
        <v>1.2456525570999999</v>
      </c>
      <c r="T273" s="69"/>
      <c r="U273" s="69"/>
      <c r="AA273" s="59" t="s">
        <v>130</v>
      </c>
      <c r="AB273" s="23">
        <v>1.2037837170000001</v>
      </c>
      <c r="AC273" s="23"/>
      <c r="AD273" s="23"/>
      <c r="AE273" s="23"/>
      <c r="AF273" s="23"/>
      <c r="AG273" s="23">
        <v>1.0886499394</v>
      </c>
      <c r="AH273" s="23">
        <v>1.2385115858</v>
      </c>
      <c r="AI273" s="23">
        <v>1.2456525570999999</v>
      </c>
      <c r="AJ273" s="23"/>
      <c r="AK273" s="23"/>
      <c r="AL273" s="23"/>
      <c r="AM273" s="23"/>
      <c r="AN273" s="23"/>
    </row>
    <row r="274" spans="4:40" x14ac:dyDescent="0.3">
      <c r="D274" s="59" t="s">
        <v>128</v>
      </c>
      <c r="E274" s="23"/>
      <c r="F274" s="23">
        <v>2.8143511619999999</v>
      </c>
      <c r="G274" s="23">
        <v>2.9671066640000001</v>
      </c>
      <c r="H274" s="23">
        <v>2.365152455</v>
      </c>
      <c r="I274" s="23">
        <v>1.4768317900000001</v>
      </c>
      <c r="J274" s="23">
        <v>3.8163787739999999</v>
      </c>
      <c r="K274" s="23">
        <v>3.6352371040000002</v>
      </c>
      <c r="L274" s="23">
        <v>4.0865899240000001</v>
      </c>
      <c r="M274" s="23">
        <v>5.4063987109999996</v>
      </c>
      <c r="N274" s="23">
        <v>2.59740226</v>
      </c>
      <c r="O274" s="23">
        <v>1.301566733</v>
      </c>
      <c r="P274" s="23">
        <v>2.141199952</v>
      </c>
      <c r="Q274" s="23">
        <v>3.6497335683999999</v>
      </c>
      <c r="R274" s="129">
        <f t="shared" si="111"/>
        <v>2.6313785109999999</v>
      </c>
      <c r="T274" s="69"/>
      <c r="U274" s="69"/>
      <c r="AA274" s="59" t="s">
        <v>128</v>
      </c>
      <c r="AB274" s="23">
        <v>2.141199952</v>
      </c>
      <c r="AC274" s="23">
        <v>2.0728039310000002</v>
      </c>
      <c r="AD274" s="23">
        <v>2.5969979159999999</v>
      </c>
      <c r="AE274" s="23">
        <v>3.1402003920000001</v>
      </c>
      <c r="AF274" s="23">
        <v>3.6497335683999999</v>
      </c>
      <c r="AG274" s="23">
        <v>3.5070830122999999</v>
      </c>
      <c r="AH274" s="23">
        <v>2.8486872204</v>
      </c>
      <c r="AI274" s="23">
        <v>2.6313785109999999</v>
      </c>
      <c r="AJ274" s="23"/>
      <c r="AK274" s="23"/>
      <c r="AL274" s="23"/>
      <c r="AM274" s="23"/>
      <c r="AN274" s="23"/>
    </row>
    <row r="275" spans="4:40" x14ac:dyDescent="0.3">
      <c r="D275" s="59" t="s">
        <v>132</v>
      </c>
      <c r="E275" s="23">
        <v>1.5008861600000001</v>
      </c>
      <c r="F275" s="23">
        <v>7.4693725210000004</v>
      </c>
      <c r="G275" s="23">
        <v>6.7092044150000003</v>
      </c>
      <c r="H275" s="23"/>
      <c r="I275" s="23">
        <v>5.0380034220000001</v>
      </c>
      <c r="J275" s="23">
        <v>2.001080542</v>
      </c>
      <c r="K275" s="23">
        <v>1.5160572839999999</v>
      </c>
      <c r="L275" s="23">
        <v>7.7825158940000003</v>
      </c>
      <c r="M275" s="23">
        <v>7.3078165449999997</v>
      </c>
      <c r="N275" s="23">
        <v>9.1789628610000005</v>
      </c>
      <c r="O275" s="23">
        <v>1.588844629</v>
      </c>
      <c r="P275" s="23">
        <v>6.0792094050000003</v>
      </c>
      <c r="Q275" s="23">
        <v>5.5625804570000001</v>
      </c>
      <c r="R275" s="129">
        <f t="shared" si="111"/>
        <v>2.2972246726000001</v>
      </c>
      <c r="AA275" s="59" t="s">
        <v>132</v>
      </c>
      <c r="AB275" s="23">
        <v>6.0792094050000003</v>
      </c>
      <c r="AC275" s="23">
        <v>1.163814895</v>
      </c>
      <c r="AD275" s="23">
        <v>1.258989106</v>
      </c>
      <c r="AE275" s="23">
        <v>1.4935247228999999</v>
      </c>
      <c r="AF275" s="23">
        <v>5.5625786762000002</v>
      </c>
      <c r="AG275" s="23">
        <v>2.4852103474999998</v>
      </c>
      <c r="AH275" s="23">
        <v>2.3611571817999999</v>
      </c>
      <c r="AI275" s="23">
        <v>2.2972246726000001</v>
      </c>
      <c r="AJ275" s="23"/>
      <c r="AK275" s="23"/>
      <c r="AL275" s="23"/>
      <c r="AM275" s="23"/>
      <c r="AN275" s="23"/>
    </row>
    <row r="276" spans="4:40" x14ac:dyDescent="0.3">
      <c r="D276" s="59" t="s">
        <v>134</v>
      </c>
      <c r="E276" s="23"/>
      <c r="F276" s="23"/>
      <c r="G276" s="23"/>
      <c r="H276" s="23">
        <v>6.1384020599999998</v>
      </c>
      <c r="I276" s="23">
        <v>1.2916043109999999</v>
      </c>
      <c r="J276" s="23">
        <v>1.911429289</v>
      </c>
      <c r="K276" s="23">
        <v>1.9978126469999999</v>
      </c>
      <c r="L276" s="23">
        <v>2.8294078100000002</v>
      </c>
      <c r="M276" s="23">
        <v>2.9048266300000001</v>
      </c>
      <c r="N276" s="23">
        <v>6.5091435789999998</v>
      </c>
      <c r="O276" s="23">
        <v>4.3958622800000002</v>
      </c>
      <c r="P276" s="23">
        <v>1.6560718640000001</v>
      </c>
      <c r="Q276" s="23">
        <v>4.3252815386999997</v>
      </c>
      <c r="R276" s="129">
        <f t="shared" si="111"/>
        <v>2.5441579949999999</v>
      </c>
      <c r="T276" s="69"/>
      <c r="U276" s="69"/>
      <c r="AA276" s="59" t="s">
        <v>134</v>
      </c>
      <c r="AB276" s="23">
        <v>1.6560718640000001</v>
      </c>
      <c r="AC276" s="23">
        <v>1.709678553</v>
      </c>
      <c r="AD276" s="23">
        <v>2.0350217239999999</v>
      </c>
      <c r="AE276" s="23">
        <v>2.075701322</v>
      </c>
      <c r="AF276" s="23">
        <v>4.3252815386999997</v>
      </c>
      <c r="AG276" s="23">
        <v>2.3363293015000002</v>
      </c>
      <c r="AH276" s="23">
        <v>2.3499139280999999</v>
      </c>
      <c r="AI276" s="23">
        <v>2.5441579949999999</v>
      </c>
      <c r="AJ276" s="23"/>
      <c r="AK276" s="23"/>
      <c r="AL276" s="23"/>
      <c r="AM276" s="23"/>
      <c r="AN276" s="23"/>
    </row>
    <row r="277" spans="4:40" x14ac:dyDescent="0.3">
      <c r="D277" s="59"/>
      <c r="E277" s="23"/>
      <c r="F277" s="23"/>
      <c r="G277" s="23"/>
      <c r="H277" s="23"/>
      <c r="I277" s="23"/>
      <c r="J277" s="23"/>
      <c r="K277" s="23"/>
      <c r="L277" s="23"/>
      <c r="M277" s="23"/>
      <c r="N277" s="23"/>
      <c r="O277" s="23"/>
      <c r="P277" s="23"/>
      <c r="Q277" s="23"/>
      <c r="AA277" s="59"/>
      <c r="AB277" s="23"/>
      <c r="AC277" s="23"/>
      <c r="AD277" s="23"/>
      <c r="AE277" s="23"/>
      <c r="AF277" s="23"/>
      <c r="AG277" s="23"/>
      <c r="AH277" s="23"/>
      <c r="AI277" s="23"/>
      <c r="AJ277" s="23"/>
      <c r="AK277" s="23"/>
      <c r="AL277" s="23"/>
      <c r="AM277" s="23"/>
      <c r="AN277" s="23"/>
    </row>
    <row r="278" spans="4:40" x14ac:dyDescent="0.3">
      <c r="E278" s="80"/>
      <c r="F278" s="80"/>
      <c r="G278" s="80"/>
      <c r="H278" s="80"/>
      <c r="I278" s="80"/>
      <c r="J278" s="80"/>
      <c r="K278" s="82">
        <f t="shared" ref="K278:R278" si="112">SUMPRODUCT(K282:K291,K206:K215)</f>
        <v>20854.681296407023</v>
      </c>
      <c r="L278" s="82">
        <f t="shared" si="112"/>
        <v>21628.500581765111</v>
      </c>
      <c r="M278" s="82">
        <f t="shared" si="112"/>
        <v>41561.537968472738</v>
      </c>
      <c r="N278" s="82">
        <f t="shared" si="112"/>
        <v>50218.401621841615</v>
      </c>
      <c r="O278" s="82">
        <f t="shared" si="112"/>
        <v>21339.669827115868</v>
      </c>
      <c r="P278" s="82">
        <f t="shared" si="112"/>
        <v>26575.697832736121</v>
      </c>
      <c r="Q278" s="82">
        <f t="shared" si="112"/>
        <v>34185.008400081235</v>
      </c>
      <c r="R278" s="82">
        <f t="shared" si="112"/>
        <v>35929.370365266928</v>
      </c>
      <c r="AB278" s="82">
        <f t="shared" ref="AB278:AN278" si="113">SUMPRODUCT(AB282:AB291,AB206:AB215)</f>
        <v>27288.950101481758</v>
      </c>
      <c r="AC278" s="82">
        <f t="shared" si="113"/>
        <v>20073.167489873333</v>
      </c>
      <c r="AD278" s="82">
        <f t="shared" si="113"/>
        <v>27135.163587108971</v>
      </c>
      <c r="AE278" s="82">
        <f t="shared" si="113"/>
        <v>29721.415721722326</v>
      </c>
      <c r="AF278" s="82">
        <f t="shared" si="113"/>
        <v>34185.096760046668</v>
      </c>
      <c r="AG278" s="82">
        <f t="shared" si="113"/>
        <v>31840.577139043387</v>
      </c>
      <c r="AH278" s="82">
        <f t="shared" si="113"/>
        <v>33106.032466789045</v>
      </c>
      <c r="AI278" s="82">
        <f t="shared" si="113"/>
        <v>34330.262352818034</v>
      </c>
      <c r="AJ278" s="82">
        <f t="shared" si="113"/>
        <v>0</v>
      </c>
      <c r="AK278" s="82">
        <f t="shared" si="113"/>
        <v>0</v>
      </c>
      <c r="AL278" s="82">
        <f t="shared" si="113"/>
        <v>0</v>
      </c>
      <c r="AM278" s="82">
        <f t="shared" si="113"/>
        <v>0</v>
      </c>
      <c r="AN278" s="82">
        <f t="shared" si="113"/>
        <v>0</v>
      </c>
    </row>
    <row r="282" spans="4:40" x14ac:dyDescent="0.3">
      <c r="K282" s="50">
        <f>K267%</f>
        <v>1.8189262729999999E-2</v>
      </c>
      <c r="L282" s="50">
        <f>L267%</f>
        <v>1.7844846479999999E-2</v>
      </c>
      <c r="M282" s="50">
        <f>M267%</f>
        <v>2.857175113E-2</v>
      </c>
      <c r="N282" s="50">
        <f>N267%</f>
        <v>2.5854752419999998E-2</v>
      </c>
      <c r="O282" s="50"/>
      <c r="P282" s="50">
        <f t="shared" ref="P282:R287" si="114">P267%</f>
        <v>9.0252097E-3</v>
      </c>
      <c r="Q282" s="50">
        <f t="shared" si="114"/>
        <v>1.0681623471999999E-2</v>
      </c>
      <c r="R282" s="50">
        <f t="shared" si="114"/>
        <v>0.01</v>
      </c>
      <c r="AB282" s="50">
        <f t="shared" ref="AB282:AC291" si="115">AB267%</f>
        <v>9.0252097E-3</v>
      </c>
      <c r="AC282" s="50">
        <f t="shared" si="115"/>
        <v>1.0735437910000001E-2</v>
      </c>
      <c r="AD282" s="83">
        <f>AD267%/100</f>
        <v>0.01</v>
      </c>
      <c r="AE282" s="83">
        <f>AE267%/100</f>
        <v>0.01</v>
      </c>
      <c r="AF282" s="50">
        <f t="shared" ref="AF282:AH291" si="116">AF267%</f>
        <v>1.0681623471999999E-2</v>
      </c>
      <c r="AG282" s="50">
        <f t="shared" si="116"/>
        <v>7.0179440499999997E-3</v>
      </c>
      <c r="AH282" s="50">
        <f t="shared" si="116"/>
        <v>6.6786439379999995E-3</v>
      </c>
      <c r="AI282" s="83">
        <f>AI267%/100</f>
        <v>0.01</v>
      </c>
      <c r="AJ282" s="50"/>
      <c r="AK282" s="50"/>
      <c r="AL282" s="50"/>
      <c r="AM282" s="50"/>
      <c r="AN282" s="50"/>
    </row>
    <row r="283" spans="4:40" x14ac:dyDescent="0.3">
      <c r="K283" s="50">
        <f t="shared" ref="K283:K291" si="117">K268%</f>
        <v>1.262429743E-2</v>
      </c>
      <c r="L283" s="50"/>
      <c r="M283" s="50">
        <f t="shared" ref="M283:N291" si="118">M268%</f>
        <v>4.22083688E-2</v>
      </c>
      <c r="N283" s="50">
        <f t="shared" si="118"/>
        <v>4.1748815869999997E-2</v>
      </c>
      <c r="O283" s="50"/>
      <c r="P283" s="50">
        <f t="shared" si="114"/>
        <v>1.8399388569999998E-2</v>
      </c>
      <c r="Q283" s="50">
        <f t="shared" si="114"/>
        <v>1.7238940537000001E-2</v>
      </c>
      <c r="R283" s="50">
        <f t="shared" si="114"/>
        <v>1.5797058691999998E-2</v>
      </c>
      <c r="AB283" s="50">
        <f t="shared" si="115"/>
        <v>1.8399388569999998E-2</v>
      </c>
      <c r="AC283" s="50">
        <f t="shared" si="115"/>
        <v>1.72366537E-2</v>
      </c>
      <c r="AD283" s="50">
        <f t="shared" ref="AD283:AE291" si="119">AD268%</f>
        <v>1.8212587419999999E-2</v>
      </c>
      <c r="AE283" s="50">
        <f t="shared" si="119"/>
        <v>1.723441526E-2</v>
      </c>
      <c r="AF283" s="50">
        <f t="shared" si="116"/>
        <v>1.7238940537000001E-2</v>
      </c>
      <c r="AG283" s="50">
        <f t="shared" si="116"/>
        <v>1.6854396333999998E-2</v>
      </c>
      <c r="AH283" s="50">
        <f t="shared" si="116"/>
        <v>1.4678506806E-2</v>
      </c>
      <c r="AI283" s="50">
        <f t="shared" ref="AI283:AI291" si="120">AI268%</f>
        <v>1.5797058691999998E-2</v>
      </c>
      <c r="AJ283" s="50"/>
      <c r="AK283" s="50"/>
      <c r="AL283" s="50"/>
      <c r="AM283" s="50"/>
      <c r="AN283" s="50"/>
    </row>
    <row r="284" spans="4:40" x14ac:dyDescent="0.3">
      <c r="K284" s="50">
        <f t="shared" si="117"/>
        <v>4.0602414869999999E-2</v>
      </c>
      <c r="L284" s="50">
        <f t="shared" ref="L284:L291" si="121">L269%</f>
        <v>2.7554932860000002E-2</v>
      </c>
      <c r="M284" s="50">
        <f t="shared" si="118"/>
        <v>3.1165820160000003E-2</v>
      </c>
      <c r="N284" s="50">
        <f t="shared" si="118"/>
        <v>5.6105707259999998E-2</v>
      </c>
      <c r="O284" s="50">
        <f>O269%</f>
        <v>4.8448847699999999E-2</v>
      </c>
      <c r="P284" s="50">
        <f t="shared" si="114"/>
        <v>1.8607823512999999E-2</v>
      </c>
      <c r="Q284" s="50">
        <f t="shared" si="114"/>
        <v>2.2316895745999998E-2</v>
      </c>
      <c r="R284" s="50">
        <f t="shared" si="114"/>
        <v>1.5810915695E-2</v>
      </c>
      <c r="AB284" s="50">
        <f t="shared" si="115"/>
        <v>1.8607823512999999E-2</v>
      </c>
      <c r="AC284" s="50">
        <f t="shared" si="115"/>
        <v>1.0102257640000001E-2</v>
      </c>
      <c r="AD284" s="50">
        <f t="shared" si="119"/>
        <v>1.015258303E-2</v>
      </c>
      <c r="AE284" s="50">
        <f t="shared" si="119"/>
        <v>1.5026342743E-2</v>
      </c>
      <c r="AF284" s="50">
        <f t="shared" si="116"/>
        <v>2.2316895745999998E-2</v>
      </c>
      <c r="AG284" s="50">
        <f t="shared" si="116"/>
        <v>1.9541267921E-2</v>
      </c>
      <c r="AH284" s="50">
        <f t="shared" si="116"/>
        <v>1.8394344314E-2</v>
      </c>
      <c r="AI284" s="50">
        <f t="shared" si="120"/>
        <v>1.5810915695E-2</v>
      </c>
      <c r="AJ284" s="50"/>
      <c r="AK284" s="50"/>
      <c r="AL284" s="50"/>
      <c r="AM284" s="50"/>
      <c r="AN284" s="50"/>
    </row>
    <row r="285" spans="4:40" x14ac:dyDescent="0.3">
      <c r="K285" s="50">
        <f t="shared" si="117"/>
        <v>1.2709484139999999E-2</v>
      </c>
      <c r="L285" s="50">
        <f t="shared" si="121"/>
        <v>1.1813707149999998E-2</v>
      </c>
      <c r="M285" s="50">
        <f t="shared" si="118"/>
        <v>3.5799515310000002E-2</v>
      </c>
      <c r="N285" s="50">
        <f t="shared" si="118"/>
        <v>5.2339945300000003E-2</v>
      </c>
      <c r="O285" s="50"/>
      <c r="P285" s="50">
        <f t="shared" si="114"/>
        <v>3.2448336957000001E-2</v>
      </c>
      <c r="Q285" s="50">
        <f t="shared" si="114"/>
        <v>3.7423773071999997E-2</v>
      </c>
      <c r="R285" s="50">
        <f t="shared" si="114"/>
        <v>3.2480087976000001E-2</v>
      </c>
      <c r="AB285" s="50">
        <f t="shared" si="115"/>
        <v>3.2448336957000001E-2</v>
      </c>
      <c r="AC285" s="50">
        <f t="shared" si="115"/>
        <v>0</v>
      </c>
      <c r="AD285" s="50">
        <f t="shared" si="119"/>
        <v>3.7688081630000002E-2</v>
      </c>
      <c r="AE285" s="50">
        <f t="shared" si="119"/>
        <v>4.1016937219000002E-2</v>
      </c>
      <c r="AF285" s="50">
        <f t="shared" si="116"/>
        <v>3.7423773071999997E-2</v>
      </c>
      <c r="AG285" s="50">
        <f t="shared" si="116"/>
        <v>3.6227090758999998E-2</v>
      </c>
      <c r="AH285" s="50">
        <f t="shared" si="116"/>
        <v>3.6281148845E-2</v>
      </c>
      <c r="AI285" s="50">
        <f t="shared" si="120"/>
        <v>3.2480087976000001E-2</v>
      </c>
      <c r="AJ285" s="50"/>
      <c r="AK285" s="50"/>
      <c r="AL285" s="50"/>
      <c r="AM285" s="50"/>
      <c r="AN285" s="50"/>
    </row>
    <row r="286" spans="4:40" x14ac:dyDescent="0.3">
      <c r="K286" s="50">
        <f t="shared" si="117"/>
        <v>4.7198987099999999E-3</v>
      </c>
      <c r="L286" s="50">
        <f t="shared" si="121"/>
        <v>6.1275694700000001E-3</v>
      </c>
      <c r="M286" s="50">
        <f t="shared" si="118"/>
        <v>2.257538768E-2</v>
      </c>
      <c r="N286" s="50">
        <f t="shared" si="118"/>
        <v>4.0827837259999999E-2</v>
      </c>
      <c r="O286" s="50">
        <f t="shared" ref="O286:O291" si="122">O271%</f>
        <v>2.9072966579999998E-2</v>
      </c>
      <c r="P286" s="50">
        <f t="shared" si="114"/>
        <v>2.6592992419999999E-2</v>
      </c>
      <c r="Q286" s="50">
        <f t="shared" si="114"/>
        <v>2.9469447780000001E-2</v>
      </c>
      <c r="R286" s="50">
        <f t="shared" si="114"/>
        <v>2.6063618556E-2</v>
      </c>
      <c r="AB286" s="50">
        <f t="shared" si="115"/>
        <v>2.6592992419999999E-2</v>
      </c>
      <c r="AC286" s="50">
        <f t="shared" si="115"/>
        <v>2.7038664510000001E-2</v>
      </c>
      <c r="AD286" s="50">
        <f t="shared" si="119"/>
        <v>2.4421963770000003E-2</v>
      </c>
      <c r="AE286" s="50">
        <f t="shared" si="119"/>
        <v>3.0111301526999999E-2</v>
      </c>
      <c r="AF286" s="50">
        <f t="shared" si="116"/>
        <v>2.9469447780000001E-2</v>
      </c>
      <c r="AG286" s="50">
        <f t="shared" si="116"/>
        <v>2.7145907681E-2</v>
      </c>
      <c r="AH286" s="50">
        <f t="shared" si="116"/>
        <v>2.6674521280999997E-2</v>
      </c>
      <c r="AI286" s="50">
        <f t="shared" si="120"/>
        <v>2.6063618556E-2</v>
      </c>
      <c r="AJ286" s="50"/>
      <c r="AK286" s="50"/>
      <c r="AL286" s="50"/>
      <c r="AM286" s="50"/>
      <c r="AN286" s="50"/>
    </row>
    <row r="287" spans="4:40" x14ac:dyDescent="0.3">
      <c r="K287" s="50">
        <f t="shared" si="117"/>
        <v>9.6931309399999992E-3</v>
      </c>
      <c r="L287" s="50">
        <f t="shared" si="121"/>
        <v>1.2487304610000001E-2</v>
      </c>
      <c r="M287" s="50">
        <f t="shared" si="118"/>
        <v>6.1894909300000004E-3</v>
      </c>
      <c r="N287" s="50">
        <f t="shared" si="118"/>
        <v>1.0103613650000001E-2</v>
      </c>
      <c r="O287" s="50">
        <f t="shared" si="122"/>
        <v>5.9292180149999998E-2</v>
      </c>
      <c r="P287" s="50">
        <f t="shared" si="114"/>
        <v>1.1414713350000001E-2</v>
      </c>
      <c r="Q287" s="50">
        <f t="shared" si="114"/>
        <v>1.3146731897999999E-2</v>
      </c>
      <c r="R287" s="50">
        <f t="shared" si="114"/>
        <v>2.2746233365E-2</v>
      </c>
      <c r="AB287" s="50">
        <f t="shared" si="115"/>
        <v>1.1636007070000001E-2</v>
      </c>
      <c r="AC287" s="50">
        <f t="shared" si="115"/>
        <v>2.4522844519999996E-2</v>
      </c>
      <c r="AD287" s="50">
        <f t="shared" si="119"/>
        <v>2.6451532470000001E-2</v>
      </c>
      <c r="AE287" s="50">
        <f t="shared" si="119"/>
        <v>2.0523939156000003E-2</v>
      </c>
      <c r="AF287" s="50">
        <f t="shared" si="116"/>
        <v>1.3146731897999999E-2</v>
      </c>
      <c r="AG287" s="50">
        <f t="shared" si="116"/>
        <v>2.2462785794000004E-2</v>
      </c>
      <c r="AH287" s="50">
        <f t="shared" si="116"/>
        <v>2.2609585070999999E-2</v>
      </c>
      <c r="AI287" s="50">
        <f t="shared" si="120"/>
        <v>2.2746233365E-2</v>
      </c>
      <c r="AJ287" s="50"/>
      <c r="AK287" s="50"/>
      <c r="AL287" s="50"/>
      <c r="AM287" s="50"/>
      <c r="AN287" s="50"/>
    </row>
    <row r="288" spans="4:40" x14ac:dyDescent="0.3">
      <c r="K288" s="50">
        <f t="shared" si="117"/>
        <v>2.556585217E-2</v>
      </c>
      <c r="L288" s="50">
        <f t="shared" si="121"/>
        <v>3.5263598760000001E-2</v>
      </c>
      <c r="M288" s="50">
        <f t="shared" si="118"/>
        <v>3.0645300007000002E-2</v>
      </c>
      <c r="N288" s="50">
        <f t="shared" si="118"/>
        <v>8.2352038353000007E-2</v>
      </c>
      <c r="O288" s="50">
        <f t="shared" si="122"/>
        <v>1.393066969E-2</v>
      </c>
      <c r="P288" s="50"/>
      <c r="Q288" s="50"/>
      <c r="R288" s="50">
        <f>R273%</f>
        <v>1.2456525570999999E-2</v>
      </c>
      <c r="AB288" s="50">
        <f t="shared" si="115"/>
        <v>1.2037837170000001E-2</v>
      </c>
      <c r="AC288" s="50">
        <f t="shared" si="115"/>
        <v>0</v>
      </c>
      <c r="AD288" s="50">
        <f t="shared" si="119"/>
        <v>0</v>
      </c>
      <c r="AE288" s="50">
        <f t="shared" si="119"/>
        <v>0</v>
      </c>
      <c r="AF288" s="50">
        <f t="shared" si="116"/>
        <v>0</v>
      </c>
      <c r="AG288" s="50">
        <f t="shared" si="116"/>
        <v>1.0886499394E-2</v>
      </c>
      <c r="AH288" s="50">
        <f t="shared" si="116"/>
        <v>1.2385115858E-2</v>
      </c>
      <c r="AI288" s="50">
        <f t="shared" si="120"/>
        <v>1.2456525570999999E-2</v>
      </c>
      <c r="AJ288" s="50"/>
      <c r="AK288" s="50"/>
      <c r="AL288" s="50"/>
      <c r="AM288" s="50"/>
      <c r="AN288" s="50"/>
    </row>
    <row r="289" spans="2:40" x14ac:dyDescent="0.3">
      <c r="K289" s="50">
        <f t="shared" si="117"/>
        <v>3.6352371040000005E-2</v>
      </c>
      <c r="L289" s="50">
        <f t="shared" si="121"/>
        <v>4.0865899240000003E-2</v>
      </c>
      <c r="M289" s="50">
        <f t="shared" si="118"/>
        <v>5.4063987109999996E-2</v>
      </c>
      <c r="N289" s="50">
        <f t="shared" si="118"/>
        <v>2.59740226E-2</v>
      </c>
      <c r="O289" s="50">
        <f t="shared" si="122"/>
        <v>1.3015667330000001E-2</v>
      </c>
      <c r="P289" s="50">
        <f t="shared" ref="P289:Q291" si="123">P274%</f>
        <v>2.1411999519999999E-2</v>
      </c>
      <c r="Q289" s="50">
        <f t="shared" si="123"/>
        <v>3.6497335684000001E-2</v>
      </c>
      <c r="R289" s="50">
        <f>R274%</f>
        <v>2.6313785109999998E-2</v>
      </c>
      <c r="AB289" s="50">
        <f t="shared" si="115"/>
        <v>2.1411999519999999E-2</v>
      </c>
      <c r="AC289" s="50">
        <f t="shared" si="115"/>
        <v>2.0728039310000002E-2</v>
      </c>
      <c r="AD289" s="50">
        <f t="shared" si="119"/>
        <v>2.596997916E-2</v>
      </c>
      <c r="AE289" s="50">
        <f t="shared" si="119"/>
        <v>3.1402003920000005E-2</v>
      </c>
      <c r="AF289" s="50">
        <f t="shared" si="116"/>
        <v>3.6497335684000001E-2</v>
      </c>
      <c r="AG289" s="50">
        <f t="shared" si="116"/>
        <v>3.5070830122999996E-2</v>
      </c>
      <c r="AH289" s="50">
        <f t="shared" si="116"/>
        <v>2.8486872204000001E-2</v>
      </c>
      <c r="AI289" s="50">
        <f t="shared" si="120"/>
        <v>2.6313785109999998E-2</v>
      </c>
      <c r="AJ289" s="50"/>
      <c r="AK289" s="50"/>
      <c r="AL289" s="50"/>
      <c r="AM289" s="50"/>
      <c r="AN289" s="50"/>
    </row>
    <row r="290" spans="2:40" x14ac:dyDescent="0.3">
      <c r="K290" s="50">
        <f t="shared" si="117"/>
        <v>1.5160572839999999E-2</v>
      </c>
      <c r="L290" s="50">
        <f t="shared" si="121"/>
        <v>7.782515894E-2</v>
      </c>
      <c r="M290" s="50">
        <f t="shared" si="118"/>
        <v>7.3078165449999996E-2</v>
      </c>
      <c r="N290" s="50">
        <f t="shared" si="118"/>
        <v>9.1789628610000007E-2</v>
      </c>
      <c r="O290" s="50">
        <f t="shared" si="122"/>
        <v>1.588844629E-2</v>
      </c>
      <c r="P290" s="50">
        <f t="shared" si="123"/>
        <v>6.0792094050000002E-2</v>
      </c>
      <c r="Q290" s="50">
        <f t="shared" si="123"/>
        <v>5.562580457E-2</v>
      </c>
      <c r="R290" s="50">
        <f>R275%</f>
        <v>2.2972246726000001E-2</v>
      </c>
      <c r="AB290" s="50">
        <f t="shared" si="115"/>
        <v>6.0792094050000002E-2</v>
      </c>
      <c r="AC290" s="50">
        <f t="shared" si="115"/>
        <v>1.163814895E-2</v>
      </c>
      <c r="AD290" s="50">
        <f t="shared" si="119"/>
        <v>1.258989106E-2</v>
      </c>
      <c r="AE290" s="50">
        <f t="shared" si="119"/>
        <v>1.4935247229E-2</v>
      </c>
      <c r="AF290" s="50">
        <f t="shared" si="116"/>
        <v>5.5625786762000001E-2</v>
      </c>
      <c r="AG290" s="50">
        <f t="shared" si="116"/>
        <v>2.4852103474999998E-2</v>
      </c>
      <c r="AH290" s="50">
        <f t="shared" si="116"/>
        <v>2.3611571817999999E-2</v>
      </c>
      <c r="AI290" s="50">
        <f t="shared" si="120"/>
        <v>2.2972246726000001E-2</v>
      </c>
      <c r="AJ290" s="50"/>
      <c r="AK290" s="50"/>
      <c r="AL290" s="50"/>
      <c r="AM290" s="50"/>
      <c r="AN290" s="50"/>
    </row>
    <row r="291" spans="2:40" x14ac:dyDescent="0.3">
      <c r="K291" s="50">
        <f t="shared" si="117"/>
        <v>1.997812647E-2</v>
      </c>
      <c r="L291" s="50">
        <f t="shared" si="121"/>
        <v>2.8294078100000002E-2</v>
      </c>
      <c r="M291" s="50">
        <f t="shared" si="118"/>
        <v>2.90482663E-2</v>
      </c>
      <c r="N291" s="50">
        <f t="shared" si="118"/>
        <v>6.5091435789999999E-2</v>
      </c>
      <c r="O291" s="50">
        <f t="shared" si="122"/>
        <v>4.39586228E-2</v>
      </c>
      <c r="P291" s="50">
        <f t="shared" si="123"/>
        <v>1.6560718639999999E-2</v>
      </c>
      <c r="Q291" s="50">
        <f t="shared" si="123"/>
        <v>4.3252815386999995E-2</v>
      </c>
      <c r="R291" s="50">
        <f>R276%</f>
        <v>2.5441579950000001E-2</v>
      </c>
      <c r="AB291" s="50">
        <f t="shared" si="115"/>
        <v>1.6560718639999999E-2</v>
      </c>
      <c r="AC291" s="50">
        <f t="shared" si="115"/>
        <v>1.7096785530000002E-2</v>
      </c>
      <c r="AD291" s="50">
        <f t="shared" si="119"/>
        <v>2.0350217239999999E-2</v>
      </c>
      <c r="AE291" s="50">
        <f t="shared" si="119"/>
        <v>2.0757013219999999E-2</v>
      </c>
      <c r="AF291" s="50">
        <f t="shared" si="116"/>
        <v>4.3252815386999995E-2</v>
      </c>
      <c r="AG291" s="50">
        <f t="shared" si="116"/>
        <v>2.3363293015000001E-2</v>
      </c>
      <c r="AH291" s="50">
        <f t="shared" si="116"/>
        <v>2.3499139281E-2</v>
      </c>
      <c r="AI291" s="50">
        <f t="shared" si="120"/>
        <v>2.5441579950000001E-2</v>
      </c>
      <c r="AJ291" s="50"/>
      <c r="AK291" s="50"/>
      <c r="AL291" s="50"/>
      <c r="AM291" s="50"/>
      <c r="AN291" s="50"/>
    </row>
    <row r="292" spans="2:40" x14ac:dyDescent="0.3">
      <c r="K292" s="50"/>
      <c r="L292" s="50"/>
      <c r="M292" s="50"/>
      <c r="N292" s="50"/>
      <c r="O292" s="50"/>
      <c r="P292" s="50"/>
      <c r="Q292" s="50"/>
      <c r="AH292" s="50"/>
      <c r="AI292" s="50"/>
      <c r="AJ292" s="50"/>
      <c r="AK292" s="50"/>
      <c r="AL292" s="50"/>
      <c r="AM292" s="50"/>
      <c r="AN292" s="50"/>
    </row>
    <row r="293" spans="2:40" x14ac:dyDescent="0.3">
      <c r="K293" s="50"/>
      <c r="L293" s="50"/>
      <c r="M293" s="50"/>
      <c r="N293" s="50"/>
      <c r="O293" s="50"/>
      <c r="P293" s="50"/>
      <c r="Q293" s="50"/>
      <c r="AH293" s="50"/>
      <c r="AI293" s="50"/>
      <c r="AJ293" s="50"/>
      <c r="AK293" s="50"/>
      <c r="AL293" s="50"/>
      <c r="AM293" s="50"/>
      <c r="AN293" s="50"/>
    </row>
    <row r="294" spans="2:40" x14ac:dyDescent="0.3">
      <c r="K294" s="50"/>
      <c r="L294" s="50"/>
      <c r="M294" s="50"/>
      <c r="N294" s="50"/>
      <c r="O294" s="50"/>
      <c r="P294" s="50"/>
      <c r="Q294" s="50"/>
      <c r="AH294" s="50"/>
      <c r="AI294" s="50"/>
      <c r="AJ294" s="50"/>
      <c r="AK294" s="50"/>
      <c r="AL294" s="50"/>
      <c r="AM294" s="50"/>
      <c r="AN294" s="50"/>
    </row>
    <row r="295" spans="2:40" x14ac:dyDescent="0.3">
      <c r="K295" s="50"/>
      <c r="L295" s="50"/>
      <c r="M295" s="50"/>
      <c r="N295" s="50"/>
      <c r="O295" s="50"/>
      <c r="P295" s="50"/>
      <c r="Q295" s="50"/>
      <c r="AH295" s="50"/>
      <c r="AI295" s="50"/>
      <c r="AJ295" s="50"/>
      <c r="AK295" s="50"/>
      <c r="AL295" s="50"/>
      <c r="AM295" s="50"/>
      <c r="AN295" s="50"/>
    </row>
    <row r="296" spans="2:40" x14ac:dyDescent="0.3">
      <c r="B296" t="e">
        <f ca="1">_xll.TR($B$85:$B$95,"TR.LoanLossProvision(Scale=6)","Period=FQ0 Frq=FQ SDate=0 EDate=-12 Curn=SAR CH=Fd;periodenddate RH=IN SORTA=periodenddate",D296)</f>
        <v>#NAME?</v>
      </c>
      <c r="E296" t="s">
        <v>8</v>
      </c>
      <c r="F296" t="s">
        <v>8</v>
      </c>
      <c r="G296" t="s">
        <v>8</v>
      </c>
      <c r="H296" t="s">
        <v>8</v>
      </c>
      <c r="I296" t="s">
        <v>8</v>
      </c>
      <c r="J296" t="s">
        <v>8</v>
      </c>
      <c r="K296" t="s">
        <v>8</v>
      </c>
      <c r="L296" t="s">
        <v>8</v>
      </c>
      <c r="M296" t="s">
        <v>8</v>
      </c>
      <c r="N296" t="s">
        <v>8</v>
      </c>
      <c r="O296" t="s">
        <v>8</v>
      </c>
      <c r="P296" t="s">
        <v>8</v>
      </c>
      <c r="Q296" t="s">
        <v>8</v>
      </c>
      <c r="R296" t="s">
        <v>8</v>
      </c>
    </row>
    <row r="297" spans="2:40" x14ac:dyDescent="0.3">
      <c r="E297" s="58">
        <v>43373</v>
      </c>
      <c r="F297" s="58">
        <v>43465</v>
      </c>
      <c r="G297" s="58">
        <v>43555</v>
      </c>
      <c r="H297" s="58">
        <v>43646</v>
      </c>
      <c r="I297" s="58">
        <v>43738</v>
      </c>
      <c r="J297" s="58">
        <v>43830</v>
      </c>
      <c r="K297" s="58">
        <v>43921</v>
      </c>
      <c r="L297" s="58">
        <v>44012</v>
      </c>
      <c r="M297" s="58">
        <v>44104</v>
      </c>
      <c r="N297" s="58">
        <v>44196</v>
      </c>
      <c r="O297" s="58">
        <v>44286</v>
      </c>
      <c r="P297" s="58">
        <v>44377</v>
      </c>
      <c r="Q297" s="58">
        <v>44469</v>
      </c>
      <c r="R297" s="58">
        <v>44561</v>
      </c>
      <c r="AB297" s="58"/>
      <c r="AC297" s="58"/>
      <c r="AD297" s="58"/>
      <c r="AE297" s="58"/>
      <c r="AF297" s="58"/>
      <c r="AG297" s="58"/>
      <c r="AH297" s="58"/>
      <c r="AI297" s="58"/>
      <c r="AJ297" s="58"/>
      <c r="AK297" s="58"/>
      <c r="AL297" s="58"/>
      <c r="AM297" s="58"/>
      <c r="AN297" s="58"/>
    </row>
    <row r="298" spans="2:40" x14ac:dyDescent="0.3">
      <c r="D298" s="59" t="s">
        <v>115</v>
      </c>
      <c r="E298">
        <v>417.25700000000001</v>
      </c>
      <c r="F298">
        <v>330.03399999999999</v>
      </c>
      <c r="G298">
        <v>389.41699999999997</v>
      </c>
      <c r="H298">
        <v>385.63099999999997</v>
      </c>
      <c r="I298">
        <v>332.27199999999999</v>
      </c>
      <c r="J298">
        <v>664.94600000000003</v>
      </c>
      <c r="K298">
        <v>692.80799999999999</v>
      </c>
      <c r="L298">
        <v>457.95600000000002</v>
      </c>
      <c r="M298">
        <v>464.935</v>
      </c>
      <c r="N298">
        <v>550.04100000000005</v>
      </c>
      <c r="O298">
        <v>576.98900000000003</v>
      </c>
      <c r="P298">
        <v>583.96699999999998</v>
      </c>
      <c r="Q298">
        <v>593.80600000000004</v>
      </c>
      <c r="R298" t="s">
        <v>2</v>
      </c>
      <c r="AA298" s="59"/>
      <c r="AB298" s="85"/>
      <c r="AC298" s="85"/>
      <c r="AD298" s="85"/>
      <c r="AE298" s="85"/>
      <c r="AF298" s="85"/>
      <c r="AG298" s="85"/>
      <c r="AH298" s="85"/>
      <c r="AI298" s="85"/>
      <c r="AJ298" s="85"/>
      <c r="AK298" s="85"/>
      <c r="AL298" s="85"/>
      <c r="AM298" s="85"/>
      <c r="AN298" s="85"/>
    </row>
    <row r="299" spans="2:40" x14ac:dyDescent="0.3">
      <c r="D299" s="59" t="s">
        <v>118</v>
      </c>
      <c r="E299" s="58" t="s">
        <v>2</v>
      </c>
      <c r="F299" s="58">
        <v>396.21199999999999</v>
      </c>
      <c r="G299" s="58">
        <v>145.327</v>
      </c>
      <c r="H299" s="58">
        <v>324.73899999999998</v>
      </c>
      <c r="I299" s="58">
        <v>662.63699999999994</v>
      </c>
      <c r="J299" s="58">
        <v>287.22699999999998</v>
      </c>
      <c r="K299" s="58">
        <v>396.089</v>
      </c>
      <c r="L299" s="58">
        <v>827.947</v>
      </c>
      <c r="M299" s="58">
        <v>378.84699999999998</v>
      </c>
      <c r="N299" s="58">
        <v>348.00400000000002</v>
      </c>
      <c r="O299" s="58">
        <v>279.61599999999999</v>
      </c>
      <c r="P299" s="58">
        <v>2407.7849999999999</v>
      </c>
      <c r="Q299" s="58">
        <v>724.83900000000006</v>
      </c>
      <c r="R299" s="58">
        <v>514.79399999999998</v>
      </c>
      <c r="AA299" s="59"/>
      <c r="AB299" s="85"/>
      <c r="AC299" s="85"/>
      <c r="AD299" s="85"/>
      <c r="AE299" s="85"/>
      <c r="AF299" s="85"/>
      <c r="AG299" s="85"/>
      <c r="AH299" s="85"/>
      <c r="AI299" s="85"/>
      <c r="AJ299" s="85"/>
      <c r="AK299" s="85"/>
      <c r="AL299" s="85"/>
      <c r="AM299" s="85"/>
      <c r="AN299" s="85"/>
    </row>
    <row r="300" spans="2:40" x14ac:dyDescent="0.3">
      <c r="D300" s="59" t="s">
        <v>120</v>
      </c>
      <c r="E300">
        <v>308.26600000000002</v>
      </c>
      <c r="F300">
        <v>141.922</v>
      </c>
      <c r="G300">
        <v>211.43899999999999</v>
      </c>
      <c r="H300">
        <v>228.458</v>
      </c>
      <c r="I300">
        <v>201.495</v>
      </c>
      <c r="J300">
        <v>370.892</v>
      </c>
      <c r="K300">
        <v>308.12900000000002</v>
      </c>
      <c r="L300">
        <v>612.08500000000004</v>
      </c>
      <c r="M300">
        <v>490.10199999999998</v>
      </c>
      <c r="N300">
        <v>651.42700000000002</v>
      </c>
      <c r="O300">
        <v>246.78200000000001</v>
      </c>
      <c r="P300">
        <v>237.626</v>
      </c>
      <c r="Q300">
        <v>107.584</v>
      </c>
      <c r="R300" t="s">
        <v>2</v>
      </c>
      <c r="AA300" s="59"/>
      <c r="AB300" s="85"/>
      <c r="AC300" s="85"/>
      <c r="AD300" s="85"/>
      <c r="AE300" s="85"/>
      <c r="AF300" s="85"/>
      <c r="AG300" s="85"/>
      <c r="AH300" s="85"/>
      <c r="AI300" s="85"/>
      <c r="AJ300" s="85"/>
      <c r="AK300" s="85"/>
      <c r="AL300" s="85"/>
      <c r="AM300" s="85"/>
      <c r="AN300" s="85"/>
    </row>
    <row r="301" spans="2:40" x14ac:dyDescent="0.3">
      <c r="D301" s="59" t="s">
        <v>122</v>
      </c>
      <c r="E301">
        <v>87.024000000000001</v>
      </c>
      <c r="F301">
        <v>55.576999999999998</v>
      </c>
      <c r="G301">
        <v>90.775999999999996</v>
      </c>
      <c r="H301">
        <v>1591.65</v>
      </c>
      <c r="I301">
        <v>182.04900000000001</v>
      </c>
      <c r="J301">
        <v>636.70000000000005</v>
      </c>
      <c r="K301">
        <v>239.066</v>
      </c>
      <c r="L301">
        <v>1308.7829999999999</v>
      </c>
      <c r="M301">
        <v>51.097999999999999</v>
      </c>
      <c r="N301">
        <v>31.984000000000002</v>
      </c>
      <c r="O301">
        <v>1.6679999999999999</v>
      </c>
      <c r="P301">
        <v>25.577999999999999</v>
      </c>
      <c r="Q301">
        <v>12.996</v>
      </c>
      <c r="R301" t="s">
        <v>2</v>
      </c>
      <c r="AA301" s="59"/>
      <c r="AB301" s="85"/>
      <c r="AC301" s="85"/>
      <c r="AD301" s="85"/>
      <c r="AE301" s="85"/>
      <c r="AF301" s="85"/>
      <c r="AG301" s="85"/>
      <c r="AH301" s="85"/>
      <c r="AI301" s="85"/>
      <c r="AJ301" s="85"/>
      <c r="AK301" s="85"/>
      <c r="AL301" s="85"/>
      <c r="AM301" s="85"/>
      <c r="AN301" s="85"/>
    </row>
    <row r="302" spans="2:40" x14ac:dyDescent="0.3">
      <c r="D302" s="59" t="s">
        <v>124</v>
      </c>
      <c r="E302" t="s">
        <v>2</v>
      </c>
      <c r="F302">
        <v>566.73299999999995</v>
      </c>
      <c r="G302">
        <v>144.16900000000001</v>
      </c>
      <c r="H302">
        <v>200.31700000000001</v>
      </c>
      <c r="I302">
        <v>226.21700000000001</v>
      </c>
      <c r="J302">
        <v>437.86399999999998</v>
      </c>
      <c r="K302">
        <v>222.56700000000001</v>
      </c>
      <c r="L302">
        <v>583.31600000000003</v>
      </c>
      <c r="M302">
        <v>700.44899999999996</v>
      </c>
      <c r="N302">
        <v>853.99</v>
      </c>
      <c r="O302">
        <v>290.08300000000003</v>
      </c>
      <c r="P302">
        <v>266.96800000000002</v>
      </c>
      <c r="Q302">
        <v>296.34199999999998</v>
      </c>
      <c r="R302" t="s">
        <v>2</v>
      </c>
      <c r="AA302" s="59"/>
      <c r="AB302" s="85"/>
      <c r="AC302" s="85"/>
      <c r="AD302" s="85"/>
      <c r="AE302" s="85"/>
      <c r="AF302" s="85"/>
      <c r="AG302" s="85"/>
      <c r="AH302" s="85"/>
      <c r="AI302" s="85"/>
      <c r="AJ302" s="85"/>
      <c r="AK302" s="85"/>
      <c r="AL302" s="85"/>
      <c r="AM302" s="85"/>
      <c r="AN302" s="85"/>
    </row>
    <row r="303" spans="2:40" x14ac:dyDescent="0.3">
      <c r="D303" s="59" t="s">
        <v>126</v>
      </c>
      <c r="E303" t="s">
        <v>2</v>
      </c>
      <c r="F303">
        <v>52.606000000000002</v>
      </c>
      <c r="G303">
        <v>65.397999999999996</v>
      </c>
      <c r="H303">
        <v>141.661</v>
      </c>
      <c r="I303">
        <v>108.307</v>
      </c>
      <c r="J303">
        <v>385.11399999999998</v>
      </c>
      <c r="K303">
        <v>312.58499999999998</v>
      </c>
      <c r="L303">
        <v>192.79</v>
      </c>
      <c r="M303">
        <v>230.99799999999999</v>
      </c>
      <c r="N303">
        <v>650.68600000000004</v>
      </c>
      <c r="O303">
        <v>346.76900000000001</v>
      </c>
      <c r="P303">
        <v>336.798</v>
      </c>
      <c r="Q303">
        <v>279.05500000000001</v>
      </c>
      <c r="R303" t="s">
        <v>2</v>
      </c>
      <c r="AA303" s="59"/>
      <c r="AB303" s="85"/>
      <c r="AC303" s="85"/>
      <c r="AD303" s="85"/>
      <c r="AE303" s="85"/>
      <c r="AF303" s="85"/>
      <c r="AG303" s="85"/>
      <c r="AH303" s="85"/>
      <c r="AI303" s="85"/>
      <c r="AJ303" s="85"/>
      <c r="AK303" s="85"/>
      <c r="AL303" s="85"/>
      <c r="AM303" s="85"/>
      <c r="AN303" s="85"/>
    </row>
    <row r="304" spans="2:40" x14ac:dyDescent="0.3">
      <c r="D304" s="59" t="s">
        <v>130</v>
      </c>
      <c r="E304" t="s">
        <v>2</v>
      </c>
      <c r="F304">
        <v>111.952</v>
      </c>
      <c r="G304">
        <v>124.834</v>
      </c>
      <c r="H304">
        <v>137.80699999999999</v>
      </c>
      <c r="I304">
        <v>140.75399999999999</v>
      </c>
      <c r="J304">
        <v>139.69800000000001</v>
      </c>
      <c r="K304">
        <v>208.054</v>
      </c>
      <c r="L304">
        <v>122.145</v>
      </c>
      <c r="M304">
        <v>76.287000000000006</v>
      </c>
      <c r="N304">
        <v>163.946</v>
      </c>
      <c r="O304">
        <v>68.5</v>
      </c>
      <c r="P304">
        <v>138.845</v>
      </c>
      <c r="Q304">
        <v>142.499</v>
      </c>
      <c r="R304" t="s">
        <v>2</v>
      </c>
      <c r="AA304" s="59"/>
      <c r="AB304" s="85"/>
      <c r="AC304" s="85"/>
      <c r="AD304" s="85"/>
      <c r="AE304" s="85"/>
      <c r="AF304" s="85"/>
      <c r="AG304" s="85"/>
      <c r="AH304" s="85"/>
      <c r="AI304" s="85"/>
      <c r="AJ304" s="85"/>
      <c r="AK304" s="85"/>
      <c r="AL304" s="85"/>
      <c r="AM304" s="85"/>
      <c r="AN304" s="85"/>
    </row>
    <row r="305" spans="2:42" x14ac:dyDescent="0.3">
      <c r="D305" s="59" t="s">
        <v>128</v>
      </c>
      <c r="E305">
        <v>241.816</v>
      </c>
      <c r="F305">
        <v>407.28199999999998</v>
      </c>
      <c r="G305">
        <v>147.99199999999999</v>
      </c>
      <c r="H305">
        <v>187.584</v>
      </c>
      <c r="I305">
        <v>210.35499999999999</v>
      </c>
      <c r="J305">
        <v>424.66500000000002</v>
      </c>
      <c r="K305">
        <v>198.35</v>
      </c>
      <c r="L305">
        <v>345.43299999999999</v>
      </c>
      <c r="M305">
        <v>203.68100000000001</v>
      </c>
      <c r="N305">
        <v>534.73800000000006</v>
      </c>
      <c r="O305">
        <v>335.01400000000001</v>
      </c>
      <c r="P305">
        <v>303.18099999999998</v>
      </c>
      <c r="Q305">
        <v>184.619</v>
      </c>
      <c r="R305" t="s">
        <v>2</v>
      </c>
      <c r="AA305" s="59"/>
      <c r="AB305" s="85"/>
      <c r="AC305" s="85"/>
      <c r="AD305" s="85"/>
      <c r="AE305" s="85"/>
      <c r="AF305" s="85"/>
      <c r="AG305" s="85"/>
      <c r="AH305" s="85"/>
      <c r="AI305" s="85"/>
      <c r="AJ305" s="85"/>
      <c r="AK305" s="85"/>
      <c r="AL305" s="85"/>
      <c r="AM305" s="85"/>
      <c r="AN305" s="85"/>
    </row>
    <row r="306" spans="2:42" x14ac:dyDescent="0.3">
      <c r="D306" s="59" t="s">
        <v>132</v>
      </c>
      <c r="E306" t="s">
        <v>2</v>
      </c>
      <c r="F306">
        <v>27.876999999999999</v>
      </c>
      <c r="G306">
        <v>26.004000000000001</v>
      </c>
      <c r="H306">
        <v>12.824</v>
      </c>
      <c r="I306">
        <v>40.347999999999999</v>
      </c>
      <c r="J306">
        <v>77.777000000000001</v>
      </c>
      <c r="K306">
        <v>121.955</v>
      </c>
      <c r="L306">
        <v>173.04300000000001</v>
      </c>
      <c r="M306">
        <v>180.07900000000001</v>
      </c>
      <c r="N306">
        <v>1100.6659999999999</v>
      </c>
      <c r="O306">
        <v>152.81399999999999</v>
      </c>
      <c r="P306">
        <v>157.93700000000001</v>
      </c>
      <c r="Q306">
        <v>158.464</v>
      </c>
      <c r="R306" t="s">
        <v>2</v>
      </c>
      <c r="AA306" s="59"/>
      <c r="AB306" s="85"/>
      <c r="AC306" s="85"/>
      <c r="AD306" s="85"/>
      <c r="AE306" s="85"/>
      <c r="AF306" s="85"/>
      <c r="AG306" s="85"/>
      <c r="AH306" s="85"/>
      <c r="AI306" s="85"/>
      <c r="AJ306" s="85"/>
      <c r="AK306" s="85"/>
      <c r="AL306" s="85"/>
      <c r="AM306" s="85"/>
      <c r="AN306" s="85"/>
    </row>
    <row r="307" spans="2:42" x14ac:dyDescent="0.3">
      <c r="D307" s="59" t="s">
        <v>134</v>
      </c>
      <c r="E307" t="s">
        <v>2</v>
      </c>
      <c r="F307">
        <v>3.7909999999999999</v>
      </c>
      <c r="G307">
        <v>77.22</v>
      </c>
      <c r="H307">
        <v>750.995</v>
      </c>
      <c r="I307">
        <v>66.146000000000001</v>
      </c>
      <c r="J307">
        <v>448.27600000000001</v>
      </c>
      <c r="K307">
        <v>224.977</v>
      </c>
      <c r="L307">
        <v>98.694999999999993</v>
      </c>
      <c r="M307">
        <v>57.295999999999999</v>
      </c>
      <c r="N307">
        <v>68.444999999999993</v>
      </c>
      <c r="O307">
        <v>64.843999999999994</v>
      </c>
      <c r="P307">
        <v>109.732</v>
      </c>
      <c r="Q307">
        <v>51.029000000000003</v>
      </c>
      <c r="R307" t="s">
        <v>2</v>
      </c>
      <c r="AA307" s="59"/>
      <c r="AB307" s="85"/>
      <c r="AC307" s="85"/>
      <c r="AD307" s="85"/>
      <c r="AE307" s="85"/>
      <c r="AF307" s="85"/>
      <c r="AG307" s="85"/>
      <c r="AH307" s="85"/>
      <c r="AI307" s="85"/>
      <c r="AJ307" s="85"/>
      <c r="AK307" s="85"/>
      <c r="AL307" s="85"/>
      <c r="AM307" s="85"/>
      <c r="AN307" s="85"/>
    </row>
    <row r="308" spans="2:42" x14ac:dyDescent="0.3">
      <c r="D308" s="59"/>
      <c r="E308" s="85"/>
      <c r="F308" s="85"/>
      <c r="G308" s="85"/>
      <c r="H308" s="85"/>
      <c r="I308" s="85"/>
      <c r="J308" s="85"/>
      <c r="K308" s="85"/>
      <c r="L308" s="85"/>
      <c r="M308" s="85"/>
      <c r="N308" s="85"/>
      <c r="O308" s="85"/>
      <c r="P308" s="85"/>
      <c r="Q308" s="85"/>
      <c r="AA308" s="59"/>
      <c r="AB308" s="85"/>
      <c r="AC308" s="85"/>
      <c r="AD308" s="85"/>
      <c r="AE308" s="85"/>
      <c r="AF308" s="85"/>
      <c r="AG308" s="85"/>
      <c r="AH308" s="85"/>
      <c r="AI308" s="85"/>
      <c r="AJ308" s="85"/>
      <c r="AK308" s="85"/>
      <c r="AL308" s="85"/>
      <c r="AM308" s="85"/>
      <c r="AN308" s="85"/>
    </row>
    <row r="309" spans="2:42" x14ac:dyDescent="0.3">
      <c r="E309" s="91">
        <f t="shared" ref="E309:Q309" si="124">SUM(E298:E308)</f>
        <v>1054.3630000000001</v>
      </c>
      <c r="F309" s="91">
        <f t="shared" si="124"/>
        <v>2093.9860000000003</v>
      </c>
      <c r="G309" s="91">
        <f t="shared" si="124"/>
        <v>1422.5759999999998</v>
      </c>
      <c r="H309" s="91">
        <f t="shared" si="124"/>
        <v>3961.6659999999997</v>
      </c>
      <c r="I309" s="91">
        <f t="shared" si="124"/>
        <v>2170.58</v>
      </c>
      <c r="J309" s="91">
        <f t="shared" si="124"/>
        <v>3873.1589999999997</v>
      </c>
      <c r="K309" s="91">
        <f t="shared" si="124"/>
        <v>2924.5799999999995</v>
      </c>
      <c r="L309" s="91">
        <f t="shared" si="124"/>
        <v>4722.1929999999993</v>
      </c>
      <c r="M309" s="91">
        <f t="shared" si="124"/>
        <v>2833.7719999999999</v>
      </c>
      <c r="N309" s="91">
        <f t="shared" si="124"/>
        <v>4953.9269999999997</v>
      </c>
      <c r="O309" s="91">
        <f t="shared" si="124"/>
        <v>2363.0789999999997</v>
      </c>
      <c r="P309" s="91">
        <f t="shared" si="124"/>
        <v>4568.4169999999995</v>
      </c>
      <c r="Q309" s="91">
        <f t="shared" si="124"/>
        <v>2551.2330000000002</v>
      </c>
      <c r="AB309" s="91"/>
      <c r="AC309" s="91"/>
      <c r="AD309" s="91"/>
      <c r="AE309" s="91"/>
      <c r="AF309" s="91"/>
      <c r="AG309" s="91"/>
      <c r="AH309" s="91"/>
      <c r="AI309" s="91"/>
      <c r="AJ309" s="91"/>
      <c r="AK309" s="91"/>
      <c r="AL309" s="91"/>
      <c r="AM309" s="91"/>
      <c r="AN309" s="91"/>
    </row>
    <row r="310" spans="2:42" x14ac:dyDescent="0.3">
      <c r="I310" s="15">
        <f t="shared" ref="I310:Q310" si="125">I309/E309-1</f>
        <v>1.0586648051951744</v>
      </c>
      <c r="J310" s="15">
        <f t="shared" si="125"/>
        <v>0.84965849819435224</v>
      </c>
      <c r="K310" s="15">
        <f t="shared" si="125"/>
        <v>1.055833923811452</v>
      </c>
      <c r="L310" s="15">
        <f t="shared" si="125"/>
        <v>0.19197150895608051</v>
      </c>
      <c r="M310" s="15">
        <f t="shared" si="125"/>
        <v>0.30553676897419124</v>
      </c>
      <c r="N310" s="15">
        <f t="shared" si="125"/>
        <v>0.27904044218169211</v>
      </c>
      <c r="O310" s="15">
        <f t="shared" si="125"/>
        <v>-0.19199372217549182</v>
      </c>
      <c r="P310" s="15">
        <f t="shared" si="125"/>
        <v>-3.256453092874434E-2</v>
      </c>
      <c r="Q310" s="15">
        <f t="shared" si="125"/>
        <v>-9.9704210501056489E-2</v>
      </c>
      <c r="AF310" s="15"/>
      <c r="AG310" s="15"/>
      <c r="AH310" s="15"/>
      <c r="AI310" s="15"/>
      <c r="AJ310" s="15"/>
      <c r="AK310" s="15"/>
      <c r="AL310" s="15"/>
      <c r="AM310" s="15"/>
      <c r="AN310" s="15"/>
    </row>
    <row r="311" spans="2:42" x14ac:dyDescent="0.3">
      <c r="T311" s="85"/>
    </row>
    <row r="314" spans="2:42" x14ac:dyDescent="0.3">
      <c r="B314" t="e">
        <f ca="1">TR($B$85:$B$95,"TR.InterestBearingDeposits(Scale=6)","Period=FY0 Frq=FY SDate=0 EDate=-12 Curn=SAR CH=Fd;periodenddate RH=IN SORTA=periodenddate",D314)</f>
        <v>#NAME?</v>
      </c>
      <c r="E314" t="s">
        <v>172</v>
      </c>
      <c r="F314" t="s">
        <v>172</v>
      </c>
      <c r="G314" t="s">
        <v>172</v>
      </c>
      <c r="H314" t="s">
        <v>172</v>
      </c>
      <c r="I314" t="s">
        <v>172</v>
      </c>
      <c r="J314" t="s">
        <v>172</v>
      </c>
      <c r="K314" t="s">
        <v>172</v>
      </c>
      <c r="L314" t="s">
        <v>172</v>
      </c>
      <c r="M314" t="s">
        <v>172</v>
      </c>
      <c r="N314" t="s">
        <v>172</v>
      </c>
      <c r="O314" t="s">
        <v>172</v>
      </c>
      <c r="P314" t="s">
        <v>172</v>
      </c>
      <c r="Q314" t="s">
        <v>172</v>
      </c>
      <c r="Y314" t="e">
        <f ca="1">TR($B$85:$B$95,"TR.InterestBearingDeposits(Scale=6)","Period=FQ0 Frq=FQ SDate=0 EDate=-7 Curn=SAR CH=Fd;periodenddate RH=IN SORTA=periodenddate NULL=Blank",AA314)</f>
        <v>#NAME?</v>
      </c>
      <c r="AB314" t="s">
        <v>172</v>
      </c>
      <c r="AC314" t="s">
        <v>172</v>
      </c>
      <c r="AD314" t="s">
        <v>172</v>
      </c>
      <c r="AE314" t="s">
        <v>172</v>
      </c>
      <c r="AF314" t="s">
        <v>172</v>
      </c>
      <c r="AG314" t="s">
        <v>172</v>
      </c>
      <c r="AH314" t="s">
        <v>172</v>
      </c>
      <c r="AI314" t="s">
        <v>172</v>
      </c>
    </row>
    <row r="315" spans="2:42" x14ac:dyDescent="0.3">
      <c r="E315" s="58">
        <v>39813</v>
      </c>
      <c r="F315" s="58">
        <v>40178</v>
      </c>
      <c r="G315" s="58">
        <v>40543</v>
      </c>
      <c r="H315" s="58">
        <v>40908</v>
      </c>
      <c r="I315" s="58">
        <v>41274</v>
      </c>
      <c r="J315" s="58">
        <v>41639</v>
      </c>
      <c r="K315" s="58">
        <v>42004</v>
      </c>
      <c r="L315" s="58">
        <v>42369</v>
      </c>
      <c r="M315" s="58">
        <v>42735</v>
      </c>
      <c r="N315" s="58">
        <v>43100</v>
      </c>
      <c r="O315" s="58">
        <v>43465</v>
      </c>
      <c r="P315" s="58">
        <v>43830</v>
      </c>
      <c r="Q315" s="58">
        <v>44196</v>
      </c>
      <c r="R315" t="s">
        <v>157</v>
      </c>
      <c r="AB315" s="58">
        <v>43830</v>
      </c>
      <c r="AC315" s="58">
        <v>43921</v>
      </c>
      <c r="AD315" s="58">
        <v>44012</v>
      </c>
      <c r="AE315" s="58">
        <v>44104</v>
      </c>
      <c r="AF315" s="58">
        <v>44196</v>
      </c>
      <c r="AG315" s="58">
        <v>44286</v>
      </c>
      <c r="AH315" s="58">
        <v>44377</v>
      </c>
      <c r="AI315" s="58">
        <v>44469</v>
      </c>
    </row>
    <row r="316" spans="2:42" x14ac:dyDescent="0.3">
      <c r="D316" s="59" t="s">
        <v>115</v>
      </c>
      <c r="E316" s="2" t="s">
        <v>2</v>
      </c>
      <c r="F316" s="2" t="s">
        <v>2</v>
      </c>
      <c r="G316" s="2" t="s">
        <v>2</v>
      </c>
      <c r="H316" s="2" t="s">
        <v>2</v>
      </c>
      <c r="I316" s="2">
        <v>219998.15599999999</v>
      </c>
      <c r="J316" s="2">
        <v>230638.33499999999</v>
      </c>
      <c r="K316" s="2">
        <v>253439.91200000001</v>
      </c>
      <c r="L316" s="2">
        <v>255935.86</v>
      </c>
      <c r="M316" s="2">
        <v>276270.37099999998</v>
      </c>
      <c r="N316" s="2">
        <v>273169.598</v>
      </c>
      <c r="O316" s="2">
        <v>294395.69099999999</v>
      </c>
      <c r="P316" s="2">
        <v>308645.68099999998</v>
      </c>
      <c r="Q316" s="2">
        <v>381353.85399999999</v>
      </c>
      <c r="R316" s="2">
        <f>AI316*(1+AVERAGE(AL316:AP316))</f>
        <v>523433.55498582427</v>
      </c>
      <c r="AA316" s="59" t="s">
        <v>115</v>
      </c>
      <c r="AB316">
        <v>308645.68099999998</v>
      </c>
      <c r="AC316">
        <v>315331.01400000002</v>
      </c>
      <c r="AD316">
        <v>337192.527</v>
      </c>
      <c r="AE316">
        <v>349248.48200000002</v>
      </c>
      <c r="AF316">
        <v>381353.85399999999</v>
      </c>
      <c r="AG316">
        <v>423539.18699999998</v>
      </c>
      <c r="AH316">
        <v>454969.06300000002</v>
      </c>
      <c r="AI316">
        <v>486296.33399999997</v>
      </c>
      <c r="AK316" s="50">
        <f t="shared" ref="AK316:AK325" si="126">AC316/AB316-1</f>
        <v>2.1660218857882052E-2</v>
      </c>
      <c r="AL316" s="50">
        <f t="shared" ref="AL316:AL325" si="127">AD316/AC316-1</f>
        <v>6.932877525329606E-2</v>
      </c>
      <c r="AM316" s="50">
        <f t="shared" ref="AM316:AM325" si="128">AE316/AD316-1</f>
        <v>3.5753921082598561E-2</v>
      </c>
      <c r="AN316" s="50">
        <f t="shared" ref="AN316:AN325" si="129">AF316/AE316-1</f>
        <v>9.1927019456594206E-2</v>
      </c>
      <c r="AO316" s="50">
        <f t="shared" ref="AO316:AO325" si="130">AG316/AF316-1</f>
        <v>0.11061992046893021</v>
      </c>
      <c r="AP316" s="50">
        <f t="shared" ref="AP316:AP325" si="131">AH316/AG316-1</f>
        <v>7.4207716699423276E-2</v>
      </c>
    </row>
    <row r="317" spans="2:42" x14ac:dyDescent="0.3">
      <c r="D317" s="59" t="s">
        <v>118</v>
      </c>
      <c r="E317" s="2" t="s">
        <v>2</v>
      </c>
      <c r="F317" s="2" t="s">
        <v>2</v>
      </c>
      <c r="G317" s="2" t="s">
        <v>2</v>
      </c>
      <c r="H317" s="2" t="s">
        <v>2</v>
      </c>
      <c r="I317" s="2" t="s">
        <v>2</v>
      </c>
      <c r="J317" s="2" t="s">
        <v>2</v>
      </c>
      <c r="K317" s="2">
        <v>67186.313999999998</v>
      </c>
      <c r="L317" s="2">
        <v>76326.682000000001</v>
      </c>
      <c r="M317" s="2">
        <v>79172.176999999996</v>
      </c>
      <c r="N317" s="2">
        <v>63544.639000000003</v>
      </c>
      <c r="O317" s="2">
        <v>60811.864999999998</v>
      </c>
      <c r="P317" s="2">
        <v>96168.944000000003</v>
      </c>
      <c r="Q317" s="2">
        <v>87387.659</v>
      </c>
      <c r="R317" s="2">
        <f>AI317*(1+AVERAGE(AL317:AP317))</f>
        <v>136279.76231330427</v>
      </c>
      <c r="AA317" s="59" t="s">
        <v>118</v>
      </c>
      <c r="AC317">
        <v>72288.797000000006</v>
      </c>
      <c r="AD317">
        <v>72594.899000000005</v>
      </c>
      <c r="AE317">
        <v>96195.013999999996</v>
      </c>
      <c r="AF317">
        <v>82930.812000000005</v>
      </c>
      <c r="AG317">
        <v>71653.157000000007</v>
      </c>
      <c r="AH317">
        <v>113057.611</v>
      </c>
      <c r="AI317">
        <v>120959.174</v>
      </c>
      <c r="AK317" s="50" t="e">
        <f t="shared" si="126"/>
        <v>#DIV/0!</v>
      </c>
      <c r="AL317" s="50">
        <f t="shared" si="127"/>
        <v>4.2344320655938184E-3</v>
      </c>
      <c r="AM317" s="50">
        <f t="shared" si="128"/>
        <v>0.32509329615569804</v>
      </c>
      <c r="AN317" s="50">
        <f t="shared" si="129"/>
        <v>-0.13788866437505787</v>
      </c>
      <c r="AO317" s="50">
        <f t="shared" si="130"/>
        <v>-0.13598872033231746</v>
      </c>
      <c r="AP317" s="50">
        <f t="shared" si="131"/>
        <v>0.57784549534921381</v>
      </c>
    </row>
    <row r="318" spans="2:42" x14ac:dyDescent="0.3">
      <c r="D318" s="59" t="s">
        <v>120</v>
      </c>
      <c r="E318" s="2" t="s">
        <v>2</v>
      </c>
      <c r="F318" s="2" t="s">
        <v>2</v>
      </c>
      <c r="G318" s="2" t="s">
        <v>2</v>
      </c>
      <c r="H318" s="2" t="s">
        <v>2</v>
      </c>
      <c r="I318" s="2" t="s">
        <v>2</v>
      </c>
      <c r="J318" s="2">
        <v>143847.01199999999</v>
      </c>
      <c r="K318" s="2">
        <v>155145.79300000001</v>
      </c>
      <c r="L318" s="2">
        <v>158768.85800000001</v>
      </c>
      <c r="M318" s="2">
        <v>147021.71</v>
      </c>
      <c r="N318" s="2">
        <v>143866.715</v>
      </c>
      <c r="O318" s="2">
        <v>154439.076</v>
      </c>
      <c r="P318" s="2">
        <v>175199.94500000001</v>
      </c>
      <c r="Q318" s="2">
        <v>185860.20499999999</v>
      </c>
      <c r="R318" s="2">
        <f>AI318*(1+AVERAGE(AL318:AP318))</f>
        <v>187438.01910448945</v>
      </c>
      <c r="AA318" s="59" t="s">
        <v>120</v>
      </c>
      <c r="AB318">
        <v>174348.15400000001</v>
      </c>
      <c r="AC318">
        <v>172023.59099999999</v>
      </c>
      <c r="AD318">
        <v>175219.88399999999</v>
      </c>
      <c r="AE318">
        <v>171216.11900000001</v>
      </c>
      <c r="AF318">
        <v>184890.95300000001</v>
      </c>
      <c r="AG318">
        <v>173202.10500000001</v>
      </c>
      <c r="AH318">
        <v>184039.788</v>
      </c>
      <c r="AI318">
        <v>184669.75700000001</v>
      </c>
      <c r="AK318" s="50">
        <f t="shared" si="126"/>
        <v>-1.3332879911077344E-2</v>
      </c>
      <c r="AL318" s="50">
        <f t="shared" si="127"/>
        <v>1.8580550385092209E-2</v>
      </c>
      <c r="AM318" s="50">
        <f t="shared" si="128"/>
        <v>-2.2849946641900432E-2</v>
      </c>
      <c r="AN318" s="50">
        <f t="shared" si="129"/>
        <v>7.9868846927899417E-2</v>
      </c>
      <c r="AO318" s="50">
        <f t="shared" si="130"/>
        <v>-6.3220226897743315E-2</v>
      </c>
      <c r="AP318" s="50">
        <f t="shared" si="131"/>
        <v>6.2572467003215726E-2</v>
      </c>
    </row>
    <row r="319" spans="2:42" x14ac:dyDescent="0.3">
      <c r="D319" s="59" t="s">
        <v>122</v>
      </c>
      <c r="E319" s="2">
        <v>5656.8</v>
      </c>
      <c r="F319" s="2">
        <v>5709.4870000000001</v>
      </c>
      <c r="G319" s="2">
        <v>5475.7539999999999</v>
      </c>
      <c r="H319" s="2">
        <v>3978.66</v>
      </c>
      <c r="I319" s="2">
        <v>4505.78</v>
      </c>
      <c r="J319" s="2">
        <v>139489.49299999999</v>
      </c>
      <c r="K319" s="2">
        <v>147770.22899999999</v>
      </c>
      <c r="L319" s="2">
        <v>148460.20000000001</v>
      </c>
      <c r="M319" s="2">
        <v>142471.32399999999</v>
      </c>
      <c r="N319" s="2">
        <v>142958.84899999999</v>
      </c>
      <c r="O319" s="2">
        <v>130482.97900000001</v>
      </c>
      <c r="P319" s="2">
        <v>176034.601</v>
      </c>
      <c r="Q319" s="2">
        <v>190272.00599999999</v>
      </c>
      <c r="R319" s="2">
        <f>AI319*(1+AVERAGE(AL319:AP319))</f>
        <v>178839.92007910198</v>
      </c>
      <c r="AA319" s="59" t="s">
        <v>122</v>
      </c>
      <c r="AB319">
        <v>176034.601</v>
      </c>
      <c r="AC319">
        <v>186744.58799999999</v>
      </c>
      <c r="AD319">
        <v>186900.272</v>
      </c>
      <c r="AE319">
        <v>178819.546</v>
      </c>
      <c r="AF319">
        <v>187707.20300000001</v>
      </c>
      <c r="AG319">
        <v>182429.26699999999</v>
      </c>
      <c r="AH319">
        <v>185531.36300000001</v>
      </c>
      <c r="AI319">
        <v>178976.427</v>
      </c>
      <c r="AK319" s="50">
        <f t="shared" si="126"/>
        <v>6.0840237880279036E-2</v>
      </c>
      <c r="AL319" s="50">
        <f t="shared" si="127"/>
        <v>8.3367342351037266E-4</v>
      </c>
      <c r="AM319" s="50">
        <f t="shared" si="128"/>
        <v>-4.3235496200882961E-2</v>
      </c>
      <c r="AN319" s="50">
        <f t="shared" si="129"/>
        <v>4.9701820627595206E-2</v>
      </c>
      <c r="AO319" s="50">
        <f t="shared" si="130"/>
        <v>-2.8117919374676448E-2</v>
      </c>
      <c r="AP319" s="50">
        <f t="shared" si="131"/>
        <v>1.7004376825128675E-2</v>
      </c>
    </row>
    <row r="320" spans="2:42" x14ac:dyDescent="0.3">
      <c r="D320" s="59" t="s">
        <v>124</v>
      </c>
      <c r="E320" s="2" t="s">
        <v>2</v>
      </c>
      <c r="F320" s="2" t="s">
        <v>2</v>
      </c>
      <c r="G320" s="2" t="s">
        <v>2</v>
      </c>
      <c r="H320" s="2" t="s">
        <v>2</v>
      </c>
      <c r="I320" s="2" t="s">
        <v>2</v>
      </c>
      <c r="J320" s="2">
        <v>45508.718999999997</v>
      </c>
      <c r="K320" s="2">
        <v>38652.978000000003</v>
      </c>
      <c r="L320" s="2">
        <v>47842.798000000003</v>
      </c>
      <c r="M320" s="2">
        <v>66291.290999999997</v>
      </c>
      <c r="N320" s="2">
        <v>65146.533000000003</v>
      </c>
      <c r="O320" s="2">
        <v>76229.88</v>
      </c>
      <c r="P320" s="2">
        <v>60070.762999999999</v>
      </c>
      <c r="Q320" s="2">
        <v>41195.341999999997</v>
      </c>
      <c r="R320" s="2">
        <f>AI320*(1+AVERAGE(AL320:AP320))</f>
        <v>49941.618455618147</v>
      </c>
      <c r="AA320" s="59" t="s">
        <v>124</v>
      </c>
      <c r="AC320">
        <v>63053.167000000001</v>
      </c>
      <c r="AD320">
        <v>54405.233</v>
      </c>
      <c r="AE320">
        <v>50925.571000000004</v>
      </c>
      <c r="AF320">
        <v>41195.341999999997</v>
      </c>
      <c r="AG320">
        <v>43054.023000000001</v>
      </c>
      <c r="AH320">
        <v>46308.815000000002</v>
      </c>
      <c r="AI320">
        <v>52808.735000000001</v>
      </c>
      <c r="AK320" s="50" t="e">
        <f t="shared" si="126"/>
        <v>#DIV/0!</v>
      </c>
      <c r="AL320" s="50">
        <f t="shared" si="127"/>
        <v>-0.13715304736398093</v>
      </c>
      <c r="AM320" s="50">
        <f t="shared" si="128"/>
        <v>-6.3958222548187504E-2</v>
      </c>
      <c r="AN320" s="50">
        <f t="shared" si="129"/>
        <v>-0.19106764654636876</v>
      </c>
      <c r="AO320" s="50">
        <f t="shared" si="130"/>
        <v>4.5118717548212173E-2</v>
      </c>
      <c r="AP320" s="50">
        <f t="shared" si="131"/>
        <v>7.5597859925888855E-2</v>
      </c>
    </row>
    <row r="321" spans="4:42" x14ac:dyDescent="0.3">
      <c r="D321" s="59" t="s">
        <v>126</v>
      </c>
      <c r="E321" s="2" t="s">
        <v>2</v>
      </c>
      <c r="F321" s="2" t="s">
        <v>2</v>
      </c>
      <c r="G321" s="2" t="s">
        <v>2</v>
      </c>
      <c r="H321" s="2" t="s">
        <v>2</v>
      </c>
      <c r="I321" s="2" t="s">
        <v>2</v>
      </c>
      <c r="J321" s="2" t="s">
        <v>2</v>
      </c>
      <c r="K321" s="2" t="s">
        <v>2</v>
      </c>
      <c r="L321" s="2" t="s">
        <v>2</v>
      </c>
      <c r="M321" s="2" t="s">
        <v>2</v>
      </c>
      <c r="N321" s="2" t="s">
        <v>2</v>
      </c>
      <c r="O321" s="2" t="s">
        <v>2</v>
      </c>
      <c r="P321" s="2" t="s">
        <v>2</v>
      </c>
      <c r="Q321" s="2" t="s">
        <v>2</v>
      </c>
      <c r="R321" s="2"/>
      <c r="AA321" s="59" t="s">
        <v>126</v>
      </c>
      <c r="AK321" s="50" t="e">
        <f t="shared" si="126"/>
        <v>#DIV/0!</v>
      </c>
      <c r="AL321" s="50" t="e">
        <f t="shared" si="127"/>
        <v>#DIV/0!</v>
      </c>
      <c r="AM321" s="50" t="e">
        <f t="shared" si="128"/>
        <v>#DIV/0!</v>
      </c>
      <c r="AN321" s="50" t="e">
        <f t="shared" si="129"/>
        <v>#DIV/0!</v>
      </c>
      <c r="AO321" s="50" t="e">
        <f t="shared" si="130"/>
        <v>#DIV/0!</v>
      </c>
      <c r="AP321" s="50" t="e">
        <f t="shared" si="131"/>
        <v>#DIV/0!</v>
      </c>
    </row>
    <row r="322" spans="4:42" x14ac:dyDescent="0.3">
      <c r="D322" s="59" t="s">
        <v>130</v>
      </c>
      <c r="E322" s="2" t="s">
        <v>2</v>
      </c>
      <c r="F322" s="2" t="s">
        <v>2</v>
      </c>
      <c r="G322" s="2" t="s">
        <v>2</v>
      </c>
      <c r="H322" s="2" t="s">
        <v>2</v>
      </c>
      <c r="I322" s="2" t="s">
        <v>2</v>
      </c>
      <c r="J322" s="2">
        <v>29441.412</v>
      </c>
      <c r="K322" s="2">
        <v>37099.535000000003</v>
      </c>
      <c r="L322" s="2">
        <v>42702.883000000002</v>
      </c>
      <c r="M322" s="2">
        <v>40405.695</v>
      </c>
      <c r="N322" s="2">
        <v>48625.381999999998</v>
      </c>
      <c r="O322" s="2">
        <v>59196.464999999997</v>
      </c>
      <c r="P322" s="2">
        <v>65441.228000000003</v>
      </c>
      <c r="Q322" s="2">
        <v>69507.466</v>
      </c>
      <c r="R322" s="2">
        <f>AI322*(1+AVERAGE(AL322:AP322))</f>
        <v>82224.265544527647</v>
      </c>
      <c r="AA322" s="59" t="s">
        <v>130</v>
      </c>
      <c r="AC322">
        <v>66639.554000000004</v>
      </c>
      <c r="AD322">
        <v>63112.06</v>
      </c>
      <c r="AE322">
        <v>66988.512000000002</v>
      </c>
      <c r="AF322">
        <v>69507.466</v>
      </c>
      <c r="AG322">
        <v>74318.176999999996</v>
      </c>
      <c r="AH322">
        <v>78833.942999999999</v>
      </c>
      <c r="AI322">
        <v>79427.395000000004</v>
      </c>
      <c r="AK322" s="50" t="e">
        <f t="shared" si="126"/>
        <v>#DIV/0!</v>
      </c>
      <c r="AL322" s="50">
        <f t="shared" si="127"/>
        <v>-5.2933937703124601E-2</v>
      </c>
      <c r="AM322" s="50">
        <f t="shared" si="128"/>
        <v>6.1421731440868932E-2</v>
      </c>
      <c r="AN322" s="50">
        <f t="shared" si="129"/>
        <v>3.7602775831175217E-2</v>
      </c>
      <c r="AO322" s="50">
        <f t="shared" si="130"/>
        <v>6.9211428309010614E-2</v>
      </c>
      <c r="AP322" s="50">
        <f t="shared" si="131"/>
        <v>6.0762604550970156E-2</v>
      </c>
    </row>
    <row r="323" spans="4:42" x14ac:dyDescent="0.3">
      <c r="D323" s="59" t="s">
        <v>128</v>
      </c>
      <c r="E323" s="2">
        <v>61819.356</v>
      </c>
      <c r="F323" s="2">
        <v>42342.881000000001</v>
      </c>
      <c r="G323" s="2">
        <v>38939.362000000001</v>
      </c>
      <c r="H323" s="2">
        <v>38137.587</v>
      </c>
      <c r="I323" s="2">
        <v>51352.169000000002</v>
      </c>
      <c r="J323" s="2">
        <v>42947.811000000002</v>
      </c>
      <c r="K323" s="2">
        <v>54715.623</v>
      </c>
      <c r="L323" s="2">
        <v>64010.319000000003</v>
      </c>
      <c r="M323" s="2">
        <v>65096.959000000003</v>
      </c>
      <c r="N323" s="2">
        <v>58298.35</v>
      </c>
      <c r="O323" s="2">
        <v>68000.399000000005</v>
      </c>
      <c r="P323" s="2">
        <v>68534.614000000001</v>
      </c>
      <c r="Q323" s="2">
        <v>47424.341</v>
      </c>
      <c r="R323" s="2">
        <f>AI323*(1+AVERAGE(AL323:AP323))</f>
        <v>45963.91100012284</v>
      </c>
      <c r="AA323" s="59" t="s">
        <v>128</v>
      </c>
      <c r="AB323">
        <v>68534.614000000001</v>
      </c>
      <c r="AC323">
        <v>65253.089</v>
      </c>
      <c r="AD323">
        <v>58842.69</v>
      </c>
      <c r="AE323">
        <v>60011.838000000003</v>
      </c>
      <c r="AF323">
        <v>47424.341</v>
      </c>
      <c r="AG323">
        <v>48816.71</v>
      </c>
      <c r="AH323">
        <v>49493.726999999999</v>
      </c>
      <c r="AI323">
        <v>48331.089</v>
      </c>
      <c r="AK323" s="50">
        <f t="shared" si="126"/>
        <v>-4.78812793780381E-2</v>
      </c>
      <c r="AL323" s="50">
        <f t="shared" si="127"/>
        <v>-9.823901210255348E-2</v>
      </c>
      <c r="AM323" s="50">
        <f t="shared" si="128"/>
        <v>1.986904405627965E-2</v>
      </c>
      <c r="AN323" s="50">
        <f t="shared" si="129"/>
        <v>-0.20975023294570649</v>
      </c>
      <c r="AO323" s="50">
        <f t="shared" si="130"/>
        <v>2.935979648088316E-2</v>
      </c>
      <c r="AP323" s="50">
        <f t="shared" si="131"/>
        <v>1.3868550338603347E-2</v>
      </c>
    </row>
    <row r="324" spans="4:42" x14ac:dyDescent="0.3">
      <c r="D324" s="59" t="s">
        <v>132</v>
      </c>
      <c r="E324" s="2" t="s">
        <v>2</v>
      </c>
      <c r="F324" s="2" t="s">
        <v>2</v>
      </c>
      <c r="G324" s="2" t="s">
        <v>2</v>
      </c>
      <c r="H324" s="2" t="s">
        <v>2</v>
      </c>
      <c r="I324" s="2">
        <v>43118.241000000002</v>
      </c>
      <c r="J324" s="2">
        <v>50949.283000000003</v>
      </c>
      <c r="K324" s="2">
        <v>57302.978000000003</v>
      </c>
      <c r="L324" s="2">
        <v>51890.002</v>
      </c>
      <c r="M324" s="2">
        <v>54234.394999999997</v>
      </c>
      <c r="N324" s="2">
        <v>55335.218000000001</v>
      </c>
      <c r="O324" s="2">
        <v>56647.616999999998</v>
      </c>
      <c r="P324" s="2">
        <v>69062.551999999996</v>
      </c>
      <c r="Q324" s="2">
        <v>74480.260999999999</v>
      </c>
      <c r="R324" s="2">
        <f>AI324*(1+AVERAGE(AL324:AP324))</f>
        <v>74282.341949370908</v>
      </c>
      <c r="AA324" s="59" t="s">
        <v>132</v>
      </c>
      <c r="AC324">
        <v>60772.934999999998</v>
      </c>
      <c r="AD324">
        <v>61712.595999999998</v>
      </c>
      <c r="AE324">
        <v>61137.343999999997</v>
      </c>
      <c r="AF324">
        <v>66239.213000000003</v>
      </c>
      <c r="AG324">
        <v>68833.679000000004</v>
      </c>
      <c r="AH324">
        <v>68761.505000000005</v>
      </c>
      <c r="AI324">
        <v>72432.286999999997</v>
      </c>
      <c r="AK324" s="50" t="e">
        <f t="shared" si="126"/>
        <v>#DIV/0!</v>
      </c>
      <c r="AL324" s="50">
        <f t="shared" si="127"/>
        <v>1.5461833462543817E-2</v>
      </c>
      <c r="AM324" s="50">
        <f t="shared" si="128"/>
        <v>-9.3214681813094113E-3</v>
      </c>
      <c r="AN324" s="50">
        <f t="shared" si="129"/>
        <v>8.3449307186128419E-2</v>
      </c>
      <c r="AO324" s="50">
        <f t="shared" si="130"/>
        <v>3.9168128401525504E-2</v>
      </c>
      <c r="AP324" s="50">
        <f t="shared" si="131"/>
        <v>-1.048527422164991E-3</v>
      </c>
    </row>
    <row r="325" spans="4:42" x14ac:dyDescent="0.3">
      <c r="D325" s="59" t="s">
        <v>134</v>
      </c>
      <c r="E325" s="2" t="s">
        <v>2</v>
      </c>
      <c r="F325" s="2" t="s">
        <v>2</v>
      </c>
      <c r="G325" s="2" t="s">
        <v>2</v>
      </c>
      <c r="H325" s="2" t="s">
        <v>2</v>
      </c>
      <c r="I325" s="2" t="s">
        <v>2</v>
      </c>
      <c r="J325" s="2">
        <v>61525.682000000001</v>
      </c>
      <c r="K325" s="2">
        <v>72178.856</v>
      </c>
      <c r="L325" s="2">
        <v>70922.426999999996</v>
      </c>
      <c r="M325" s="2">
        <v>69551.551000000007</v>
      </c>
      <c r="N325" s="2">
        <v>70726.990999999995</v>
      </c>
      <c r="O325" s="2">
        <v>67645.650999999998</v>
      </c>
      <c r="P325" s="2">
        <v>70999.305999999997</v>
      </c>
      <c r="Q325" s="2">
        <v>65645.282999999996</v>
      </c>
      <c r="R325" s="2">
        <f>AI325*(1+AVERAGE(AL325:AP325))</f>
        <v>66387.825708276374</v>
      </c>
      <c r="AA325" s="59" t="s">
        <v>134</v>
      </c>
      <c r="AB325">
        <v>67534.126000000004</v>
      </c>
      <c r="AC325">
        <v>66204.433000000005</v>
      </c>
      <c r="AD325">
        <v>62621.379000000001</v>
      </c>
      <c r="AE325">
        <v>66925.407999999996</v>
      </c>
      <c r="AF325">
        <v>65645.282999999996</v>
      </c>
      <c r="AG325">
        <v>61787.796999999999</v>
      </c>
      <c r="AH325">
        <v>66009.974000000002</v>
      </c>
      <c r="AI325">
        <v>66320.798999999999</v>
      </c>
      <c r="AK325" s="50">
        <f t="shared" si="126"/>
        <v>-1.9689201278772717E-2</v>
      </c>
      <c r="AL325" s="50">
        <f t="shared" si="127"/>
        <v>-5.4121058630620777E-2</v>
      </c>
      <c r="AM325" s="50">
        <f t="shared" si="128"/>
        <v>6.8730984030230147E-2</v>
      </c>
      <c r="AN325" s="50">
        <f t="shared" si="129"/>
        <v>-1.9127638340284747E-2</v>
      </c>
      <c r="AO325" s="50">
        <f t="shared" si="130"/>
        <v>-5.876257704609178E-2</v>
      </c>
      <c r="AP325" s="50">
        <f t="shared" si="131"/>
        <v>6.8333509285013028E-2</v>
      </c>
    </row>
    <row r="326" spans="4:42" x14ac:dyDescent="0.3">
      <c r="E326" s="62">
        <f t="shared" ref="E326:R326" si="132">SUM(E316:E325)</f>
        <v>67476.156000000003</v>
      </c>
      <c r="F326" s="62">
        <f t="shared" si="132"/>
        <v>48052.368000000002</v>
      </c>
      <c r="G326" s="62">
        <f t="shared" si="132"/>
        <v>44415.116000000002</v>
      </c>
      <c r="H326" s="62">
        <f t="shared" si="132"/>
        <v>42116.247000000003</v>
      </c>
      <c r="I326" s="62">
        <f t="shared" si="132"/>
        <v>318974.34599999996</v>
      </c>
      <c r="J326" s="62">
        <f t="shared" si="132"/>
        <v>744347.74700000009</v>
      </c>
      <c r="K326" s="62">
        <f t="shared" si="132"/>
        <v>883492.21800000011</v>
      </c>
      <c r="L326" s="62">
        <f t="shared" si="132"/>
        <v>916860.0290000001</v>
      </c>
      <c r="M326" s="62">
        <f t="shared" si="132"/>
        <v>940515.47299999988</v>
      </c>
      <c r="N326" s="62">
        <f t="shared" si="132"/>
        <v>921672.27500000002</v>
      </c>
      <c r="O326" s="62">
        <f t="shared" si="132"/>
        <v>967849.62299999991</v>
      </c>
      <c r="P326" s="62">
        <f t="shared" si="132"/>
        <v>1090157.6340000001</v>
      </c>
      <c r="Q326" s="62">
        <f t="shared" si="132"/>
        <v>1143126.4169999999</v>
      </c>
      <c r="R326" s="62">
        <f t="shared" si="132"/>
        <v>1344791.2191406358</v>
      </c>
      <c r="AB326" s="62">
        <f t="shared" ref="AB326:AI326" si="133">SUM(AB316:AB325)</f>
        <v>795097.17600000009</v>
      </c>
      <c r="AC326" s="62">
        <f t="shared" si="133"/>
        <v>1068311.1680000001</v>
      </c>
      <c r="AD326" s="62">
        <f t="shared" si="133"/>
        <v>1072601.54</v>
      </c>
      <c r="AE326" s="62">
        <f t="shared" si="133"/>
        <v>1101467.834</v>
      </c>
      <c r="AF326" s="62">
        <f t="shared" si="133"/>
        <v>1126894.4669999999</v>
      </c>
      <c r="AG326" s="62">
        <f t="shared" si="133"/>
        <v>1147634.1020000002</v>
      </c>
      <c r="AH326" s="62">
        <f t="shared" si="133"/>
        <v>1247005.7889999999</v>
      </c>
      <c r="AI326" s="62">
        <f t="shared" si="133"/>
        <v>1290221.997</v>
      </c>
    </row>
    <row r="328" spans="4:42" x14ac:dyDescent="0.3">
      <c r="D328" t="s">
        <v>193</v>
      </c>
      <c r="E328" s="2">
        <f t="shared" ref="E328:R328" si="134">E232-E326</f>
        <v>767326.34000000008</v>
      </c>
      <c r="F328" s="2">
        <f t="shared" si="134"/>
        <v>818184.64500000002</v>
      </c>
      <c r="G328" s="2">
        <f t="shared" si="134"/>
        <v>879813.88199999998</v>
      </c>
      <c r="H328" s="2">
        <f t="shared" si="134"/>
        <v>985093.26799999992</v>
      </c>
      <c r="I328" s="2">
        <f t="shared" si="134"/>
        <v>871937.83400000003</v>
      </c>
      <c r="J328" s="2">
        <f t="shared" si="134"/>
        <v>536484.06999999995</v>
      </c>
      <c r="K328" s="2">
        <f t="shared" si="134"/>
        <v>550926.37300000014</v>
      </c>
      <c r="L328" s="2">
        <f t="shared" si="134"/>
        <v>531959.26799999992</v>
      </c>
      <c r="M328" s="2">
        <f t="shared" si="134"/>
        <v>527294.97400000028</v>
      </c>
      <c r="N328" s="2">
        <f t="shared" si="134"/>
        <v>511755.15900000033</v>
      </c>
      <c r="O328" s="2">
        <f t="shared" si="134"/>
        <v>526637.75000000023</v>
      </c>
      <c r="P328" s="2">
        <f t="shared" si="134"/>
        <v>556721.60800000001</v>
      </c>
      <c r="Q328" s="2">
        <f t="shared" si="134"/>
        <v>750520.02799999993</v>
      </c>
      <c r="R328" s="2">
        <f t="shared" si="134"/>
        <v>1043078.1706824354</v>
      </c>
    </row>
    <row r="329" spans="4:42" x14ac:dyDescent="0.3">
      <c r="D329" t="s">
        <v>194</v>
      </c>
      <c r="E329" s="189">
        <f t="shared" ref="E329:R329" si="135">E326/E328</f>
        <v>8.7936712820258445E-2</v>
      </c>
      <c r="F329" s="189">
        <f t="shared" si="135"/>
        <v>5.8730469086229309E-2</v>
      </c>
      <c r="G329" s="189">
        <f t="shared" si="135"/>
        <v>5.0482399640063874E-2</v>
      </c>
      <c r="H329" s="189">
        <f t="shared" si="135"/>
        <v>4.2753562904258934E-2</v>
      </c>
      <c r="I329" s="189">
        <f t="shared" si="135"/>
        <v>0.3658223482936972</v>
      </c>
      <c r="J329" s="189">
        <f t="shared" si="135"/>
        <v>1.3874554504479513</v>
      </c>
      <c r="K329" s="189">
        <f t="shared" si="135"/>
        <v>1.6036484388813237</v>
      </c>
      <c r="L329" s="189">
        <f t="shared" si="135"/>
        <v>1.723553069104532</v>
      </c>
      <c r="M329" s="189">
        <f t="shared" si="135"/>
        <v>1.7836609855492371</v>
      </c>
      <c r="N329" s="189">
        <f t="shared" si="135"/>
        <v>1.8010024106078419</v>
      </c>
      <c r="O329" s="189">
        <f t="shared" si="135"/>
        <v>1.8377900615745824</v>
      </c>
      <c r="P329" s="189">
        <f t="shared" si="135"/>
        <v>1.9581737413001581</v>
      </c>
      <c r="Q329" s="189">
        <f t="shared" si="135"/>
        <v>1.5231124744881559</v>
      </c>
      <c r="R329" s="189">
        <f t="shared" si="135"/>
        <v>1.2892525765933767</v>
      </c>
    </row>
    <row r="332" spans="4:42" x14ac:dyDescent="0.3">
      <c r="R332" s="1"/>
    </row>
    <row r="333" spans="4:42" x14ac:dyDescent="0.3">
      <c r="J333" s="141"/>
      <c r="K333" s="141"/>
      <c r="L333" s="141"/>
      <c r="M333" s="165">
        <f>+N333-1</f>
        <v>2016</v>
      </c>
      <c r="N333" s="165">
        <f>+O333-1</f>
        <v>2017</v>
      </c>
      <c r="O333" s="165">
        <f>+P333-1</f>
        <v>2018</v>
      </c>
      <c r="P333" s="165">
        <f>+Q333-1</f>
        <v>2019</v>
      </c>
      <c r="Q333" s="165">
        <v>2020</v>
      </c>
      <c r="R333" s="165" t="s">
        <v>157</v>
      </c>
      <c r="S333" s="165" t="s">
        <v>195</v>
      </c>
    </row>
    <row r="334" spans="4:42" x14ac:dyDescent="0.3">
      <c r="J334" s="141" t="s">
        <v>173</v>
      </c>
      <c r="K334" s="141"/>
      <c r="L334" s="141"/>
      <c r="M334" s="164">
        <v>496019</v>
      </c>
      <c r="N334" s="164">
        <v>454152</v>
      </c>
      <c r="O334" s="164">
        <v>443022</v>
      </c>
      <c r="P334" s="164">
        <v>501667</v>
      </c>
      <c r="Q334" s="164">
        <v>473967</v>
      </c>
      <c r="R334" s="190">
        <f>(1+AVERAGE(M336:Q336))*Q334</f>
        <v>616736.11145619955</v>
      </c>
      <c r="S334" s="190">
        <f>(1+AVERAGE(N336:R336))*R334</f>
        <v>792685.4639353978</v>
      </c>
    </row>
    <row r="335" spans="4:42" x14ac:dyDescent="0.3">
      <c r="J335" s="141" t="s">
        <v>174</v>
      </c>
      <c r="K335" s="141"/>
      <c r="L335" s="141"/>
      <c r="M335" s="164">
        <f t="shared" ref="M335:R335" si="136">+M232</f>
        <v>1467810.4470000002</v>
      </c>
      <c r="N335" s="164">
        <f t="shared" si="136"/>
        <v>1433427.4340000004</v>
      </c>
      <c r="O335" s="164">
        <f t="shared" si="136"/>
        <v>1494487.3730000001</v>
      </c>
      <c r="P335" s="164">
        <f t="shared" si="136"/>
        <v>1646879.2420000001</v>
      </c>
      <c r="Q335" s="164">
        <f t="shared" si="136"/>
        <v>1893646.4449999998</v>
      </c>
      <c r="R335" s="164">
        <f t="shared" si="136"/>
        <v>2387869.3898230712</v>
      </c>
      <c r="S335" s="191">
        <f>+'2022 Expectations'!N18</f>
        <v>2757989.1452456475</v>
      </c>
    </row>
    <row r="336" spans="4:42" x14ac:dyDescent="0.3">
      <c r="J336" s="141" t="s">
        <v>175</v>
      </c>
      <c r="K336" s="141"/>
      <c r="L336" s="141"/>
      <c r="M336" s="187">
        <f t="shared" ref="M336:S336" si="137">M334/M335</f>
        <v>0.33793123697531496</v>
      </c>
      <c r="N336" s="187">
        <f t="shared" si="137"/>
        <v>0.31682943219014731</v>
      </c>
      <c r="O336" s="187">
        <f t="shared" si="137"/>
        <v>0.29643743266340727</v>
      </c>
      <c r="P336" s="187">
        <f t="shared" si="137"/>
        <v>0.30461674857882504</v>
      </c>
      <c r="Q336" s="187">
        <f t="shared" si="137"/>
        <v>0.25029329062532579</v>
      </c>
      <c r="R336" s="187">
        <f t="shared" si="137"/>
        <v>0.25827882969005123</v>
      </c>
      <c r="S336" s="187">
        <f t="shared" si="137"/>
        <v>0.28741427982117573</v>
      </c>
    </row>
    <row r="337" spans="2:19" x14ac:dyDescent="0.3">
      <c r="J337" s="141"/>
      <c r="K337" s="141"/>
      <c r="L337" s="141"/>
      <c r="M337" s="150">
        <f>M334/'2022 Expectations'!M232</f>
        <v>0.33793123697531496</v>
      </c>
      <c r="N337" s="150">
        <f>N334/'2022 Expectations'!N232</f>
        <v>0.31682943219014731</v>
      </c>
      <c r="O337" s="150">
        <f>O334/'2022 Expectations'!O232</f>
        <v>0.29643743266340727</v>
      </c>
      <c r="P337" s="150">
        <f>P334/'2022 Expectations'!P232</f>
        <v>0.30461674857882504</v>
      </c>
      <c r="Q337" s="150">
        <f>Q334/'2022 Expectations'!Q232</f>
        <v>0.25029329062532579</v>
      </c>
      <c r="R337" s="150">
        <f>R334/'2022 Expectations'!R232</f>
        <v>0.25827882969005123</v>
      </c>
      <c r="S337" s="150">
        <f>S334/S335</f>
        <v>0.28741427982117573</v>
      </c>
    </row>
    <row r="338" spans="2:19" x14ac:dyDescent="0.3">
      <c r="J338" s="141" t="s">
        <v>177</v>
      </c>
      <c r="K338" s="141"/>
      <c r="L338" s="141"/>
      <c r="M338" s="188">
        <v>1629385</v>
      </c>
      <c r="N338" s="188">
        <v>1633125</v>
      </c>
      <c r="O338" s="188">
        <v>1673513</v>
      </c>
      <c r="P338" s="188">
        <v>1795979</v>
      </c>
      <c r="Q338" s="188">
        <v>1942984</v>
      </c>
      <c r="R338" s="141"/>
      <c r="S338" s="141"/>
    </row>
    <row r="339" spans="2:19" x14ac:dyDescent="0.3">
      <c r="J339" s="141"/>
      <c r="K339" s="141"/>
      <c r="L339" s="141"/>
      <c r="M339" s="150">
        <f>M334/M338</f>
        <v>0.30442099319681964</v>
      </c>
      <c r="N339" s="150">
        <f>N334/N338</f>
        <v>0.2780877152698048</v>
      </c>
      <c r="O339" s="150">
        <f>O334/O338</f>
        <v>0.26472575952502309</v>
      </c>
      <c r="P339" s="150">
        <f>P334/P338</f>
        <v>0.27932787632817535</v>
      </c>
      <c r="Q339" s="150">
        <f>Q334/Q338</f>
        <v>0.24393767524591042</v>
      </c>
      <c r="R339" s="141"/>
      <c r="S339" s="141"/>
    </row>
    <row r="343" spans="2:19" ht="57.6" x14ac:dyDescent="0.3">
      <c r="B343" s="122" t="s">
        <v>143</v>
      </c>
      <c r="C343" s="122" t="s">
        <v>113</v>
      </c>
      <c r="D343" s="122" t="s">
        <v>114</v>
      </c>
      <c r="E343" s="122" t="s">
        <v>144</v>
      </c>
      <c r="F343" s="122" t="s">
        <v>145</v>
      </c>
      <c r="G343" s="122" t="s">
        <v>148</v>
      </c>
    </row>
    <row r="344" spans="2:19" x14ac:dyDescent="0.3">
      <c r="B344" s="123" t="s">
        <v>115</v>
      </c>
      <c r="C344" s="123" t="s">
        <v>116</v>
      </c>
      <c r="D344" s="123" t="s">
        <v>117</v>
      </c>
      <c r="E344" s="123" t="s">
        <v>146</v>
      </c>
      <c r="F344" s="123" t="s">
        <v>147</v>
      </c>
      <c r="G344" s="124">
        <v>95370025041.291504</v>
      </c>
      <c r="H344">
        <f t="shared" ref="H344:H353" si="138">G344/1000000000</f>
        <v>95.370025041291498</v>
      </c>
    </row>
    <row r="345" spans="2:19" x14ac:dyDescent="0.3">
      <c r="B345" s="123" t="s">
        <v>118</v>
      </c>
      <c r="C345" s="123" t="s">
        <v>119</v>
      </c>
      <c r="D345" s="123" t="s">
        <v>117</v>
      </c>
      <c r="E345" s="123" t="s">
        <v>146</v>
      </c>
      <c r="F345" s="123" t="s">
        <v>147</v>
      </c>
      <c r="G345" s="124">
        <v>77301507805.423798</v>
      </c>
      <c r="H345">
        <f t="shared" si="138"/>
        <v>77.301507805423796</v>
      </c>
    </row>
    <row r="346" spans="2:19" x14ac:dyDescent="0.3">
      <c r="B346" s="123" t="s">
        <v>120</v>
      </c>
      <c r="C346" s="123" t="s">
        <v>121</v>
      </c>
      <c r="D346" s="123" t="s">
        <v>117</v>
      </c>
      <c r="E346" s="123" t="s">
        <v>146</v>
      </c>
      <c r="F346" s="123" t="s">
        <v>147</v>
      </c>
      <c r="G346" s="124">
        <v>21418296126.591702</v>
      </c>
      <c r="H346">
        <f t="shared" si="138"/>
        <v>21.418296126591702</v>
      </c>
    </row>
    <row r="347" spans="2:19" x14ac:dyDescent="0.3">
      <c r="B347" s="123" t="s">
        <v>122</v>
      </c>
      <c r="C347" s="123" t="s">
        <v>123</v>
      </c>
      <c r="D347" s="123" t="s">
        <v>117</v>
      </c>
      <c r="E347" s="123" t="s">
        <v>146</v>
      </c>
      <c r="F347" s="123" t="s">
        <v>147</v>
      </c>
      <c r="G347" s="124">
        <v>18392321364.803699</v>
      </c>
      <c r="H347">
        <f t="shared" si="138"/>
        <v>18.392321364803699</v>
      </c>
    </row>
    <row r="348" spans="2:19" x14ac:dyDescent="0.3">
      <c r="B348" s="123" t="s">
        <v>124</v>
      </c>
      <c r="C348" s="123" t="s">
        <v>125</v>
      </c>
      <c r="D348" s="123" t="s">
        <v>117</v>
      </c>
      <c r="E348" s="123" t="s">
        <v>146</v>
      </c>
      <c r="F348" s="123" t="s">
        <v>147</v>
      </c>
      <c r="G348" s="124">
        <v>15360234961.9053</v>
      </c>
      <c r="H348">
        <f t="shared" si="138"/>
        <v>15.3602349619053</v>
      </c>
    </row>
    <row r="349" spans="2:19" x14ac:dyDescent="0.3">
      <c r="B349" s="123" t="s">
        <v>126</v>
      </c>
      <c r="C349" s="123" t="s">
        <v>127</v>
      </c>
      <c r="D349" s="123" t="s">
        <v>117</v>
      </c>
      <c r="E349" s="123" t="s">
        <v>146</v>
      </c>
      <c r="F349" s="123" t="s">
        <v>147</v>
      </c>
      <c r="G349" s="124">
        <v>13213277212.4247</v>
      </c>
      <c r="H349">
        <f t="shared" si="138"/>
        <v>13.2132772124247</v>
      </c>
    </row>
    <row r="350" spans="2:19" x14ac:dyDescent="0.3">
      <c r="B350" s="123" t="s">
        <v>130</v>
      </c>
      <c r="C350" s="123" t="s">
        <v>131</v>
      </c>
      <c r="D350" s="123" t="s">
        <v>117</v>
      </c>
      <c r="E350" s="123" t="s">
        <v>146</v>
      </c>
      <c r="F350" s="123" t="s">
        <v>147</v>
      </c>
      <c r="G350" s="124">
        <v>9550322340.0287704</v>
      </c>
      <c r="H350">
        <f t="shared" si="138"/>
        <v>9.5503223400287709</v>
      </c>
    </row>
    <row r="351" spans="2:19" x14ac:dyDescent="0.3">
      <c r="B351" s="123" t="s">
        <v>128</v>
      </c>
      <c r="C351" s="123" t="s">
        <v>129</v>
      </c>
      <c r="D351" s="123" t="s">
        <v>117</v>
      </c>
      <c r="E351" s="123" t="s">
        <v>146</v>
      </c>
      <c r="F351" s="123" t="s">
        <v>147</v>
      </c>
      <c r="G351" s="124">
        <v>9286589589.2162609</v>
      </c>
      <c r="H351">
        <f t="shared" si="138"/>
        <v>9.2865895892162609</v>
      </c>
    </row>
    <row r="352" spans="2:19" x14ac:dyDescent="0.3">
      <c r="B352" s="123" t="s">
        <v>132</v>
      </c>
      <c r="C352" s="123" t="s">
        <v>133</v>
      </c>
      <c r="D352" s="123" t="s">
        <v>117</v>
      </c>
      <c r="E352" s="123" t="s">
        <v>146</v>
      </c>
      <c r="F352" s="123" t="s">
        <v>147</v>
      </c>
      <c r="G352" s="124">
        <v>4281528051.5743999</v>
      </c>
      <c r="H352">
        <f t="shared" si="138"/>
        <v>4.2815280515743996</v>
      </c>
    </row>
    <row r="353" spans="1:22" x14ac:dyDescent="0.3">
      <c r="B353" s="123" t="s">
        <v>134</v>
      </c>
      <c r="C353" s="123" t="s">
        <v>135</v>
      </c>
      <c r="D353" s="123" t="s">
        <v>117</v>
      </c>
      <c r="E353" s="123" t="s">
        <v>146</v>
      </c>
      <c r="F353" s="123" t="s">
        <v>147</v>
      </c>
      <c r="G353" s="124">
        <v>3936011508.3382201</v>
      </c>
      <c r="H353">
        <f t="shared" si="138"/>
        <v>3.9360115083382201</v>
      </c>
    </row>
    <row r="356" spans="1:22" s="207" customFormat="1" x14ac:dyDescent="0.3">
      <c r="A356" s="318" t="s">
        <v>220</v>
      </c>
      <c r="B356" s="318"/>
      <c r="C356" s="318"/>
      <c r="D356" s="318"/>
      <c r="E356" s="318"/>
      <c r="F356" s="318"/>
      <c r="G356" s="318"/>
      <c r="H356" s="318"/>
      <c r="I356" s="318"/>
      <c r="J356" s="318"/>
      <c r="K356" s="318"/>
      <c r="L356" s="318"/>
      <c r="M356" s="318"/>
      <c r="N356" s="318"/>
      <c r="O356" s="318"/>
      <c r="P356" s="318"/>
      <c r="Q356" s="318"/>
      <c r="R356" s="318"/>
      <c r="S356" s="318"/>
    </row>
    <row r="359" spans="1:22" x14ac:dyDescent="0.3">
      <c r="L359" t="s">
        <v>75</v>
      </c>
      <c r="M359" t="s">
        <v>76</v>
      </c>
      <c r="N359" t="s">
        <v>70</v>
      </c>
      <c r="O359" t="s">
        <v>77</v>
      </c>
    </row>
    <row r="360" spans="1:22" x14ac:dyDescent="0.3">
      <c r="A360" t="s">
        <v>72</v>
      </c>
      <c r="B360" s="285" t="s">
        <v>139</v>
      </c>
      <c r="E360" t="e">
        <f ca="1">_xll.RHistory($B$360:$B$361,"ECONOMIC.Timestamp;ECONOMIC.Value","START:01-Jan-2010 INTERVAL:1MO",,"SORT:ASC TSREPEAT:NO CH:Fd",F361)</f>
        <v>#NAME?</v>
      </c>
      <c r="J360" t="e">
        <f ca="1">_xll.RHistory($B$363:$B$364,"ECONOMIC.Timestamp;ECONOMIC.Value","START:01-Jan-2010 INTERVAL:1Y",,"SORT:ASC TSREPEAT:NO CH:Fd",K361)</f>
        <v>#NAME?</v>
      </c>
    </row>
    <row r="361" spans="1:22" x14ac:dyDescent="0.3">
      <c r="A361" t="s">
        <v>71</v>
      </c>
      <c r="B361" s="285" t="s">
        <v>140</v>
      </c>
      <c r="F361" t="s">
        <v>68</v>
      </c>
      <c r="G361" s="23" t="s">
        <v>69</v>
      </c>
      <c r="H361" t="s">
        <v>69</v>
      </c>
      <c r="K361" t="s">
        <v>68</v>
      </c>
      <c r="L361" t="s">
        <v>69</v>
      </c>
      <c r="M361" t="s">
        <v>69</v>
      </c>
      <c r="S361" t="str">
        <f>L359</f>
        <v>Investments</v>
      </c>
      <c r="T361" t="str">
        <f>M359</f>
        <v>Real GDP</v>
      </c>
      <c r="U361" t="str">
        <f>N359</f>
        <v>Money Supply</v>
      </c>
      <c r="V361" t="str">
        <f>O359</f>
        <v>Private Credit growth</v>
      </c>
    </row>
    <row r="362" spans="1:22" x14ac:dyDescent="0.3">
      <c r="F362" s="58">
        <v>40209</v>
      </c>
      <c r="G362" s="23">
        <v>6.2675378950054803</v>
      </c>
      <c r="H362">
        <v>0.8</v>
      </c>
      <c r="K362" s="58">
        <v>40543</v>
      </c>
      <c r="L362" s="85">
        <v>30.925999999999998</v>
      </c>
      <c r="M362" s="85">
        <v>5.0389999999999997</v>
      </c>
      <c r="N362" s="85">
        <f t="shared" ref="N362:N372" si="139">VLOOKUP(K362,$F$362:$H$510,2,FALSE)</f>
        <v>9.36697178206839</v>
      </c>
      <c r="O362">
        <f t="shared" ref="O362:O372" si="140">VLOOKUP(K362,$F$362:$H$510,3,FALSE)</f>
        <v>5.7</v>
      </c>
      <c r="R362" s="58">
        <f t="shared" ref="R362:R373" si="141">K362</f>
        <v>40543</v>
      </c>
      <c r="S362" s="85">
        <f t="shared" ref="S362:S373" si="142">L362</f>
        <v>30.925999999999998</v>
      </c>
      <c r="T362" s="85">
        <f t="shared" ref="T362:T373" si="143">M362</f>
        <v>5.0389999999999997</v>
      </c>
      <c r="U362" s="85">
        <f t="shared" ref="U362:U373" si="144">N362</f>
        <v>9.36697178206839</v>
      </c>
      <c r="V362">
        <f t="shared" ref="V362:V373" si="145">O362</f>
        <v>5.7</v>
      </c>
    </row>
    <row r="363" spans="1:22" x14ac:dyDescent="0.3">
      <c r="A363" t="s">
        <v>73</v>
      </c>
      <c r="B363" s="285" t="s">
        <v>141</v>
      </c>
      <c r="F363" s="58">
        <v>40237</v>
      </c>
      <c r="G363" s="23">
        <v>5.8355492936541999</v>
      </c>
      <c r="H363">
        <v>1.6</v>
      </c>
      <c r="K363" s="58">
        <v>40908</v>
      </c>
      <c r="L363" s="85">
        <v>26.971</v>
      </c>
      <c r="M363" s="85">
        <v>9.9969999999999999</v>
      </c>
      <c r="N363" s="85">
        <f t="shared" si="139"/>
        <v>17.247912016186099</v>
      </c>
      <c r="O363">
        <f t="shared" si="140"/>
        <v>10.6</v>
      </c>
      <c r="R363" s="58">
        <f t="shared" si="141"/>
        <v>40908</v>
      </c>
      <c r="S363" s="85">
        <f t="shared" si="142"/>
        <v>26.971</v>
      </c>
      <c r="T363" s="85">
        <f t="shared" si="143"/>
        <v>9.9969999999999999</v>
      </c>
      <c r="U363" s="85">
        <f t="shared" si="144"/>
        <v>17.247912016186099</v>
      </c>
      <c r="V363">
        <f t="shared" si="145"/>
        <v>10.6</v>
      </c>
    </row>
    <row r="364" spans="1:22" x14ac:dyDescent="0.3">
      <c r="A364" t="s">
        <v>74</v>
      </c>
      <c r="B364" s="285" t="s">
        <v>142</v>
      </c>
      <c r="F364" s="58">
        <v>40268</v>
      </c>
      <c r="G364" s="23">
        <v>4.5522244145062603</v>
      </c>
      <c r="H364">
        <v>2.4</v>
      </c>
      <c r="K364" s="58">
        <v>41274</v>
      </c>
      <c r="L364" s="85">
        <v>26.542000000000002</v>
      </c>
      <c r="M364" s="85">
        <v>5.4109999999999996</v>
      </c>
      <c r="N364" s="85">
        <f t="shared" si="139"/>
        <v>13.076835808434501</v>
      </c>
      <c r="O364">
        <f t="shared" si="140"/>
        <v>16.399999999999999</v>
      </c>
      <c r="R364" s="58">
        <f t="shared" si="141"/>
        <v>41274</v>
      </c>
      <c r="S364" s="85">
        <f t="shared" si="142"/>
        <v>26.542000000000002</v>
      </c>
      <c r="T364" s="85">
        <f t="shared" si="143"/>
        <v>5.4109999999999996</v>
      </c>
      <c r="U364" s="85">
        <f t="shared" si="144"/>
        <v>13.076835808434501</v>
      </c>
      <c r="V364">
        <f t="shared" si="145"/>
        <v>16.399999999999999</v>
      </c>
    </row>
    <row r="365" spans="1:22" x14ac:dyDescent="0.3">
      <c r="F365" s="58">
        <v>40298</v>
      </c>
      <c r="G365" s="23">
        <v>4.7167479889096002</v>
      </c>
      <c r="H365">
        <v>3.2</v>
      </c>
      <c r="K365" s="58">
        <v>41639</v>
      </c>
      <c r="L365" s="85">
        <v>26.47</v>
      </c>
      <c r="M365" s="85">
        <v>2.6989999999999998</v>
      </c>
      <c r="N365" s="85">
        <f t="shared" si="139"/>
        <v>11.267626995588399</v>
      </c>
      <c r="O365">
        <f t="shared" si="140"/>
        <v>12.5</v>
      </c>
      <c r="R365" s="58">
        <f t="shared" si="141"/>
        <v>41639</v>
      </c>
      <c r="S365" s="85">
        <f t="shared" si="142"/>
        <v>26.47</v>
      </c>
      <c r="T365" s="85">
        <f t="shared" si="143"/>
        <v>2.6989999999999998</v>
      </c>
      <c r="U365" s="85">
        <f t="shared" si="144"/>
        <v>11.267626995588399</v>
      </c>
      <c r="V365">
        <f t="shared" si="145"/>
        <v>12.5</v>
      </c>
    </row>
    <row r="366" spans="1:22" x14ac:dyDescent="0.3">
      <c r="F366" s="58">
        <v>40329</v>
      </c>
      <c r="G366" s="23">
        <v>5.74974970785164</v>
      </c>
      <c r="H366">
        <v>3.9</v>
      </c>
      <c r="K366" s="58">
        <v>42004</v>
      </c>
      <c r="L366" s="85">
        <v>28.751000000000001</v>
      </c>
      <c r="M366" s="85">
        <v>3.6520000000000001</v>
      </c>
      <c r="N366" s="85">
        <f t="shared" si="139"/>
        <v>13.978047426101501</v>
      </c>
      <c r="O366">
        <f t="shared" si="140"/>
        <v>11.8</v>
      </c>
      <c r="R366" s="58">
        <f t="shared" si="141"/>
        <v>42004</v>
      </c>
      <c r="S366" s="85">
        <f t="shared" si="142"/>
        <v>28.751000000000001</v>
      </c>
      <c r="T366" s="85">
        <f t="shared" si="143"/>
        <v>3.6520000000000001</v>
      </c>
      <c r="U366" s="85">
        <f t="shared" si="144"/>
        <v>13.978047426101501</v>
      </c>
      <c r="V366">
        <f t="shared" si="145"/>
        <v>11.8</v>
      </c>
    </row>
    <row r="367" spans="1:22" x14ac:dyDescent="0.3">
      <c r="F367" s="58">
        <v>40359</v>
      </c>
      <c r="G367" s="23">
        <v>6.7818836455212104</v>
      </c>
      <c r="H367">
        <v>4.4000000000000004</v>
      </c>
      <c r="K367" s="58">
        <v>42369</v>
      </c>
      <c r="L367" s="85">
        <v>34.173000000000002</v>
      </c>
      <c r="M367" s="85">
        <v>4.1059999999999999</v>
      </c>
      <c r="N367" s="85">
        <f t="shared" si="139"/>
        <v>2.89635655591777</v>
      </c>
      <c r="O367">
        <f t="shared" si="140"/>
        <v>9.1999999999999993</v>
      </c>
      <c r="R367" s="58">
        <f t="shared" si="141"/>
        <v>42369</v>
      </c>
      <c r="S367" s="85">
        <f t="shared" si="142"/>
        <v>34.173000000000002</v>
      </c>
      <c r="T367" s="85">
        <f t="shared" si="143"/>
        <v>4.1059999999999999</v>
      </c>
      <c r="U367" s="85">
        <f t="shared" si="144"/>
        <v>2.89635655591777</v>
      </c>
      <c r="V367">
        <f t="shared" si="145"/>
        <v>9.1999999999999993</v>
      </c>
    </row>
    <row r="368" spans="1:22" x14ac:dyDescent="0.3">
      <c r="F368" s="58">
        <v>40390</v>
      </c>
      <c r="G368" s="23">
        <v>5.5853579307371097</v>
      </c>
      <c r="H368">
        <v>4.9000000000000004</v>
      </c>
      <c r="K368" s="58">
        <v>42735</v>
      </c>
      <c r="L368" s="85">
        <v>30.933</v>
      </c>
      <c r="M368" s="85">
        <v>1.671</v>
      </c>
      <c r="N368" s="85">
        <f t="shared" si="139"/>
        <v>3.13626725105454</v>
      </c>
      <c r="O368">
        <f t="shared" si="140"/>
        <v>2.4</v>
      </c>
      <c r="R368" s="58">
        <f t="shared" si="141"/>
        <v>42735</v>
      </c>
      <c r="S368" s="85">
        <f t="shared" si="142"/>
        <v>30.933</v>
      </c>
      <c r="T368" s="85">
        <f t="shared" si="143"/>
        <v>1.671</v>
      </c>
      <c r="U368" s="85">
        <f t="shared" si="144"/>
        <v>3.13626725105454</v>
      </c>
      <c r="V368">
        <f t="shared" si="145"/>
        <v>2.4</v>
      </c>
    </row>
    <row r="369" spans="6:22" x14ac:dyDescent="0.3">
      <c r="F369" s="58">
        <v>40421</v>
      </c>
      <c r="G369" s="23">
        <v>6.1892004465781296</v>
      </c>
      <c r="H369">
        <v>3.3</v>
      </c>
      <c r="K369" s="58">
        <v>43100</v>
      </c>
      <c r="L369" s="85">
        <v>28.852</v>
      </c>
      <c r="M369" s="85">
        <v>-0.74199999999999999</v>
      </c>
      <c r="N369" s="85">
        <f t="shared" si="139"/>
        <v>-1.11366733550712</v>
      </c>
      <c r="O369">
        <f t="shared" si="140"/>
        <v>-0.8</v>
      </c>
      <c r="R369" s="58">
        <f t="shared" si="141"/>
        <v>43100</v>
      </c>
      <c r="S369" s="85">
        <f t="shared" si="142"/>
        <v>28.852</v>
      </c>
      <c r="T369" s="85">
        <f t="shared" si="143"/>
        <v>-0.74199999999999999</v>
      </c>
      <c r="U369" s="85">
        <f t="shared" si="144"/>
        <v>-1.11366733550712</v>
      </c>
      <c r="V369">
        <f t="shared" si="145"/>
        <v>-0.8</v>
      </c>
    </row>
    <row r="370" spans="6:22" x14ac:dyDescent="0.3">
      <c r="F370" s="58">
        <v>40451</v>
      </c>
      <c r="G370" s="23">
        <v>8.4245205494475801</v>
      </c>
      <c r="H370">
        <v>3.6</v>
      </c>
      <c r="K370" s="58">
        <v>43465</v>
      </c>
      <c r="L370" s="85">
        <v>24.077000000000002</v>
      </c>
      <c r="M370" s="85">
        <v>2.4340000000000002</v>
      </c>
      <c r="N370" s="85">
        <f t="shared" si="139"/>
        <v>1.5251796657160299</v>
      </c>
      <c r="O370">
        <f t="shared" si="140"/>
        <v>3</v>
      </c>
      <c r="R370" s="58">
        <f t="shared" si="141"/>
        <v>43465</v>
      </c>
      <c r="S370" s="85">
        <f t="shared" si="142"/>
        <v>24.077000000000002</v>
      </c>
      <c r="T370" s="85">
        <f t="shared" si="143"/>
        <v>2.4340000000000002</v>
      </c>
      <c r="U370" s="85">
        <f t="shared" si="144"/>
        <v>1.5251796657160299</v>
      </c>
      <c r="V370">
        <f t="shared" si="145"/>
        <v>3</v>
      </c>
    </row>
    <row r="371" spans="6:22" x14ac:dyDescent="0.3">
      <c r="F371" s="58">
        <v>40482</v>
      </c>
      <c r="G371" s="23">
        <v>6.00648928567868</v>
      </c>
      <c r="H371">
        <v>4.0999999999999996</v>
      </c>
      <c r="K371" s="58">
        <v>43830</v>
      </c>
      <c r="L371" s="85">
        <v>28.776</v>
      </c>
      <c r="M371" s="85">
        <v>0.33100000000000002</v>
      </c>
      <c r="N371" s="85">
        <f t="shared" si="139"/>
        <v>7.7708970773736397</v>
      </c>
      <c r="O371">
        <f t="shared" si="140"/>
        <v>7</v>
      </c>
      <c r="R371" s="58">
        <f t="shared" si="141"/>
        <v>43830</v>
      </c>
      <c r="S371" s="85">
        <f t="shared" si="142"/>
        <v>28.776</v>
      </c>
      <c r="T371" s="85">
        <f t="shared" si="143"/>
        <v>0.33100000000000002</v>
      </c>
      <c r="U371" s="85">
        <f t="shared" si="144"/>
        <v>7.7708970773736397</v>
      </c>
      <c r="V371">
        <f t="shared" si="145"/>
        <v>7</v>
      </c>
    </row>
    <row r="372" spans="6:22" x14ac:dyDescent="0.3">
      <c r="F372" s="58">
        <v>40512</v>
      </c>
      <c r="G372" s="23">
        <v>6.6092474347405501</v>
      </c>
      <c r="H372">
        <v>3.7</v>
      </c>
      <c r="K372" s="58">
        <v>44196</v>
      </c>
      <c r="L372" s="85">
        <v>26.393000000000001</v>
      </c>
      <c r="M372" s="85">
        <v>-4.1070000000000002</v>
      </c>
      <c r="N372" s="85">
        <f t="shared" si="139"/>
        <v>9.2628425983630702</v>
      </c>
      <c r="O372">
        <f t="shared" si="140"/>
        <v>14</v>
      </c>
      <c r="R372" s="58">
        <f t="shared" si="141"/>
        <v>44196</v>
      </c>
      <c r="S372" s="85">
        <f t="shared" si="142"/>
        <v>26.393000000000001</v>
      </c>
      <c r="T372" s="85">
        <f t="shared" si="143"/>
        <v>-4.1070000000000002</v>
      </c>
      <c r="U372" s="85">
        <f t="shared" si="144"/>
        <v>9.2628425983630702</v>
      </c>
      <c r="V372">
        <f t="shared" si="145"/>
        <v>14</v>
      </c>
    </row>
    <row r="373" spans="6:22" x14ac:dyDescent="0.3">
      <c r="F373" s="58">
        <v>40543</v>
      </c>
      <c r="G373" s="23">
        <v>9.36697178206839</v>
      </c>
      <c r="H373">
        <v>5.7</v>
      </c>
      <c r="K373" s="58">
        <v>44561</v>
      </c>
      <c r="L373" s="85">
        <v>24.852</v>
      </c>
      <c r="M373" s="85">
        <v>2.8359999999999999</v>
      </c>
      <c r="N373" s="85">
        <f>VLOOKUP(K373,$F$362:$H$510,2,TRUE)</f>
        <v>4.2213042351661301</v>
      </c>
      <c r="O373">
        <f>VLOOKUP(K373,$F$362:$H$510,3,TRUE)</f>
        <v>15.2</v>
      </c>
      <c r="R373" s="58">
        <f t="shared" si="141"/>
        <v>44561</v>
      </c>
      <c r="S373" s="85">
        <f t="shared" si="142"/>
        <v>24.852</v>
      </c>
      <c r="T373" s="85">
        <f t="shared" si="143"/>
        <v>2.8359999999999999</v>
      </c>
      <c r="U373" s="85">
        <f t="shared" si="144"/>
        <v>4.2213042351661301</v>
      </c>
      <c r="V373">
        <f t="shared" si="145"/>
        <v>15.2</v>
      </c>
    </row>
    <row r="374" spans="6:22" x14ac:dyDescent="0.3">
      <c r="F374" s="58">
        <v>40574</v>
      </c>
      <c r="G374" s="23">
        <v>12.301605823859299</v>
      </c>
      <c r="H374">
        <v>6.2</v>
      </c>
      <c r="K374" s="58">
        <v>44926</v>
      </c>
      <c r="L374" s="85">
        <v>24.292000000000002</v>
      </c>
      <c r="M374" s="85">
        <v>4.8289999999999997</v>
      </c>
      <c r="N374" s="85"/>
      <c r="R374" s="58">
        <f>K374</f>
        <v>44926</v>
      </c>
      <c r="S374" s="85">
        <f>L374</f>
        <v>24.292000000000002</v>
      </c>
      <c r="T374" s="85">
        <f>M374</f>
        <v>4.8289999999999997</v>
      </c>
      <c r="U374" s="85">
        <v>4</v>
      </c>
      <c r="V374" s="131">
        <f>(S398*S374)+(S399*T374)</f>
        <v>23.834824845424986</v>
      </c>
    </row>
    <row r="375" spans="6:22" x14ac:dyDescent="0.3">
      <c r="F375" s="58">
        <v>40602</v>
      </c>
      <c r="G375" s="23">
        <v>11.329423490528001</v>
      </c>
      <c r="H375">
        <v>6.3</v>
      </c>
      <c r="K375" s="58">
        <v>45291</v>
      </c>
      <c r="L375" s="85">
        <v>24.295000000000002</v>
      </c>
      <c r="M375" s="85">
        <v>2.778</v>
      </c>
    </row>
    <row r="376" spans="6:22" x14ac:dyDescent="0.3">
      <c r="F376" s="58">
        <v>40633</v>
      </c>
      <c r="G376" s="23">
        <v>16.256053276686501</v>
      </c>
      <c r="H376">
        <v>7</v>
      </c>
      <c r="K376" s="58">
        <v>45657</v>
      </c>
      <c r="L376" s="85">
        <v>24.341000000000001</v>
      </c>
      <c r="M376" s="85">
        <v>2.8119999999999998</v>
      </c>
    </row>
    <row r="377" spans="6:22" x14ac:dyDescent="0.3">
      <c r="F377" s="58">
        <v>40663</v>
      </c>
      <c r="G377" s="23">
        <v>18.859354582160101</v>
      </c>
      <c r="H377">
        <v>6.9</v>
      </c>
      <c r="K377" s="58">
        <v>46022</v>
      </c>
      <c r="L377" s="85">
        <v>24.353000000000002</v>
      </c>
      <c r="M377" s="85">
        <v>2.7639999999999998</v>
      </c>
    </row>
    <row r="378" spans="6:22" x14ac:dyDescent="0.3">
      <c r="F378" s="58">
        <v>40694</v>
      </c>
      <c r="G378" s="23">
        <v>18.2817064639321</v>
      </c>
      <c r="H378">
        <v>7.7</v>
      </c>
      <c r="K378" s="58">
        <v>46387</v>
      </c>
      <c r="L378" s="85">
        <v>24.29</v>
      </c>
      <c r="M378" s="85">
        <v>2.8069999999999999</v>
      </c>
    </row>
    <row r="379" spans="6:22" x14ac:dyDescent="0.3">
      <c r="F379" s="58">
        <v>40724</v>
      </c>
      <c r="G379" s="23">
        <v>16.249856274087598</v>
      </c>
      <c r="H379">
        <v>7.8</v>
      </c>
    </row>
    <row r="380" spans="6:22" x14ac:dyDescent="0.3">
      <c r="F380" s="58">
        <v>40755</v>
      </c>
      <c r="G380" s="23">
        <v>17.021334526084001</v>
      </c>
      <c r="H380">
        <v>8.6999999999999993</v>
      </c>
    </row>
    <row r="381" spans="6:22" x14ac:dyDescent="0.3">
      <c r="F381" s="58">
        <v>40786</v>
      </c>
      <c r="G381" s="23">
        <v>18.138304414130499</v>
      </c>
      <c r="H381">
        <v>9.1999999999999993</v>
      </c>
      <c r="R381" t="s">
        <v>78</v>
      </c>
    </row>
    <row r="382" spans="6:22" ht="15" thickBot="1" x14ac:dyDescent="0.35">
      <c r="F382" s="58">
        <v>40816</v>
      </c>
      <c r="G382" s="23">
        <v>16.392832618948301</v>
      </c>
      <c r="H382">
        <v>8.8000000000000007</v>
      </c>
    </row>
    <row r="383" spans="6:22" x14ac:dyDescent="0.3">
      <c r="F383" s="58">
        <v>40847</v>
      </c>
      <c r="G383" s="23">
        <v>18.738711952955999</v>
      </c>
      <c r="H383">
        <v>9.8000000000000007</v>
      </c>
      <c r="R383" s="89" t="s">
        <v>79</v>
      </c>
      <c r="S383" s="89"/>
    </row>
    <row r="384" spans="6:22" x14ac:dyDescent="0.3">
      <c r="F384" s="58">
        <v>40877</v>
      </c>
      <c r="G384" s="23">
        <v>16.421840443614698</v>
      </c>
      <c r="H384">
        <v>10.7</v>
      </c>
      <c r="R384" s="86" t="s">
        <v>80</v>
      </c>
      <c r="S384" s="86">
        <v>0.89285464287027783</v>
      </c>
    </row>
    <row r="385" spans="6:26" x14ac:dyDescent="0.3">
      <c r="F385" s="58">
        <v>40908</v>
      </c>
      <c r="G385" s="23">
        <v>17.247912016186099</v>
      </c>
      <c r="H385">
        <v>10.6</v>
      </c>
      <c r="R385" s="86" t="s">
        <v>81</v>
      </c>
      <c r="S385" s="86">
        <v>0.79718941329501136</v>
      </c>
    </row>
    <row r="386" spans="6:26" x14ac:dyDescent="0.3">
      <c r="F386" s="58">
        <v>40939</v>
      </c>
      <c r="G386" s="23">
        <v>16.0180633208969</v>
      </c>
      <c r="H386">
        <v>11.7</v>
      </c>
      <c r="R386" s="86" t="s">
        <v>82</v>
      </c>
      <c r="S386" s="86">
        <v>0.70628032238592053</v>
      </c>
    </row>
    <row r="387" spans="6:26" x14ac:dyDescent="0.3">
      <c r="F387" s="58">
        <v>40968</v>
      </c>
      <c r="G387" s="23">
        <v>17.506086485277301</v>
      </c>
      <c r="H387">
        <v>12.1</v>
      </c>
      <c r="R387" s="86" t="s">
        <v>83</v>
      </c>
      <c r="S387" s="86">
        <v>4.8681588076253073</v>
      </c>
    </row>
    <row r="388" spans="6:26" ht="15" thickBot="1" x14ac:dyDescent="0.35">
      <c r="F388" s="58">
        <v>40999</v>
      </c>
      <c r="G388" s="23">
        <v>13.033344913339199</v>
      </c>
      <c r="H388">
        <v>12.6</v>
      </c>
      <c r="R388" s="87" t="s">
        <v>84</v>
      </c>
      <c r="S388" s="87">
        <v>12</v>
      </c>
    </row>
    <row r="389" spans="6:26" x14ac:dyDescent="0.3">
      <c r="F389" s="58">
        <v>41029</v>
      </c>
      <c r="G389" s="23">
        <v>9.0566626667637902</v>
      </c>
      <c r="H389">
        <v>13.3</v>
      </c>
    </row>
    <row r="390" spans="6:26" ht="15" thickBot="1" x14ac:dyDescent="0.35">
      <c r="F390" s="58">
        <v>41060</v>
      </c>
      <c r="G390" s="23">
        <v>8.8065272981797005</v>
      </c>
      <c r="H390">
        <v>13</v>
      </c>
      <c r="R390" t="s">
        <v>85</v>
      </c>
    </row>
    <row r="391" spans="6:26" x14ac:dyDescent="0.3">
      <c r="F391" s="58">
        <v>41090</v>
      </c>
      <c r="G391" s="23">
        <v>10.0305863173869</v>
      </c>
      <c r="H391">
        <v>13.9</v>
      </c>
      <c r="R391" s="88"/>
      <c r="S391" s="88" t="s">
        <v>90</v>
      </c>
      <c r="T391" s="88" t="s">
        <v>91</v>
      </c>
      <c r="U391" s="88" t="s">
        <v>92</v>
      </c>
      <c r="V391" s="88" t="s">
        <v>93</v>
      </c>
      <c r="W391" s="88" t="s">
        <v>94</v>
      </c>
    </row>
    <row r="392" spans="6:26" x14ac:dyDescent="0.3">
      <c r="F392" s="58">
        <v>41121</v>
      </c>
      <c r="G392" s="23">
        <v>9.0623782022778503</v>
      </c>
      <c r="H392">
        <v>13.6</v>
      </c>
      <c r="R392" s="86" t="s">
        <v>86</v>
      </c>
      <c r="S392" s="86">
        <v>1</v>
      </c>
      <c r="T392" s="86">
        <v>1024.6913280611416</v>
      </c>
      <c r="U392" s="86">
        <v>1024.6913280611416</v>
      </c>
      <c r="V392" s="86">
        <v>43.237799804803899</v>
      </c>
      <c r="W392" s="86">
        <v>6.2678859747111935E-5</v>
      </c>
    </row>
    <row r="393" spans="6:26" x14ac:dyDescent="0.3">
      <c r="F393" s="58">
        <v>41152</v>
      </c>
      <c r="G393" s="23">
        <v>9.1019216126791207</v>
      </c>
      <c r="H393">
        <v>14</v>
      </c>
      <c r="R393" s="86" t="s">
        <v>87</v>
      </c>
      <c r="S393" s="86">
        <v>11</v>
      </c>
      <c r="T393" s="86">
        <v>260.68867193885836</v>
      </c>
      <c r="U393" s="86">
        <v>23.698970176259852</v>
      </c>
      <c r="V393" s="86"/>
      <c r="W393" s="86"/>
    </row>
    <row r="394" spans="6:26" ht="15" thickBot="1" x14ac:dyDescent="0.35">
      <c r="F394" s="58">
        <v>41182</v>
      </c>
      <c r="G394" s="23">
        <v>8.9572076682227504</v>
      </c>
      <c r="H394">
        <v>14.8</v>
      </c>
      <c r="R394" s="87" t="s">
        <v>88</v>
      </c>
      <c r="S394" s="87">
        <v>12</v>
      </c>
      <c r="T394" s="87">
        <v>1285.3799999999999</v>
      </c>
      <c r="U394" s="87"/>
      <c r="V394" s="87"/>
      <c r="W394" s="87"/>
    </row>
    <row r="395" spans="6:26" ht="15" thickBot="1" x14ac:dyDescent="0.35">
      <c r="F395" s="58">
        <v>41213</v>
      </c>
      <c r="G395" s="23">
        <v>13.429053929989401</v>
      </c>
      <c r="H395">
        <v>14.7</v>
      </c>
    </row>
    <row r="396" spans="6:26" x14ac:dyDescent="0.3">
      <c r="F396" s="58">
        <v>41243</v>
      </c>
      <c r="G396" s="23">
        <v>11.4295268398382</v>
      </c>
      <c r="H396">
        <v>14.9</v>
      </c>
      <c r="R396" s="88"/>
      <c r="S396" s="88" t="s">
        <v>95</v>
      </c>
      <c r="T396" s="88" t="s">
        <v>83</v>
      </c>
      <c r="U396" s="88" t="s">
        <v>96</v>
      </c>
      <c r="V396" s="88" t="s">
        <v>97</v>
      </c>
      <c r="W396" s="88" t="s">
        <v>98</v>
      </c>
      <c r="X396" s="88" t="s">
        <v>99</v>
      </c>
      <c r="Y396" s="88" t="s">
        <v>100</v>
      </c>
      <c r="Z396" s="88" t="s">
        <v>101</v>
      </c>
    </row>
    <row r="397" spans="6:26" x14ac:dyDescent="0.3">
      <c r="F397" s="58">
        <v>41274</v>
      </c>
      <c r="G397" s="23">
        <v>13.076835808434501</v>
      </c>
      <c r="H397">
        <v>16.399999999999999</v>
      </c>
      <c r="R397" s="86" t="s">
        <v>89</v>
      </c>
      <c r="S397" s="86">
        <v>0</v>
      </c>
      <c r="T397" s="86" t="e">
        <v>#N/A</v>
      </c>
      <c r="U397" s="86" t="e">
        <v>#N/A</v>
      </c>
      <c r="V397" s="86" t="e">
        <v>#N/A</v>
      </c>
      <c r="W397" s="86" t="e">
        <v>#N/A</v>
      </c>
      <c r="X397" s="86" t="e">
        <v>#N/A</v>
      </c>
      <c r="Y397" s="86" t="e">
        <v>#N/A</v>
      </c>
      <c r="Z397" s="86" t="e">
        <v>#N/A</v>
      </c>
    </row>
    <row r="398" spans="6:26" ht="15" thickBot="1" x14ac:dyDescent="0.35">
      <c r="F398" s="58">
        <v>41305</v>
      </c>
      <c r="G398" s="23">
        <v>13.0120988517243</v>
      </c>
      <c r="H398">
        <v>15.9</v>
      </c>
      <c r="R398" s="87" t="s">
        <v>70</v>
      </c>
      <c r="S398" s="87">
        <v>0.98118001174975233</v>
      </c>
      <c r="T398" s="87">
        <v>0.14921651722062429</v>
      </c>
      <c r="U398" s="87">
        <v>6.5755455898962394</v>
      </c>
      <c r="V398" s="87">
        <v>3.9942189948142391E-5</v>
      </c>
      <c r="W398" s="87">
        <v>0.65275667170659979</v>
      </c>
      <c r="X398" s="87">
        <v>1.3096033517929049</v>
      </c>
      <c r="Y398" s="87">
        <v>0.65275667170659979</v>
      </c>
      <c r="Z398" s="87">
        <v>1.3096033517929049</v>
      </c>
    </row>
    <row r="399" spans="6:26" x14ac:dyDescent="0.3">
      <c r="F399" s="58">
        <v>41333</v>
      </c>
      <c r="G399" s="23">
        <v>11.6542920867102</v>
      </c>
      <c r="H399">
        <v>15.6</v>
      </c>
    </row>
    <row r="400" spans="6:26" x14ac:dyDescent="0.3">
      <c r="F400" s="58">
        <v>41364</v>
      </c>
      <c r="G400" s="23">
        <v>12.5647299361931</v>
      </c>
      <c r="H400">
        <v>15.1</v>
      </c>
    </row>
    <row r="401" spans="6:20" x14ac:dyDescent="0.3">
      <c r="F401" s="58">
        <v>41394</v>
      </c>
      <c r="G401" s="23">
        <v>14.5971917528645</v>
      </c>
      <c r="H401">
        <v>16</v>
      </c>
    </row>
    <row r="402" spans="6:20" x14ac:dyDescent="0.3">
      <c r="F402" s="58">
        <v>41425</v>
      </c>
      <c r="G402" s="23">
        <v>14.9009644749693</v>
      </c>
      <c r="H402">
        <v>16.5</v>
      </c>
      <c r="R402" t="s">
        <v>102</v>
      </c>
    </row>
    <row r="403" spans="6:20" ht="15" thickBot="1" x14ac:dyDescent="0.35">
      <c r="F403" s="58">
        <v>41455</v>
      </c>
      <c r="G403" s="23">
        <v>14.357516422709599</v>
      </c>
      <c r="H403">
        <v>15.9</v>
      </c>
    </row>
    <row r="404" spans="6:20" x14ac:dyDescent="0.3">
      <c r="F404" s="58">
        <v>41486</v>
      </c>
      <c r="G404" s="23">
        <v>15.6688804086631</v>
      </c>
      <c r="H404">
        <v>15.6</v>
      </c>
      <c r="R404" s="88" t="s">
        <v>103</v>
      </c>
      <c r="S404" s="88" t="s">
        <v>105</v>
      </c>
      <c r="T404" s="88" t="s">
        <v>104</v>
      </c>
    </row>
    <row r="405" spans="6:20" x14ac:dyDescent="0.3">
      <c r="F405" s="58">
        <v>41517</v>
      </c>
      <c r="G405" s="23">
        <v>14.575943819110501</v>
      </c>
      <c r="H405">
        <v>15</v>
      </c>
      <c r="R405" s="86">
        <v>1</v>
      </c>
      <c r="S405" s="86">
        <v>9.190685483189462</v>
      </c>
      <c r="T405" s="86">
        <v>-3.4906854831894618</v>
      </c>
    </row>
    <row r="406" spans="6:20" x14ac:dyDescent="0.3">
      <c r="F406" s="58">
        <v>41547</v>
      </c>
      <c r="G406" s="23">
        <v>14.4450226103191</v>
      </c>
      <c r="H406">
        <v>14.6</v>
      </c>
      <c r="R406" s="86">
        <v>2</v>
      </c>
      <c r="S406" s="86">
        <v>16.923306514700172</v>
      </c>
      <c r="T406" s="86">
        <v>-6.3233065147001728</v>
      </c>
    </row>
    <row r="407" spans="6:20" x14ac:dyDescent="0.3">
      <c r="F407" s="58">
        <v>41578</v>
      </c>
      <c r="G407" s="23">
        <v>9.9172816995566002</v>
      </c>
      <c r="H407">
        <v>13.5</v>
      </c>
      <c r="R407" s="86">
        <v>3</v>
      </c>
      <c r="S407" s="86">
        <v>12.830729912169346</v>
      </c>
      <c r="T407" s="86">
        <v>3.5692700878306525</v>
      </c>
    </row>
    <row r="408" spans="6:20" x14ac:dyDescent="0.3">
      <c r="F408" s="58">
        <v>41608</v>
      </c>
      <c r="G408" s="23">
        <v>14.634871699963201</v>
      </c>
      <c r="H408">
        <v>13.8</v>
      </c>
      <c r="R408" s="86">
        <v>4</v>
      </c>
      <c r="S408" s="86">
        <v>11.055570387923252</v>
      </c>
      <c r="T408" s="86">
        <v>1.4444296120767479</v>
      </c>
    </row>
    <row r="409" spans="6:20" x14ac:dyDescent="0.3">
      <c r="F409" s="58">
        <v>41639</v>
      </c>
      <c r="G409" s="23">
        <v>11.267626995588399</v>
      </c>
      <c r="H409">
        <v>12.5</v>
      </c>
      <c r="R409" s="86">
        <v>5</v>
      </c>
      <c r="S409" s="86">
        <v>13.714980737780866</v>
      </c>
      <c r="T409" s="86">
        <v>-1.9149807377808656</v>
      </c>
    </row>
    <row r="410" spans="6:20" x14ac:dyDescent="0.3">
      <c r="F410" s="58">
        <v>41670</v>
      </c>
      <c r="G410" s="23">
        <v>12.9281597975869</v>
      </c>
      <c r="H410">
        <v>12.3</v>
      </c>
      <c r="R410" s="86">
        <v>6</v>
      </c>
      <c r="S410" s="86">
        <v>2.84184715956687</v>
      </c>
      <c r="T410" s="86">
        <v>6.3581528404331298</v>
      </c>
    </row>
    <row r="411" spans="6:20" x14ac:dyDescent="0.3">
      <c r="F411" s="58">
        <v>41698</v>
      </c>
      <c r="G411" s="23">
        <v>12.1607266716215</v>
      </c>
      <c r="H411">
        <v>12.2</v>
      </c>
      <c r="R411" s="86">
        <v>7</v>
      </c>
      <c r="S411" s="86">
        <v>3.0772427382400571</v>
      </c>
      <c r="T411" s="86">
        <v>-0.67724273824005721</v>
      </c>
    </row>
    <row r="412" spans="6:20" x14ac:dyDescent="0.3">
      <c r="F412" s="58">
        <v>41729</v>
      </c>
      <c r="G412" s="23">
        <v>12.774340355339801</v>
      </c>
      <c r="H412">
        <v>12.8</v>
      </c>
      <c r="R412" s="86">
        <v>8</v>
      </c>
      <c r="S412" s="86">
        <v>-1.0927081293381915</v>
      </c>
      <c r="T412" s="86">
        <v>0.29270812933819146</v>
      </c>
    </row>
    <row r="413" spans="6:20" x14ac:dyDescent="0.3">
      <c r="F413" s="58">
        <v>41759</v>
      </c>
      <c r="G413" s="23">
        <v>13.794671898379599</v>
      </c>
      <c r="H413">
        <v>12</v>
      </c>
      <c r="R413" s="86">
        <v>9</v>
      </c>
      <c r="S413" s="86">
        <v>1.4964758023277376</v>
      </c>
      <c r="T413" s="86">
        <v>1.5035241976722624</v>
      </c>
    </row>
    <row r="414" spans="6:20" x14ac:dyDescent="0.3">
      <c r="F414" s="58">
        <v>41790</v>
      </c>
      <c r="G414" s="23">
        <v>13.7718442022858</v>
      </c>
      <c r="H414">
        <v>12</v>
      </c>
      <c r="R414" s="86">
        <v>10</v>
      </c>
      <c r="S414" s="86">
        <v>7.6246488856835839</v>
      </c>
      <c r="T414" s="86">
        <v>-0.6246488856835839</v>
      </c>
    </row>
    <row r="415" spans="6:20" x14ac:dyDescent="0.3">
      <c r="F415" s="58">
        <v>41820</v>
      </c>
      <c r="G415" s="23">
        <v>13.1822769367744</v>
      </c>
      <c r="H415">
        <v>12.3</v>
      </c>
      <c r="R415" s="86">
        <v>11</v>
      </c>
      <c r="S415" s="86">
        <v>9.0885160094979831</v>
      </c>
      <c r="T415" s="86">
        <v>4.9114839905020169</v>
      </c>
    </row>
    <row r="416" spans="6:20" ht="15" thickBot="1" x14ac:dyDescent="0.35">
      <c r="F416" s="58">
        <v>41851</v>
      </c>
      <c r="G416" s="23">
        <v>15.7386074280956</v>
      </c>
      <c r="H416">
        <v>11.8</v>
      </c>
      <c r="R416" s="87">
        <v>12</v>
      </c>
      <c r="S416" s="87">
        <v>4.1418593390595824</v>
      </c>
      <c r="T416" s="87">
        <v>11.058140660940417</v>
      </c>
    </row>
    <row r="417" spans="6:20" x14ac:dyDescent="0.3">
      <c r="F417" s="58">
        <v>41882</v>
      </c>
      <c r="G417" s="23">
        <v>15.5744629307786</v>
      </c>
      <c r="H417">
        <v>12.2</v>
      </c>
      <c r="R417" s="86">
        <v>11</v>
      </c>
      <c r="S417" s="86">
        <v>12.004805715289738</v>
      </c>
      <c r="T417" s="86">
        <v>1.9951942847102622</v>
      </c>
    </row>
    <row r="418" spans="6:20" ht="15" thickBot="1" x14ac:dyDescent="0.35">
      <c r="F418" s="58">
        <v>41912</v>
      </c>
      <c r="G418" s="23">
        <v>15.801339216952799</v>
      </c>
      <c r="H418">
        <v>13.2</v>
      </c>
      <c r="R418" s="87">
        <v>12</v>
      </c>
      <c r="S418" s="87">
        <v>5.6260445694362318</v>
      </c>
      <c r="T418" s="87">
        <v>9.5739554305637675</v>
      </c>
    </row>
    <row r="419" spans="6:20" x14ac:dyDescent="0.3">
      <c r="F419" s="58">
        <v>41943</v>
      </c>
      <c r="G419" s="23">
        <v>14.329458029802201</v>
      </c>
      <c r="H419">
        <v>15.7</v>
      </c>
    </row>
    <row r="420" spans="6:20" x14ac:dyDescent="0.3">
      <c r="F420" s="58">
        <v>41973</v>
      </c>
      <c r="G420" s="23">
        <v>12.240196047329899</v>
      </c>
      <c r="H420">
        <v>12.2</v>
      </c>
    </row>
    <row r="421" spans="6:20" x14ac:dyDescent="0.3">
      <c r="F421" s="58">
        <v>42004</v>
      </c>
      <c r="G421" s="23">
        <v>13.978047426101501</v>
      </c>
      <c r="H421">
        <v>11.8</v>
      </c>
    </row>
    <row r="422" spans="6:20" x14ac:dyDescent="0.3">
      <c r="F422" s="58">
        <v>42035</v>
      </c>
      <c r="G422" s="23">
        <v>10.5555988606773</v>
      </c>
      <c r="H422">
        <v>11.6</v>
      </c>
    </row>
    <row r="423" spans="6:20" x14ac:dyDescent="0.3">
      <c r="F423" s="58">
        <v>42063</v>
      </c>
      <c r="G423" s="23">
        <v>16.053429948681501</v>
      </c>
      <c r="H423">
        <v>11.4</v>
      </c>
    </row>
    <row r="424" spans="6:20" x14ac:dyDescent="0.3">
      <c r="F424" s="58">
        <v>42094</v>
      </c>
      <c r="G424" s="23">
        <v>14.2671462196272</v>
      </c>
      <c r="H424">
        <v>10.4</v>
      </c>
    </row>
    <row r="425" spans="6:20" x14ac:dyDescent="0.3">
      <c r="F425" s="58">
        <v>42124</v>
      </c>
      <c r="G425" s="23">
        <v>12.112781998613499</v>
      </c>
      <c r="H425">
        <v>9.5</v>
      </c>
    </row>
    <row r="426" spans="6:20" x14ac:dyDescent="0.3">
      <c r="F426" s="58">
        <v>42155</v>
      </c>
      <c r="G426" s="23">
        <v>12.6082676555038</v>
      </c>
      <c r="H426">
        <v>9.5</v>
      </c>
    </row>
    <row r="427" spans="6:20" x14ac:dyDescent="0.3">
      <c r="F427" s="58">
        <v>42185</v>
      </c>
      <c r="G427" s="23">
        <v>12.082458698692699</v>
      </c>
      <c r="H427">
        <v>9.5</v>
      </c>
    </row>
    <row r="428" spans="6:20" x14ac:dyDescent="0.3">
      <c r="F428" s="58">
        <v>42216</v>
      </c>
      <c r="G428" s="23">
        <v>8.1961663167678207</v>
      </c>
      <c r="H428">
        <v>9.4</v>
      </c>
    </row>
    <row r="429" spans="6:20" x14ac:dyDescent="0.3">
      <c r="F429" s="58">
        <v>42247</v>
      </c>
      <c r="G429" s="23">
        <v>7.6023994944659004</v>
      </c>
      <c r="H429">
        <v>8.4</v>
      </c>
    </row>
    <row r="430" spans="6:20" x14ac:dyDescent="0.3">
      <c r="F430" s="58">
        <v>42277</v>
      </c>
      <c r="G430" s="23">
        <v>9.2738520974556504</v>
      </c>
      <c r="H430">
        <v>7.1</v>
      </c>
    </row>
    <row r="431" spans="6:20" x14ac:dyDescent="0.3">
      <c r="F431" s="58">
        <v>42308</v>
      </c>
      <c r="G431" s="23">
        <v>6.8989153461121298</v>
      </c>
      <c r="H431">
        <v>5</v>
      </c>
    </row>
    <row r="432" spans="6:20" x14ac:dyDescent="0.3">
      <c r="F432" s="58">
        <v>42338</v>
      </c>
      <c r="G432" s="23">
        <v>7.0764613538384697</v>
      </c>
      <c r="H432">
        <v>8.1</v>
      </c>
    </row>
    <row r="433" spans="6:8" x14ac:dyDescent="0.3">
      <c r="F433" s="58">
        <v>42369</v>
      </c>
      <c r="G433" s="23">
        <v>2.89635655591777</v>
      </c>
      <c r="H433">
        <v>9.1999999999999993</v>
      </c>
    </row>
    <row r="434" spans="6:8" x14ac:dyDescent="0.3">
      <c r="F434" s="58">
        <v>42400</v>
      </c>
      <c r="G434" s="23">
        <v>3.3095730722428698</v>
      </c>
      <c r="H434">
        <v>9.1999999999999993</v>
      </c>
    </row>
    <row r="435" spans="6:8" x14ac:dyDescent="0.3">
      <c r="F435" s="58">
        <v>42429</v>
      </c>
      <c r="G435" s="23">
        <v>-2.2411711873607501</v>
      </c>
      <c r="H435">
        <v>10</v>
      </c>
    </row>
    <row r="436" spans="6:8" x14ac:dyDescent="0.3">
      <c r="F436" s="58">
        <v>42460</v>
      </c>
      <c r="G436" s="23">
        <v>-2.14032970973842</v>
      </c>
      <c r="H436">
        <v>10</v>
      </c>
    </row>
    <row r="437" spans="6:8" x14ac:dyDescent="0.3">
      <c r="F437" s="58">
        <v>42490</v>
      </c>
      <c r="G437" s="23">
        <v>-2.6420039746575799</v>
      </c>
      <c r="H437">
        <v>10.1</v>
      </c>
    </row>
    <row r="438" spans="6:8" x14ac:dyDescent="0.3">
      <c r="F438" s="58">
        <v>42521</v>
      </c>
      <c r="G438" s="23">
        <v>-3.6408199190440702</v>
      </c>
      <c r="H438">
        <v>9.4</v>
      </c>
    </row>
    <row r="439" spans="6:8" x14ac:dyDescent="0.3">
      <c r="F439" s="58">
        <v>42551</v>
      </c>
      <c r="G439" s="23">
        <v>-2.53013861331207</v>
      </c>
      <c r="H439">
        <v>8.1</v>
      </c>
    </row>
    <row r="440" spans="6:8" x14ac:dyDescent="0.3">
      <c r="F440" s="58">
        <v>42582</v>
      </c>
      <c r="G440" s="23">
        <v>-3.2952777321743798</v>
      </c>
      <c r="H440">
        <v>7.4</v>
      </c>
    </row>
    <row r="441" spans="6:8" x14ac:dyDescent="0.3">
      <c r="F441" s="58">
        <v>42613</v>
      </c>
      <c r="G441" s="23">
        <v>-2.6349103663656099</v>
      </c>
      <c r="H441">
        <v>7.5</v>
      </c>
    </row>
    <row r="442" spans="6:8" x14ac:dyDescent="0.3">
      <c r="F442" s="58">
        <v>42643</v>
      </c>
      <c r="G442" s="23">
        <v>-3.8338499965264998</v>
      </c>
      <c r="H442">
        <v>7</v>
      </c>
    </row>
    <row r="443" spans="6:8" x14ac:dyDescent="0.3">
      <c r="F443" s="58">
        <v>42674</v>
      </c>
      <c r="G443" s="23">
        <v>2.0799116804898001</v>
      </c>
      <c r="H443">
        <v>6.3</v>
      </c>
    </row>
    <row r="444" spans="6:8" x14ac:dyDescent="0.3">
      <c r="F444" s="58">
        <v>42704</v>
      </c>
      <c r="G444" s="23">
        <v>1.33874013592249</v>
      </c>
      <c r="H444">
        <v>4.4000000000000004</v>
      </c>
    </row>
    <row r="445" spans="6:8" x14ac:dyDescent="0.3">
      <c r="F445" s="58">
        <v>42735</v>
      </c>
      <c r="G445" s="23">
        <v>3.13626725105454</v>
      </c>
      <c r="H445">
        <v>2.4</v>
      </c>
    </row>
    <row r="446" spans="6:8" x14ac:dyDescent="0.3">
      <c r="F446" s="58">
        <v>42766</v>
      </c>
      <c r="G446" s="23">
        <v>2.9657644272045101</v>
      </c>
      <c r="H446">
        <v>1.8</v>
      </c>
    </row>
    <row r="447" spans="6:8" x14ac:dyDescent="0.3">
      <c r="F447" s="58">
        <v>42794</v>
      </c>
      <c r="G447" s="23">
        <v>3.0414735341041501</v>
      </c>
      <c r="H447">
        <v>0.3</v>
      </c>
    </row>
    <row r="448" spans="6:8" x14ac:dyDescent="0.3">
      <c r="F448" s="58">
        <v>42825</v>
      </c>
      <c r="G448" s="23">
        <v>4.3183878817263999</v>
      </c>
      <c r="H448">
        <v>-0.1</v>
      </c>
    </row>
    <row r="449" spans="6:8" x14ac:dyDescent="0.3">
      <c r="F449" s="58">
        <v>42855</v>
      </c>
      <c r="G449" s="23">
        <v>4.5025253473782803</v>
      </c>
      <c r="H449">
        <v>-0.3</v>
      </c>
    </row>
    <row r="450" spans="6:8" x14ac:dyDescent="0.3">
      <c r="F450" s="58">
        <v>42886</v>
      </c>
      <c r="G450" s="23">
        <v>3.3858548238130202</v>
      </c>
      <c r="H450">
        <v>-0.7</v>
      </c>
    </row>
    <row r="451" spans="6:8" x14ac:dyDescent="0.3">
      <c r="F451" s="58">
        <v>42916</v>
      </c>
      <c r="G451" s="23">
        <v>3.4257332516176402</v>
      </c>
      <c r="H451">
        <v>-1.4</v>
      </c>
    </row>
    <row r="452" spans="6:8" x14ac:dyDescent="0.3">
      <c r="F452" s="58">
        <v>42947</v>
      </c>
      <c r="G452" s="23">
        <v>5.6671284231922296</v>
      </c>
      <c r="H452">
        <v>-1.3</v>
      </c>
    </row>
    <row r="453" spans="6:8" x14ac:dyDescent="0.3">
      <c r="F453" s="58">
        <v>42978</v>
      </c>
      <c r="G453" s="23">
        <v>5.0087748727121699</v>
      </c>
      <c r="H453">
        <v>-1</v>
      </c>
    </row>
    <row r="454" spans="6:8" x14ac:dyDescent="0.3">
      <c r="F454" s="58">
        <v>43008</v>
      </c>
      <c r="G454" s="23">
        <v>2.0620918230509799</v>
      </c>
      <c r="H454">
        <v>-1.2</v>
      </c>
    </row>
    <row r="455" spans="6:8" x14ac:dyDescent="0.3">
      <c r="F455" s="58">
        <v>43039</v>
      </c>
      <c r="G455" s="23">
        <v>-1.5300377672225101</v>
      </c>
      <c r="H455">
        <v>-1.2</v>
      </c>
    </row>
    <row r="456" spans="6:8" x14ac:dyDescent="0.3">
      <c r="F456" s="58">
        <v>43069</v>
      </c>
      <c r="G456" s="23">
        <v>-2.13189267072074</v>
      </c>
      <c r="H456">
        <v>-0.6</v>
      </c>
    </row>
    <row r="457" spans="6:8" x14ac:dyDescent="0.3">
      <c r="F457" s="58">
        <v>43100</v>
      </c>
      <c r="G457" s="23">
        <v>-1.11366733550712</v>
      </c>
      <c r="H457">
        <v>-0.8</v>
      </c>
    </row>
    <row r="458" spans="6:8" x14ac:dyDescent="0.3">
      <c r="F458" s="58">
        <v>43131</v>
      </c>
      <c r="G458" s="23">
        <v>0.37492473619371303</v>
      </c>
      <c r="H458">
        <v>-0.9</v>
      </c>
    </row>
    <row r="459" spans="6:8" x14ac:dyDescent="0.3">
      <c r="F459" s="58">
        <v>43159</v>
      </c>
      <c r="G459" s="23">
        <v>0.84561668299325998</v>
      </c>
      <c r="H459">
        <v>-0.7</v>
      </c>
    </row>
    <row r="460" spans="6:8" x14ac:dyDescent="0.3">
      <c r="F460" s="58">
        <v>43190</v>
      </c>
      <c r="G460" s="23">
        <v>-0.39772120328331401</v>
      </c>
      <c r="H460">
        <v>-0.5</v>
      </c>
    </row>
    <row r="461" spans="6:8" x14ac:dyDescent="0.3">
      <c r="F461" s="58">
        <v>43220</v>
      </c>
      <c r="G461" s="23">
        <v>-0.430862246593119</v>
      </c>
      <c r="H461">
        <v>0.7</v>
      </c>
    </row>
    <row r="462" spans="6:8" x14ac:dyDescent="0.3">
      <c r="F462" s="58">
        <v>43251</v>
      </c>
      <c r="G462" s="23">
        <v>-0.137134073095633</v>
      </c>
      <c r="H462">
        <v>0.5</v>
      </c>
    </row>
    <row r="463" spans="6:8" x14ac:dyDescent="0.3">
      <c r="F463" s="58">
        <v>43281</v>
      </c>
      <c r="G463" s="23">
        <v>-0.81649844202460897</v>
      </c>
      <c r="H463">
        <v>0.6</v>
      </c>
    </row>
    <row r="464" spans="6:8" x14ac:dyDescent="0.3">
      <c r="F464" s="58">
        <v>43312</v>
      </c>
      <c r="G464" s="23">
        <v>-1.6273841221632299</v>
      </c>
      <c r="H464">
        <v>1.1000000000000001</v>
      </c>
    </row>
    <row r="465" spans="6:8" x14ac:dyDescent="0.3">
      <c r="F465" s="58">
        <v>43343</v>
      </c>
      <c r="G465" s="23">
        <v>-1.5345640001907299</v>
      </c>
      <c r="H465">
        <v>1.3</v>
      </c>
    </row>
    <row r="466" spans="6:8" x14ac:dyDescent="0.3">
      <c r="F466" s="58">
        <v>43373</v>
      </c>
      <c r="G466" s="23">
        <v>1.05034043873608</v>
      </c>
      <c r="H466">
        <v>1.9</v>
      </c>
    </row>
    <row r="467" spans="6:8" x14ac:dyDescent="0.3">
      <c r="F467" s="58">
        <v>43404</v>
      </c>
      <c r="G467" s="23">
        <v>8.6859175437479699E-3</v>
      </c>
      <c r="H467">
        <v>1.9</v>
      </c>
    </row>
    <row r="468" spans="6:8" x14ac:dyDescent="0.3">
      <c r="F468" s="58">
        <v>43434</v>
      </c>
      <c r="G468" s="23">
        <v>1.6669196631863801</v>
      </c>
      <c r="H468">
        <v>2.2999999999999998</v>
      </c>
    </row>
    <row r="469" spans="6:8" x14ac:dyDescent="0.3">
      <c r="F469" s="58">
        <v>43465</v>
      </c>
      <c r="G469" s="23">
        <v>1.5251796657160299</v>
      </c>
      <c r="H469">
        <v>3</v>
      </c>
    </row>
    <row r="470" spans="6:8" x14ac:dyDescent="0.3">
      <c r="F470" s="58">
        <v>43496</v>
      </c>
      <c r="G470" s="23">
        <v>0.85943069360751401</v>
      </c>
      <c r="H470">
        <v>2.4</v>
      </c>
    </row>
    <row r="471" spans="6:8" x14ac:dyDescent="0.3">
      <c r="F471" s="58">
        <v>43524</v>
      </c>
      <c r="G471" s="23">
        <v>1.66880332124524</v>
      </c>
      <c r="H471">
        <v>3</v>
      </c>
    </row>
    <row r="472" spans="6:8" x14ac:dyDescent="0.3">
      <c r="F472" s="58">
        <v>43555</v>
      </c>
      <c r="G472" s="23">
        <v>0.975027128927624</v>
      </c>
      <c r="H472">
        <v>3</v>
      </c>
    </row>
    <row r="473" spans="6:8" x14ac:dyDescent="0.3">
      <c r="F473" s="58">
        <v>43585</v>
      </c>
      <c r="G473" s="23">
        <v>2.1819302419284901</v>
      </c>
      <c r="H473">
        <v>2</v>
      </c>
    </row>
    <row r="474" spans="6:8" x14ac:dyDescent="0.3">
      <c r="F474" s="58">
        <v>43616</v>
      </c>
      <c r="G474" s="23">
        <v>4.3030970978240202</v>
      </c>
      <c r="H474">
        <v>3.2</v>
      </c>
    </row>
    <row r="475" spans="6:8" x14ac:dyDescent="0.3">
      <c r="F475" s="58">
        <v>43646</v>
      </c>
      <c r="G475" s="23">
        <v>3.8416072258220502</v>
      </c>
      <c r="H475">
        <v>2.6</v>
      </c>
    </row>
    <row r="476" spans="6:8" x14ac:dyDescent="0.3">
      <c r="F476" s="58">
        <v>43677</v>
      </c>
      <c r="G476" s="23">
        <v>3.7425206251530998</v>
      </c>
      <c r="H476">
        <v>3</v>
      </c>
    </row>
    <row r="477" spans="6:8" x14ac:dyDescent="0.3">
      <c r="F477" s="58">
        <v>43708</v>
      </c>
      <c r="G477" s="23">
        <v>4.5106574215027999</v>
      </c>
      <c r="H477">
        <v>2.4</v>
      </c>
    </row>
    <row r="478" spans="6:8" x14ac:dyDescent="0.3">
      <c r="F478" s="58">
        <v>43738</v>
      </c>
      <c r="G478" s="23">
        <v>4.7744915098148697</v>
      </c>
      <c r="H478">
        <v>3.2</v>
      </c>
    </row>
    <row r="479" spans="6:8" x14ac:dyDescent="0.3">
      <c r="F479" s="58">
        <v>43769</v>
      </c>
      <c r="G479" s="23">
        <v>7.8225924482478701</v>
      </c>
      <c r="H479">
        <v>3.5</v>
      </c>
    </row>
    <row r="480" spans="6:8" x14ac:dyDescent="0.3">
      <c r="F480" s="58">
        <v>43799</v>
      </c>
      <c r="G480" s="23">
        <v>5.9365902961801904</v>
      </c>
      <c r="H480">
        <v>4.8</v>
      </c>
    </row>
    <row r="481" spans="6:8" x14ac:dyDescent="0.3">
      <c r="F481" s="58">
        <v>43830</v>
      </c>
      <c r="G481" s="23">
        <v>7.7708970773736397</v>
      </c>
      <c r="H481">
        <v>7</v>
      </c>
    </row>
    <row r="482" spans="6:8" x14ac:dyDescent="0.3">
      <c r="F482" s="58">
        <v>43861</v>
      </c>
      <c r="G482" s="23">
        <v>7.3108299276082498</v>
      </c>
      <c r="H482">
        <v>8.5</v>
      </c>
    </row>
    <row r="483" spans="6:8" x14ac:dyDescent="0.3">
      <c r="F483" s="58">
        <v>43890</v>
      </c>
      <c r="G483" s="23">
        <v>8.0843171648080094</v>
      </c>
      <c r="H483">
        <v>9.6</v>
      </c>
    </row>
    <row r="484" spans="6:8" x14ac:dyDescent="0.3">
      <c r="F484" s="58">
        <v>43921</v>
      </c>
      <c r="G484" s="23">
        <v>10.111638772014899</v>
      </c>
      <c r="H484">
        <v>11.8</v>
      </c>
    </row>
    <row r="485" spans="6:8" x14ac:dyDescent="0.3">
      <c r="F485" s="58">
        <v>43951</v>
      </c>
      <c r="G485" s="23">
        <v>10.5939602837315</v>
      </c>
      <c r="H485">
        <v>12.2</v>
      </c>
    </row>
    <row r="486" spans="6:8" x14ac:dyDescent="0.3">
      <c r="F486" s="58">
        <v>43982</v>
      </c>
      <c r="G486" s="23">
        <v>10.1407972123425</v>
      </c>
      <c r="H486">
        <v>11</v>
      </c>
    </row>
    <row r="487" spans="6:8" x14ac:dyDescent="0.3">
      <c r="F487" s="58">
        <v>44012</v>
      </c>
      <c r="G487" s="23">
        <v>10.103137342863899</v>
      </c>
      <c r="H487">
        <v>13.2</v>
      </c>
    </row>
    <row r="488" spans="6:8" x14ac:dyDescent="0.3">
      <c r="F488" s="58">
        <v>44043</v>
      </c>
      <c r="G488" s="23">
        <v>10.6684086352075</v>
      </c>
      <c r="H488">
        <v>13.5</v>
      </c>
    </row>
    <row r="489" spans="6:8" x14ac:dyDescent="0.3">
      <c r="F489" s="58">
        <v>44074</v>
      </c>
      <c r="G489" s="23">
        <v>10.455744891110999</v>
      </c>
      <c r="H489">
        <v>14.3</v>
      </c>
    </row>
    <row r="490" spans="6:8" x14ac:dyDescent="0.3">
      <c r="F490" s="58">
        <v>44104</v>
      </c>
      <c r="G490" s="23">
        <v>10.093079528535499</v>
      </c>
      <c r="H490">
        <v>15</v>
      </c>
    </row>
    <row r="491" spans="6:8" x14ac:dyDescent="0.3">
      <c r="F491" s="58">
        <v>44135</v>
      </c>
      <c r="G491" s="23">
        <v>9.8885649946656198</v>
      </c>
      <c r="H491">
        <v>15.2</v>
      </c>
    </row>
    <row r="492" spans="6:8" x14ac:dyDescent="0.3">
      <c r="F492" s="58">
        <v>44165</v>
      </c>
      <c r="G492" s="23">
        <v>12.0674885704394</v>
      </c>
      <c r="H492">
        <v>14.9</v>
      </c>
    </row>
    <row r="493" spans="6:8" x14ac:dyDescent="0.3">
      <c r="F493" s="58">
        <v>44196</v>
      </c>
      <c r="G493" s="23">
        <v>9.2628425983630702</v>
      </c>
      <c r="H493">
        <v>14</v>
      </c>
    </row>
    <row r="494" spans="6:8" x14ac:dyDescent="0.3">
      <c r="F494" s="58">
        <v>44227</v>
      </c>
      <c r="G494" s="23">
        <v>9.2378843404336397</v>
      </c>
      <c r="H494">
        <v>14.43</v>
      </c>
    </row>
    <row r="495" spans="6:8" x14ac:dyDescent="0.3">
      <c r="F495" s="58">
        <v>44255</v>
      </c>
      <c r="G495" s="23">
        <v>8.9064960326991205</v>
      </c>
      <c r="H495">
        <v>14.7</v>
      </c>
    </row>
    <row r="496" spans="6:8" x14ac:dyDescent="0.3">
      <c r="F496" s="58">
        <v>44286</v>
      </c>
      <c r="G496" s="23">
        <v>8.5728037681693401</v>
      </c>
      <c r="H496">
        <v>14.6</v>
      </c>
    </row>
    <row r="497" spans="6:8" x14ac:dyDescent="0.3">
      <c r="F497" s="58">
        <v>44316</v>
      </c>
      <c r="G497" s="23">
        <v>6.8602584893973502</v>
      </c>
      <c r="H497">
        <v>14.4</v>
      </c>
    </row>
    <row r="498" spans="6:8" x14ac:dyDescent="0.3">
      <c r="F498" s="58">
        <v>44347</v>
      </c>
      <c r="G498" s="23">
        <v>4.9297491301820999</v>
      </c>
      <c r="H498">
        <v>15.5</v>
      </c>
    </row>
    <row r="499" spans="6:8" x14ac:dyDescent="0.3">
      <c r="F499" s="58">
        <v>44377</v>
      </c>
      <c r="G499" s="23">
        <v>6.4146851478782603</v>
      </c>
      <c r="H499">
        <v>15.7</v>
      </c>
    </row>
    <row r="500" spans="6:8" x14ac:dyDescent="0.3">
      <c r="F500" s="58">
        <v>44408</v>
      </c>
      <c r="G500" s="23">
        <v>6.20423432368717</v>
      </c>
      <c r="H500">
        <v>15.5</v>
      </c>
    </row>
    <row r="501" spans="6:8" x14ac:dyDescent="0.3">
      <c r="F501" s="58">
        <v>44439</v>
      </c>
      <c r="G501" s="23">
        <v>5.2772009796130002</v>
      </c>
      <c r="H501">
        <v>15.1</v>
      </c>
    </row>
    <row r="502" spans="6:8" x14ac:dyDescent="0.3">
      <c r="F502" s="58">
        <v>44469</v>
      </c>
      <c r="G502" s="23">
        <v>5.7897375578633703</v>
      </c>
      <c r="H502">
        <v>15.2</v>
      </c>
    </row>
    <row r="503" spans="6:8" x14ac:dyDescent="0.3">
      <c r="F503" s="58">
        <v>44500</v>
      </c>
      <c r="G503" s="23">
        <v>5.0580249626306504</v>
      </c>
      <c r="H503">
        <v>15.8</v>
      </c>
    </row>
    <row r="504" spans="6:8" x14ac:dyDescent="0.3">
      <c r="F504" s="58">
        <v>44530</v>
      </c>
      <c r="G504" s="23">
        <v>4.2213042351661301</v>
      </c>
      <c r="H504">
        <v>15.2</v>
      </c>
    </row>
  </sheetData>
  <mergeCells count="4">
    <mergeCell ref="C56:E56"/>
    <mergeCell ref="A80:O80"/>
    <mergeCell ref="A356:S356"/>
    <mergeCell ref="AI20:AL20"/>
  </mergeCells>
  <pageMargins left="0.7" right="0.7" top="0.75" bottom="0.75" header="0.3" footer="0.3"/>
  <pageSetup paperSize="9" orientation="portrait" r:id="rId1"/>
  <ignoredErrors>
    <ignoredError sqref="C40:M40 G62"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Disclaimer</vt:lpstr>
      <vt:lpstr>Assumptions</vt:lpstr>
      <vt:lpstr>Dashboard</vt:lpstr>
      <vt:lpstr>2022 Expectations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Jenevivu</cp:lastModifiedBy>
  <dcterms:created xsi:type="dcterms:W3CDTF">2015-04-19T11:30:59Z</dcterms:created>
  <dcterms:modified xsi:type="dcterms:W3CDTF">2022-02-15T12:34:23Z</dcterms:modified>
</cp:coreProperties>
</file>