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umiyau/Documents/GitHub/JSS-EAM-Divorce/Results/Regression/"/>
    </mc:Choice>
  </mc:AlternateContent>
  <xr:revisionPtr revIDLastSave="0" documentId="13_ncr:1_{05EFF158-7370-824A-985F-ABD227793D04}" xr6:coauthVersionLast="36" xr6:coauthVersionMax="36" xr10:uidLastSave="{00000000-0000-0000-0000-000000000000}"/>
  <bookViews>
    <workbookView xWindow="4860" yWindow="-20960" windowWidth="27660" windowHeight="17040" xr2:uid="{C35C6913-22F5-5E42-BCA5-A3DCAA2FD316}"/>
  </bookViews>
  <sheets>
    <sheet name="男性学歴" sheetId="1" r:id="rId1"/>
  </sheets>
  <definedNames>
    <definedName name="Interaction" localSheetId="0">男性学歴!#REF!</definedName>
    <definedName name="Interaction_1" localSheetId="0">男性学歴!$A$1:$H$52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1" l="1"/>
  <c r="D36" i="1"/>
  <c r="D34" i="1"/>
  <c r="D33" i="1"/>
  <c r="D31" i="1"/>
  <c r="D30" i="1"/>
  <c r="C37" i="1"/>
  <c r="C36" i="1"/>
  <c r="C34" i="1"/>
  <c r="C33" i="1"/>
  <c r="C31" i="1"/>
  <c r="C30" i="1"/>
  <c r="G23" i="1"/>
  <c r="G27" i="1"/>
  <c r="G17" i="1"/>
  <c r="G18" i="1"/>
  <c r="G19" i="1"/>
  <c r="G20" i="1"/>
  <c r="G21" i="1"/>
  <c r="G22" i="1"/>
  <c r="G24" i="1"/>
  <c r="G25" i="1"/>
  <c r="G26" i="1"/>
  <c r="A1" i="1"/>
  <c r="A2" i="1"/>
  <c r="B2" i="1"/>
  <c r="F2" i="1"/>
  <c r="G2" i="1"/>
  <c r="H2" i="1"/>
  <c r="A3" i="1"/>
  <c r="B3" i="1"/>
  <c r="F3" i="1"/>
  <c r="G3" i="1"/>
  <c r="H3" i="1"/>
  <c r="A4" i="1"/>
  <c r="B4" i="1"/>
  <c r="F4" i="1"/>
  <c r="G4" i="1"/>
  <c r="H4" i="1"/>
  <c r="A5" i="1"/>
  <c r="B5" i="1"/>
  <c r="F5" i="1"/>
  <c r="G5" i="1"/>
  <c r="H5" i="1"/>
  <c r="A6" i="1"/>
  <c r="B6" i="1"/>
  <c r="F6" i="1"/>
  <c r="G6" i="1"/>
  <c r="H6" i="1"/>
  <c r="A7" i="1"/>
  <c r="B7" i="1"/>
  <c r="F7" i="1"/>
  <c r="G7" i="1"/>
  <c r="H7" i="1"/>
  <c r="A8" i="1"/>
  <c r="B8" i="1"/>
  <c r="F8" i="1"/>
  <c r="G8" i="1"/>
  <c r="H8" i="1"/>
  <c r="A9" i="1"/>
  <c r="B9" i="1"/>
  <c r="F9" i="1"/>
  <c r="G9" i="1"/>
  <c r="H9" i="1"/>
  <c r="A10" i="1"/>
  <c r="B10" i="1"/>
  <c r="F10" i="1"/>
  <c r="G10" i="1"/>
  <c r="H10" i="1"/>
  <c r="A11" i="1"/>
  <c r="B11" i="1"/>
  <c r="F11" i="1"/>
  <c r="G11" i="1"/>
  <c r="H11" i="1"/>
  <c r="A12" i="1"/>
  <c r="B12" i="1"/>
  <c r="F12" i="1"/>
  <c r="G12" i="1"/>
  <c r="H12" i="1"/>
  <c r="A13" i="1"/>
  <c r="B13" i="1"/>
  <c r="F13" i="1"/>
  <c r="G13" i="1"/>
  <c r="H13" i="1"/>
  <c r="A14" i="1"/>
  <c r="B14" i="1"/>
  <c r="F14" i="1"/>
  <c r="G14" i="1"/>
  <c r="H14" i="1"/>
  <c r="A15" i="1"/>
  <c r="B15" i="1"/>
  <c r="F15" i="1"/>
  <c r="G15" i="1"/>
  <c r="H15" i="1"/>
  <c r="A16" i="1"/>
  <c r="B16" i="1"/>
  <c r="F16" i="1"/>
  <c r="G16" i="1"/>
  <c r="H16" i="1"/>
  <c r="A17" i="1"/>
  <c r="B17" i="1"/>
  <c r="F17" i="1"/>
  <c r="H17" i="1"/>
  <c r="A18" i="1"/>
  <c r="B18" i="1"/>
  <c r="F18" i="1"/>
  <c r="H18" i="1"/>
  <c r="A19" i="1"/>
  <c r="B19" i="1"/>
  <c r="F19" i="1"/>
  <c r="H19" i="1"/>
  <c r="A20" i="1"/>
  <c r="F20" i="1"/>
  <c r="H20" i="1"/>
  <c r="A21" i="1"/>
  <c r="F21" i="1"/>
  <c r="H21" i="1"/>
  <c r="A22" i="1"/>
  <c r="F22" i="1"/>
  <c r="H22" i="1"/>
  <c r="A23" i="1"/>
  <c r="F23" i="1"/>
  <c r="H23" i="1"/>
  <c r="A24" i="1"/>
  <c r="F24" i="1"/>
  <c r="H24" i="1"/>
  <c r="A25" i="1"/>
  <c r="F25" i="1"/>
  <c r="H25" i="1"/>
  <c r="A26" i="1"/>
  <c r="F26" i="1"/>
  <c r="H26" i="1"/>
  <c r="A27" i="1"/>
  <c r="F27" i="1"/>
  <c r="H27" i="1"/>
  <c r="A28" i="1"/>
  <c r="F28" i="1"/>
  <c r="G28" i="1"/>
  <c r="H28" i="1"/>
  <c r="A29" i="1"/>
  <c r="F29" i="1"/>
  <c r="G29" i="1"/>
  <c r="H29" i="1"/>
  <c r="A30" i="1"/>
  <c r="F30" i="1"/>
  <c r="G30" i="1"/>
  <c r="H30" i="1"/>
  <c r="A31" i="1"/>
  <c r="F31" i="1"/>
  <c r="G31" i="1"/>
  <c r="H31" i="1"/>
  <c r="A32" i="1"/>
  <c r="F32" i="1"/>
  <c r="G32" i="1"/>
  <c r="H32" i="1"/>
  <c r="A33" i="1"/>
  <c r="F33" i="1"/>
  <c r="G33" i="1"/>
  <c r="H33" i="1"/>
  <c r="A34" i="1"/>
  <c r="F34" i="1"/>
  <c r="G34" i="1"/>
  <c r="H34" i="1"/>
  <c r="A35" i="1"/>
  <c r="F35" i="1"/>
  <c r="G35" i="1"/>
  <c r="H35" i="1"/>
  <c r="A36" i="1"/>
  <c r="F36" i="1"/>
  <c r="G36" i="1"/>
  <c r="H36" i="1"/>
  <c r="A37" i="1"/>
  <c r="F37" i="1"/>
  <c r="G37" i="1"/>
  <c r="H37" i="1"/>
  <c r="A38" i="1"/>
  <c r="B38" i="1"/>
  <c r="F38" i="1"/>
  <c r="G38" i="1"/>
  <c r="H38" i="1"/>
  <c r="A39" i="1"/>
  <c r="B39" i="1"/>
  <c r="F39" i="1"/>
  <c r="G39" i="1"/>
  <c r="H39" i="1"/>
  <c r="A40" i="1"/>
  <c r="B40" i="1"/>
  <c r="F40" i="1"/>
  <c r="G40" i="1"/>
  <c r="H40" i="1"/>
  <c r="A41" i="1"/>
  <c r="B41" i="1"/>
  <c r="F41" i="1"/>
  <c r="G41" i="1"/>
  <c r="H41" i="1"/>
  <c r="A42" i="1"/>
  <c r="B42" i="1"/>
  <c r="F42" i="1"/>
  <c r="G42" i="1"/>
  <c r="H42" i="1"/>
  <c r="A43" i="1"/>
  <c r="B43" i="1"/>
  <c r="F43" i="1"/>
  <c r="G43" i="1"/>
  <c r="H43" i="1"/>
  <c r="A44" i="1"/>
  <c r="B44" i="1"/>
  <c r="F44" i="1"/>
  <c r="G44" i="1"/>
  <c r="H44" i="1"/>
  <c r="A45" i="1"/>
  <c r="B45" i="1"/>
  <c r="F45" i="1"/>
  <c r="G45" i="1"/>
  <c r="H45" i="1"/>
  <c r="A46" i="1"/>
  <c r="B46" i="1"/>
  <c r="F46" i="1"/>
  <c r="G46" i="1"/>
  <c r="H46" i="1"/>
  <c r="A47" i="1"/>
  <c r="B47" i="1"/>
  <c r="F47" i="1"/>
  <c r="G47" i="1"/>
  <c r="H47" i="1"/>
  <c r="A48" i="1"/>
  <c r="B48" i="1"/>
  <c r="F48" i="1"/>
  <c r="G48" i="1"/>
  <c r="H48" i="1"/>
  <c r="A49" i="1"/>
  <c r="B49" i="1"/>
  <c r="F49" i="1"/>
  <c r="G49" i="1"/>
  <c r="H49" i="1"/>
  <c r="A50" i="1"/>
  <c r="B50" i="1"/>
  <c r="F50" i="1"/>
  <c r="G50" i="1"/>
  <c r="H50" i="1"/>
  <c r="A5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35EE4F1-6065-8E40-BD32-C52E85E31303}" name="Interaction1" type="6" refreshedVersion="6" background="1" saveData="1">
    <textPr codePage="65001" sourceFile="/Users/fumiyau/Documents/GitHub/JSS-EAM-Divorce/Results/Regression/Interaction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<sst xmlns="http://schemas.openxmlformats.org/spreadsheetml/2006/main" count="8" uniqueCount="6">
  <si>
    <t>="# p&lt;0.1</t>
  </si>
  <si>
    <t xml:space="preserve"> * p&lt;0.05</t>
  </si>
  <si>
    <t xml:space="preserve"> ** p&lt;0.01</t>
  </si>
  <si>
    <t xml:space="preserve"> *** p&lt;0.001"</t>
  </si>
  <si>
    <t>**</t>
    <phoneticPr fontId="2"/>
  </si>
  <si>
    <t>*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</si>
</sst>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2" fontId="0" fillId="2" borderId="0" xfId="0" applyNumberFormat="1" applyFill="1">
      <alignment vertical="center"/>
    </xf>
    <xf numFmtId="2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teraction_1" connectionId="1" xr16:uid="{DF6AD2DD-8FEF-B942-85E6-5C13BD05BB25}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46B0E-7563-ED4A-A69F-5367FAFA79E2}">
  <dimension ref="A1:H52"/>
  <sheetViews>
    <sheetView tabSelected="1" topLeftCell="A19" zoomScale="125" workbookViewId="0">
      <selection activeCell="D34" sqref="D30:D34"/>
    </sheetView>
  </sheetViews>
  <sheetFormatPr baseColWidth="10" defaultRowHeight="20"/>
  <cols>
    <col min="1" max="1" width="56.7109375" bestFit="1" customWidth="1"/>
    <col min="2" max="2" width="27.85546875" bestFit="1" customWidth="1"/>
    <col min="3" max="5" width="27.85546875" customWidth="1"/>
    <col min="6" max="6" width="10" bestFit="1" customWidth="1"/>
    <col min="7" max="7" width="27.85546875" bestFit="1" customWidth="1"/>
    <col min="8" max="8" width="7.5703125" bestFit="1" customWidth="1"/>
  </cols>
  <sheetData>
    <row r="1" spans="1:8">
      <c r="A1" t="str">
        <f>"Determinants of second childbirth (left: adjusted right: observed)"</f>
        <v>Determinants of second childbirth (left: adjusted right: observed)</v>
      </c>
    </row>
    <row r="2" spans="1:8">
      <c r="A2" t="str">
        <f>""</f>
        <v/>
      </c>
      <c r="B2" t="str">
        <f>"(1)"</f>
        <v>(1)</v>
      </c>
      <c r="F2" t="str">
        <f>""</f>
        <v/>
      </c>
      <c r="G2" t="str">
        <f>"(2)"</f>
        <v>(2)</v>
      </c>
      <c r="H2" t="str">
        <f>""</f>
        <v/>
      </c>
    </row>
    <row r="3" spans="1:8">
      <c r="A3" t="str">
        <f>""</f>
        <v/>
      </c>
      <c r="B3" t="str">
        <f>"analysis time when record ends"</f>
        <v>analysis time when record ends</v>
      </c>
      <c r="F3" t="str">
        <f>""</f>
        <v/>
      </c>
      <c r="G3" t="str">
        <f>"analysis time when record ends"</f>
        <v>analysis time when record ends</v>
      </c>
      <c r="H3" t="str">
        <f>""</f>
        <v/>
      </c>
    </row>
    <row r="4" spans="1:8">
      <c r="A4" t="str">
        <f>"妻下降婚"</f>
        <v>妻下降婚</v>
      </c>
      <c r="B4" t="str">
        <f>"0.971**"</f>
        <v>0.971**</v>
      </c>
      <c r="F4" t="str">
        <f>"(0.305)"</f>
        <v>(0.305)</v>
      </c>
      <c r="G4" t="str">
        <f>""</f>
        <v/>
      </c>
      <c r="H4" t="str">
        <f>""</f>
        <v/>
      </c>
    </row>
    <row r="5" spans="1:8">
      <c r="A5" t="str">
        <f>"結婚年コーホート（1950-1964年）"</f>
        <v>結婚年コーホート（1950-1964年）</v>
      </c>
      <c r="B5" t="str">
        <f>"-1.030#"</f>
        <v>-1.030#</v>
      </c>
      <c r="F5" t="str">
        <f>"(0.541)"</f>
        <v>(0.541)</v>
      </c>
      <c r="G5" t="str">
        <f>"-0.972#"</f>
        <v>-0.972#</v>
      </c>
      <c r="H5" t="str">
        <f>"(0.539)"</f>
        <v>(0.539)</v>
      </c>
    </row>
    <row r="6" spans="1:8">
      <c r="A6" t="str">
        <f>"妻下降婚 # 結婚年コーホート（1950-1964年）"</f>
        <v>妻下降婚 # 結婚年コーホート（1950-1964年）</v>
      </c>
      <c r="B6" t="str">
        <f>"0.130"</f>
        <v>0.130</v>
      </c>
      <c r="F6" t="str">
        <f>"(0.514)"</f>
        <v>(0.514)</v>
      </c>
      <c r="G6" t="str">
        <f>""</f>
        <v/>
      </c>
      <c r="H6" t="str">
        <f>""</f>
        <v/>
      </c>
    </row>
    <row r="7" spans="1:8">
      <c r="A7" t="str">
        <f>"結婚年コーホート（1980-1994年）"</f>
        <v>結婚年コーホート（1980-1994年）</v>
      </c>
      <c r="B7" t="str">
        <f>"0.366"</f>
        <v>0.366</v>
      </c>
      <c r="F7" t="str">
        <f>"(0.452)"</f>
        <v>(0.452)</v>
      </c>
      <c r="G7" t="str">
        <f>"-0.922"</f>
        <v>-0.922</v>
      </c>
      <c r="H7" t="str">
        <f>"(0.743)"</f>
        <v>(0.743)</v>
      </c>
    </row>
    <row r="8" spans="1:8">
      <c r="A8" t="str">
        <f>"妻下降婚 # 結婚年コーホート（1980-1994年）"</f>
        <v>妻下降婚 # 結婚年コーホート（1980-1994年）</v>
      </c>
      <c r="B8" t="str">
        <f>"-0.936*"</f>
        <v>-0.936*</v>
      </c>
      <c r="F8" t="str">
        <f>"(0.434)"</f>
        <v>(0.434)</v>
      </c>
      <c r="G8" t="str">
        <f>""</f>
        <v/>
      </c>
      <c r="H8" t="str">
        <f>""</f>
        <v/>
      </c>
    </row>
    <row r="9" spans="1:8">
      <c r="A9" t="str">
        <f>"結婚年コーホート（1995-2010年）"</f>
        <v>結婚年コーホート（1995-2010年）</v>
      </c>
      <c r="B9" t="str">
        <f>"0.498"</f>
        <v>0.498</v>
      </c>
      <c r="F9" t="str">
        <f>"(0.463)"</f>
        <v>(0.463)</v>
      </c>
      <c r="G9" t="str">
        <f>"-0.567"</f>
        <v>-0.567</v>
      </c>
      <c r="H9" t="str">
        <f>"(0.784)"</f>
        <v>(0.784)</v>
      </c>
    </row>
    <row r="10" spans="1:8">
      <c r="A10" t="str">
        <f>"妻下降婚 # 結婚年コーホート（1995-2010年）"</f>
        <v>妻下降婚 # 結婚年コーホート（1995-2010年）</v>
      </c>
      <c r="B10" t="str">
        <f>"-1.045#"</f>
        <v>-1.045#</v>
      </c>
      <c r="F10" t="str">
        <f>"(0.567)"</f>
        <v>(0.567)</v>
      </c>
      <c r="G10" t="str">
        <f>""</f>
        <v/>
      </c>
      <c r="H10" t="str">
        <f>""</f>
        <v/>
      </c>
    </row>
    <row r="11" spans="1:8">
      <c r="A11" t="str">
        <f>"2015年調査ダミー"</f>
        <v>2015年調査ダミー</v>
      </c>
      <c r="B11" t="str">
        <f>"0.145"</f>
        <v>0.145</v>
      </c>
      <c r="F11" t="str">
        <f>"(0.103)"</f>
        <v>(0.103)</v>
      </c>
      <c r="G11" t="str">
        <f>"0.146"</f>
        <v>0.146</v>
      </c>
      <c r="H11" t="str">
        <f>"(0.103)"</f>
        <v>(0.103)</v>
      </c>
    </row>
    <row r="12" spans="1:8">
      <c r="A12" t="str">
        <f>"結婚年齢23-25歳"</f>
        <v>結婚年齢23-25歳</v>
      </c>
      <c r="B12" t="str">
        <f>"-0.696***"</f>
        <v>-0.696***</v>
      </c>
      <c r="F12" t="str">
        <f>"(0.111)"</f>
        <v>(0.111)</v>
      </c>
      <c r="G12" t="str">
        <f>"-0.692***"</f>
        <v>-0.692***</v>
      </c>
      <c r="H12" t="str">
        <f>"(0.111)"</f>
        <v>(0.111)</v>
      </c>
    </row>
    <row r="13" spans="1:8">
      <c r="A13" t="str">
        <f>"結婚年齢26-28歳"</f>
        <v>結婚年齢26-28歳</v>
      </c>
      <c r="B13" t="str">
        <f>"-0.563***"</f>
        <v>-0.563***</v>
      </c>
      <c r="F13" t="str">
        <f>"(0.124)"</f>
        <v>(0.124)</v>
      </c>
      <c r="G13" t="str">
        <f>"-0.556***"</f>
        <v>-0.556***</v>
      </c>
      <c r="H13" t="str">
        <f>"(0.124)"</f>
        <v>(0.124)</v>
      </c>
    </row>
    <row r="14" spans="1:8">
      <c r="A14" t="str">
        <f>"結婚年齢29-31歳"</f>
        <v>結婚年齢29-31歳</v>
      </c>
      <c r="B14" t="str">
        <f>"-1.155***"</f>
        <v>-1.155***</v>
      </c>
      <c r="F14" t="str">
        <f>"(0.218)"</f>
        <v>(0.218)</v>
      </c>
      <c r="G14" t="str">
        <f>"-1.153***"</f>
        <v>-1.153***</v>
      </c>
      <c r="H14" t="str">
        <f>"(0.218)"</f>
        <v>(0.218)</v>
      </c>
    </row>
    <row r="15" spans="1:8">
      <c r="A15" t="str">
        <f>"父親高等教育卒"</f>
        <v>父親高等教育卒</v>
      </c>
      <c r="B15" t="str">
        <f>"-0.011"</f>
        <v>-0.011</v>
      </c>
      <c r="F15" t="str">
        <f>"(0.143)"</f>
        <v>(0.143)</v>
      </c>
      <c r="G15" t="str">
        <f>"-0.012"</f>
        <v>-0.012</v>
      </c>
      <c r="H15" t="str">
        <f>"(0.144)"</f>
        <v>(0.144)</v>
      </c>
    </row>
    <row r="16" spans="1:8">
      <c r="A16" t="str">
        <f>"父親最終学歴不明"</f>
        <v>父親最終学歴不明</v>
      </c>
      <c r="B16" t="str">
        <f>"0.044"</f>
        <v>0.044</v>
      </c>
      <c r="F16" t="str">
        <f>"(0.122)"</f>
        <v>(0.122)</v>
      </c>
      <c r="G16" t="str">
        <f>"0.041"</f>
        <v>0.041</v>
      </c>
      <c r="H16" t="str">
        <f>"(0.122)"</f>
        <v>(0.122)</v>
      </c>
    </row>
    <row r="17" spans="1:8">
      <c r="A17" t="str">
        <f>"本人中学卒"</f>
        <v>本人中学卒</v>
      </c>
      <c r="B17" t="str">
        <f>"0.496"</f>
        <v>0.496</v>
      </c>
      <c r="F17" t="str">
        <f>"(0.464)"</f>
        <v>(0.464)</v>
      </c>
      <c r="G17" s="2" t="str">
        <f>"-0.826"</f>
        <v>-0.826</v>
      </c>
      <c r="H17" t="str">
        <f>"(0.570)"</f>
        <v>(0.570)</v>
      </c>
    </row>
    <row r="18" spans="1:8">
      <c r="A18" t="str">
        <f>"本人高校卒"</f>
        <v>本人高校卒</v>
      </c>
      <c r="B18" t="str">
        <f>"0.086"</f>
        <v>0.086</v>
      </c>
      <c r="F18" t="str">
        <f>"(0.401)"</f>
        <v>(0.401)</v>
      </c>
      <c r="G18" t="str">
        <f>"-0.777"</f>
        <v>-0.777</v>
      </c>
      <c r="H18" t="str">
        <f>"(0.560)"</f>
        <v>(0.560)</v>
      </c>
    </row>
    <row r="19" spans="1:8">
      <c r="A19" t="str">
        <f>"本人短大高専卒"</f>
        <v>本人短大高専卒</v>
      </c>
      <c r="B19" t="str">
        <f>"-0.327"</f>
        <v>-0.327</v>
      </c>
      <c r="F19" t="str">
        <f>"(0.446)"</f>
        <v>(0.446)</v>
      </c>
      <c r="G19" t="str">
        <f>"-0.923"</f>
        <v>-0.923</v>
      </c>
      <c r="H19" t="str">
        <f>"(0.572)"</f>
        <v>(0.572)</v>
      </c>
    </row>
    <row r="20" spans="1:8" s="1" customFormat="1">
      <c r="A20" s="1" t="str">
        <f>"配偶者中学卒"</f>
        <v>配偶者中学卒</v>
      </c>
      <c r="B20" s="1">
        <v>-0.499</v>
      </c>
      <c r="F20" s="1" t="str">
        <f>"(0.367)"</f>
        <v>(0.367)</v>
      </c>
      <c r="G20" s="1" t="str">
        <f>"0.485#"</f>
        <v>0.485#</v>
      </c>
      <c r="H20" s="1" t="str">
        <f>"(0.278)"</f>
        <v>(0.278)</v>
      </c>
    </row>
    <row r="21" spans="1:8" s="1" customFormat="1">
      <c r="A21" s="1" t="str">
        <f>"配偶者高校卒"</f>
        <v>配偶者高校卒</v>
      </c>
      <c r="B21" s="1">
        <v>-0.11799999999999999</v>
      </c>
      <c r="F21" s="1" t="str">
        <f>"(0.252)"</f>
        <v>(0.252)</v>
      </c>
      <c r="G21" s="1" t="str">
        <f>"0.414"</f>
        <v>0.414</v>
      </c>
      <c r="H21" s="1" t="str">
        <f>"(0.270)"</f>
        <v>(0.270)</v>
      </c>
    </row>
    <row r="22" spans="1:8" s="1" customFormat="1">
      <c r="A22" s="1" t="str">
        <f>"配偶者短大高専卒"</f>
        <v>配偶者短大高専卒</v>
      </c>
      <c r="B22" s="1">
        <v>0.14599999999999999</v>
      </c>
      <c r="F22" s="1" t="str">
        <f>"(0.494)"</f>
        <v>(0.494)</v>
      </c>
      <c r="G22" s="1" t="str">
        <f>"0.338"</f>
        <v>0.338</v>
      </c>
      <c r="H22" s="1" t="str">
        <f>"(0.492)"</f>
        <v>(0.492)</v>
      </c>
    </row>
    <row r="23" spans="1:8">
      <c r="A23" t="str">
        <f>"redu41marco3"</f>
        <v>redu41marco3</v>
      </c>
      <c r="B23">
        <v>-6.0999999999999999E-2</v>
      </c>
      <c r="F23" t="str">
        <f>"(0.672)"</f>
        <v>(0.672)</v>
      </c>
      <c r="G23" s="2" t="str">
        <f>"1.665*"</f>
        <v>1.665*</v>
      </c>
      <c r="H23" t="str">
        <f>"(0.792)"</f>
        <v>(0.792)</v>
      </c>
    </row>
    <row r="24" spans="1:8">
      <c r="A24" t="str">
        <f>"redu41marco4"</f>
        <v>redu41marco4</v>
      </c>
      <c r="B24">
        <v>-0.89400000000000002</v>
      </c>
      <c r="F24" t="str">
        <f>"(0.915)"</f>
        <v>(0.915)</v>
      </c>
      <c r="G24" t="str">
        <f>"0.614"</f>
        <v>0.614</v>
      </c>
      <c r="H24" t="str">
        <f>"(0.911)"</f>
        <v>(0.911)</v>
      </c>
    </row>
    <row r="25" spans="1:8">
      <c r="A25" t="str">
        <f>"redu42marco3"</f>
        <v>redu42marco3</v>
      </c>
      <c r="B25">
        <v>-0.19</v>
      </c>
      <c r="F25" t="str">
        <f>"(0.520)"</f>
        <v>(0.520)</v>
      </c>
      <c r="G25" s="2" t="str">
        <f>"1.104"</f>
        <v>1.104</v>
      </c>
      <c r="H25" t="str">
        <f>"(0.753)"</f>
        <v>(0.753)</v>
      </c>
    </row>
    <row r="26" spans="1:8">
      <c r="A26" t="str">
        <f>"redu42marco4"</f>
        <v>redu42marco4</v>
      </c>
      <c r="B26">
        <v>-0.26600000000000001</v>
      </c>
      <c r="F26" t="str">
        <f>"(0.593)"</f>
        <v>(0.593)</v>
      </c>
      <c r="G26" t="str">
        <f>"0.793"</f>
        <v>0.793</v>
      </c>
      <c r="H26" t="str">
        <f>"(0.795)"</f>
        <v>(0.795)</v>
      </c>
    </row>
    <row r="27" spans="1:8">
      <c r="A27" t="str">
        <f>"redu43marco3"</f>
        <v>redu43marco3</v>
      </c>
      <c r="B27">
        <v>0.39800000000000002</v>
      </c>
      <c r="F27" t="str">
        <f>"(0.543)"</f>
        <v>(0.543)</v>
      </c>
      <c r="G27" s="2" t="str">
        <f>"1.329#"</f>
        <v>1.329#</v>
      </c>
      <c r="H27" t="str">
        <f>"(0.734)"</f>
        <v>(0.734)</v>
      </c>
    </row>
    <row r="28" spans="1:8">
      <c r="A28" t="str">
        <f>"redu43marco4"</f>
        <v>redu43marco4</v>
      </c>
      <c r="B28">
        <v>0.191</v>
      </c>
      <c r="F28" t="str">
        <f>"(0.566)"</f>
        <v>(0.566)</v>
      </c>
      <c r="G28" t="str">
        <f>"0.887"</f>
        <v>0.887</v>
      </c>
      <c r="H28" t="str">
        <f>"(0.717)"</f>
        <v>(0.717)</v>
      </c>
    </row>
    <row r="29" spans="1:8">
      <c r="A29" t="str">
        <f>"spedu41marco1"</f>
        <v>spedu41marco1</v>
      </c>
      <c r="B29">
        <v>0.34</v>
      </c>
      <c r="F29" t="str">
        <f>"(0.645)"</f>
        <v>(0.645)</v>
      </c>
      <c r="G29" t="str">
        <f>"0.230"</f>
        <v>0.230</v>
      </c>
      <c r="H29" t="str">
        <f>"(0.660)"</f>
        <v>(0.660)</v>
      </c>
    </row>
    <row r="30" spans="1:8" s="1" customFormat="1">
      <c r="A30" s="1" t="str">
        <f>"spedu41marco3"</f>
        <v>spedu41marco3</v>
      </c>
      <c r="B30" s="1">
        <v>1.64</v>
      </c>
      <c r="C30" s="1">
        <f>SUM(B20+B30)</f>
        <v>1.141</v>
      </c>
      <c r="D30" s="3">
        <f>EXP(C30)</f>
        <v>3.129896697456783</v>
      </c>
      <c r="E30" s="1" t="s">
        <v>4</v>
      </c>
      <c r="F30" s="1" t="str">
        <f>"(0.567)"</f>
        <v>(0.567)</v>
      </c>
      <c r="G30" s="1" t="str">
        <f>"0.750#"</f>
        <v>0.750#</v>
      </c>
      <c r="H30" s="1" t="str">
        <f>"(0.392)"</f>
        <v>(0.392)</v>
      </c>
    </row>
    <row r="31" spans="1:8">
      <c r="A31" s="1" t="str">
        <f>"spedu41marco4"</f>
        <v>spedu41marco4</v>
      </c>
      <c r="B31" s="1">
        <v>1.89</v>
      </c>
      <c r="C31" s="1">
        <f>SUM(B20+B31)</f>
        <v>1.391</v>
      </c>
      <c r="D31" s="3">
        <f>EXP(C31)</f>
        <v>4.0188669111415321</v>
      </c>
      <c r="E31" s="1" t="s">
        <v>5</v>
      </c>
      <c r="F31" s="1" t="str">
        <f>"(0.861)"</f>
        <v>(0.861)</v>
      </c>
      <c r="G31" s="1" t="str">
        <f>"0.859"</f>
        <v>0.859</v>
      </c>
      <c r="H31" s="1" t="str">
        <f>"(0.530)"</f>
        <v>(0.530)</v>
      </c>
    </row>
    <row r="32" spans="1:8">
      <c r="A32" t="str">
        <f>"spedu42marco1"</f>
        <v>spedu42marco1</v>
      </c>
      <c r="B32">
        <v>0.497</v>
      </c>
      <c r="D32" s="4"/>
      <c r="F32" t="str">
        <f>"(0.598)"</f>
        <v>(0.598)</v>
      </c>
      <c r="G32" t="str">
        <f>"0.342"</f>
        <v>0.342</v>
      </c>
      <c r="H32" t="str">
        <f>"(0.636)"</f>
        <v>(0.636)</v>
      </c>
    </row>
    <row r="33" spans="1:8" s="1" customFormat="1">
      <c r="A33" s="1" t="str">
        <f>"spedu42marco3"</f>
        <v>spedu42marco3</v>
      </c>
      <c r="B33" s="1">
        <v>0.77700000000000002</v>
      </c>
      <c r="C33" s="1">
        <f>SUM(B21,B33)</f>
        <v>0.65900000000000003</v>
      </c>
      <c r="D33" s="3">
        <f>EXP(C33)</f>
        <v>1.9328585091414119</v>
      </c>
      <c r="E33" s="1" t="s">
        <v>5</v>
      </c>
      <c r="F33" s="1" t="str">
        <f>"(0.351)"</f>
        <v>(0.351)</v>
      </c>
      <c r="G33" s="1" t="str">
        <f>"0.385"</f>
        <v>0.385</v>
      </c>
      <c r="H33" s="1" t="str">
        <f>"(0.366)"</f>
        <v>(0.366)</v>
      </c>
    </row>
    <row r="34" spans="1:8">
      <c r="A34" s="1" t="str">
        <f>"spedu42marco4"</f>
        <v>spedu42marco4</v>
      </c>
      <c r="B34" s="1">
        <v>1.355</v>
      </c>
      <c r="C34" s="1">
        <f>SUM(B21,B34)</f>
        <v>1.2370000000000001</v>
      </c>
      <c r="D34" s="3">
        <f>EXP(C34)</f>
        <v>3.4452621590903743</v>
      </c>
      <c r="E34" s="1" t="s">
        <v>4</v>
      </c>
      <c r="F34" s="1" t="str">
        <f>"(0.461)"</f>
        <v>(0.461)</v>
      </c>
      <c r="G34" s="1" t="str">
        <f>"0.883#"</f>
        <v>0.883#</v>
      </c>
      <c r="H34" s="1" t="str">
        <f>"(0.509)"</f>
        <v>(0.509)</v>
      </c>
    </row>
    <row r="35" spans="1:8">
      <c r="A35" t="str">
        <f>"spedu43marco1"</f>
        <v>spedu43marco1</v>
      </c>
      <c r="B35">
        <v>0.99399999999999999</v>
      </c>
      <c r="D35" s="4"/>
      <c r="F35" t="str">
        <f>"(0.862)"</f>
        <v>(0.862)</v>
      </c>
      <c r="G35" t="str">
        <f>"0.891"</f>
        <v>0.891</v>
      </c>
      <c r="H35" t="str">
        <f>"(0.860)"</f>
        <v>(0.860)</v>
      </c>
    </row>
    <row r="36" spans="1:8" s="1" customFormat="1">
      <c r="A36" s="1" t="str">
        <f>"spedu43marco3"</f>
        <v>spedu43marco3</v>
      </c>
      <c r="B36" s="1">
        <v>0.30099999999999999</v>
      </c>
      <c r="C36" s="1">
        <f>SUM(B22+B36)</f>
        <v>0.44699999999999995</v>
      </c>
      <c r="D36" s="3">
        <f>EXP(C36)</f>
        <v>1.5636142992864179</v>
      </c>
      <c r="F36" s="1" t="str">
        <f>"(0.618)"</f>
        <v>(0.618)</v>
      </c>
      <c r="G36" s="1" t="str">
        <f>"-0.086"</f>
        <v>-0.086</v>
      </c>
      <c r="H36" s="1" t="str">
        <f>"(0.653)"</f>
        <v>(0.653)</v>
      </c>
    </row>
    <row r="37" spans="1:8">
      <c r="A37" s="1" t="str">
        <f>"spedu43marco4"</f>
        <v>spedu43marco4</v>
      </c>
      <c r="B37" s="1">
        <v>-5.6000000000000001E-2</v>
      </c>
      <c r="C37" s="1">
        <f>SUM(B22+B37)</f>
        <v>0.09</v>
      </c>
      <c r="D37" s="3">
        <f>EXP(C37)</f>
        <v>1.0941742837052104</v>
      </c>
      <c r="E37" s="1"/>
      <c r="F37" s="1" t="str">
        <f>"(0.907)"</f>
        <v>(0.907)</v>
      </c>
      <c r="G37" s="1" t="str">
        <f>"-0.275"</f>
        <v>-0.275</v>
      </c>
      <c r="H37" s="1" t="str">
        <f>"(0.897)"</f>
        <v>(0.897)</v>
      </c>
    </row>
    <row r="38" spans="1:8">
      <c r="A38" t="str">
        <f>"低学歴同類婚"</f>
        <v>低学歴同類婚</v>
      </c>
      <c r="B38" t="str">
        <f>""</f>
        <v/>
      </c>
      <c r="F38" t="str">
        <f>""</f>
        <v/>
      </c>
      <c r="G38" t="str">
        <f>"-0.551**"</f>
        <v>-0.551**</v>
      </c>
      <c r="H38" t="str">
        <f>"(0.199)"</f>
        <v>(0.199)</v>
      </c>
    </row>
    <row r="39" spans="1:8">
      <c r="A39" t="str">
        <f>"低学歴同類婚 # 結婚年コーホート（1950-1964年）"</f>
        <v>低学歴同類婚 # 結婚年コーホート（1950-1964年）</v>
      </c>
      <c r="B39" t="str">
        <f>""</f>
        <v/>
      </c>
      <c r="F39" t="str">
        <f>""</f>
        <v/>
      </c>
      <c r="G39" t="str">
        <f>"0.155"</f>
        <v>0.155</v>
      </c>
      <c r="H39" t="str">
        <f>"(0.395)"</f>
        <v>(0.395)</v>
      </c>
    </row>
    <row r="40" spans="1:8">
      <c r="A40" t="str">
        <f>"低学歴同類婚 # 結婚年コーホート（1980-1994年）"</f>
        <v>低学歴同類婚 # 結婚年コーホート（1980-1994年）</v>
      </c>
      <c r="B40" t="str">
        <f>""</f>
        <v/>
      </c>
      <c r="F40" t="str">
        <f>""</f>
        <v/>
      </c>
      <c r="G40" t="str">
        <f>"0.401"</f>
        <v>0.401</v>
      </c>
      <c r="H40" t="str">
        <f>"(0.307)"</f>
        <v>(0.307)</v>
      </c>
    </row>
    <row r="41" spans="1:8">
      <c r="A41" t="str">
        <f>"低学歴同類婚 # 結婚年コーホート（1995-2010年）"</f>
        <v>低学歴同類婚 # 結婚年コーホート（1995-2010年）</v>
      </c>
      <c r="B41" t="str">
        <f>""</f>
        <v/>
      </c>
      <c r="F41" t="str">
        <f>""</f>
        <v/>
      </c>
      <c r="G41" t="str">
        <f>"0.494"</f>
        <v>0.494</v>
      </c>
      <c r="H41" t="str">
        <f>"(0.509)"</f>
        <v>(0.509)</v>
      </c>
    </row>
    <row r="42" spans="1:8">
      <c r="A42" t="str">
        <f>"高学歴同類婚"</f>
        <v>高学歴同類婚</v>
      </c>
      <c r="B42" t="str">
        <f>""</f>
        <v/>
      </c>
      <c r="F42" t="str">
        <f>""</f>
        <v/>
      </c>
      <c r="G42" t="str">
        <f>"-1.027"</f>
        <v>-1.027</v>
      </c>
      <c r="H42" t="str">
        <f>"(0.643)"</f>
        <v>(0.643)</v>
      </c>
    </row>
    <row r="43" spans="1:8">
      <c r="A43" t="str">
        <f>"高学歴同類婚 # 結婚年コーホート（1980-1994年）"</f>
        <v>高学歴同類婚 # 結婚年コーホート（1980-1994年）</v>
      </c>
      <c r="B43" t="str">
        <f>""</f>
        <v/>
      </c>
      <c r="F43" t="str">
        <f>""</f>
        <v/>
      </c>
      <c r="G43" t="str">
        <f>"1.561#"</f>
        <v>1.561#</v>
      </c>
      <c r="H43" t="str">
        <f>"(0.805)"</f>
        <v>(0.805)</v>
      </c>
    </row>
    <row r="44" spans="1:8">
      <c r="A44" t="str">
        <f>"高学歴同類婚 # 結婚年コーホート（1995-2010年）"</f>
        <v>高学歴同類婚 # 結婚年コーホート（1995-2010年）</v>
      </c>
      <c r="B44" t="str">
        <f>""</f>
        <v/>
      </c>
      <c r="F44" t="str">
        <f>""</f>
        <v/>
      </c>
      <c r="G44" t="str">
        <f>"1.280"</f>
        <v>1.280</v>
      </c>
      <c r="H44" t="str">
        <f>"(0.881)"</f>
        <v>(0.881)</v>
      </c>
    </row>
    <row r="45" spans="1:8">
      <c r="A45" t="str">
        <f>"Observations"</f>
        <v>Observations</v>
      </c>
      <c r="B45" t="str">
        <f>"130630"</f>
        <v>130630</v>
      </c>
      <c r="F45" t="str">
        <f>""</f>
        <v/>
      </c>
      <c r="G45" t="str">
        <f>"130630"</f>
        <v>130630</v>
      </c>
      <c r="H45" t="str">
        <f>""</f>
        <v/>
      </c>
    </row>
    <row r="46" spans="1:8">
      <c r="A46" t="str">
        <f>"chi2"</f>
        <v>chi2</v>
      </c>
      <c r="B46" t="str">
        <f>"281.635"</f>
        <v>281.635</v>
      </c>
      <c r="F46" t="str">
        <f>""</f>
        <v/>
      </c>
      <c r="G46" t="str">
        <f>"284.185"</f>
        <v>284.185</v>
      </c>
      <c r="H46" t="str">
        <f>""</f>
        <v/>
      </c>
    </row>
    <row r="47" spans="1:8">
      <c r="A47" t="str">
        <f>"df_m"</f>
        <v>df_m</v>
      </c>
      <c r="B47" t="str">
        <f>"34.000"</f>
        <v>34.000</v>
      </c>
      <c r="F47" t="str">
        <f>""</f>
        <v/>
      </c>
      <c r="G47" t="str">
        <f>"37.000"</f>
        <v>37.000</v>
      </c>
      <c r="H47" t="str">
        <f>""</f>
        <v/>
      </c>
    </row>
    <row r="48" spans="1:8">
      <c r="A48" t="str">
        <f>"ll"</f>
        <v>ll</v>
      </c>
      <c r="B48" t="str">
        <f>"-4144.687"</f>
        <v>-4144.687</v>
      </c>
      <c r="F48" t="str">
        <f>""</f>
        <v/>
      </c>
      <c r="G48" t="str">
        <f>"-4143.412"</f>
        <v>-4143.412</v>
      </c>
      <c r="H48" t="str">
        <f>""</f>
        <v/>
      </c>
    </row>
    <row r="49" spans="1:8">
      <c r="A49" t="str">
        <f>"aic"</f>
        <v>aic</v>
      </c>
      <c r="B49" t="str">
        <f>"8357.374"</f>
        <v>8357.374</v>
      </c>
      <c r="F49" t="str">
        <f>""</f>
        <v/>
      </c>
      <c r="G49" t="str">
        <f>"8360.824"</f>
        <v>8360.824</v>
      </c>
      <c r="H49" t="str">
        <f>""</f>
        <v/>
      </c>
    </row>
    <row r="50" spans="1:8">
      <c r="A50" t="str">
        <f>"r2_p"</f>
        <v>r2_p</v>
      </c>
      <c r="B50" t="str">
        <f>"0.033"</f>
        <v>0.033</v>
      </c>
      <c r="F50" t="str">
        <f>""</f>
        <v/>
      </c>
      <c r="G50" t="str">
        <f>"0.033"</f>
        <v>0.033</v>
      </c>
      <c r="H50" t="str">
        <f>""</f>
        <v/>
      </c>
    </row>
    <row r="51" spans="1:8">
      <c r="A51" t="str">
        <f>"Standard errors in parentheses"</f>
        <v>Standard errors in parentheses</v>
      </c>
    </row>
    <row r="52" spans="1:8">
      <c r="A52" t="s">
        <v>0</v>
      </c>
      <c r="B52" t="s">
        <v>1</v>
      </c>
      <c r="F52" t="s">
        <v>2</v>
      </c>
      <c r="G52" t="s">
        <v>3</v>
      </c>
    </row>
  </sheetData>
  <phoneticPr fontId="2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男性学歴</vt:lpstr>
      <vt:lpstr>男性学歴!Interaction_1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打越　文弥</dc:creator>
  <cp:lastModifiedBy>打越　文弥</cp:lastModifiedBy>
  <dcterms:created xsi:type="dcterms:W3CDTF">2018-10-28T18:21:51Z</dcterms:created>
  <dcterms:modified xsi:type="dcterms:W3CDTF">2018-10-28T20:04:43Z</dcterms:modified>
</cp:coreProperties>
</file>