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portifolio\src\documents\"/>
    </mc:Choice>
  </mc:AlternateContent>
  <xr:revisionPtr revIDLastSave="0" documentId="13_ncr:1_{4AA4D08B-4E8C-460A-B7DE-D91291E3C528}" xr6:coauthVersionLast="47" xr6:coauthVersionMax="47" xr10:uidLastSave="{00000000-0000-0000-0000-000000000000}"/>
  <bookViews>
    <workbookView xWindow="-108" yWindow="-108" windowWidth="23256" windowHeight="13176" firstSheet="3" activeTab="3" xr2:uid="{8FFF6E76-6ADE-4EE0-A627-4038C1A6031D}"/>
  </bookViews>
  <sheets>
    <sheet name="system" sheetId="8" state="hidden" r:id="rId1"/>
    <sheet name="save" sheetId="5" state="hidden" r:id="rId2"/>
    <sheet name="liter" sheetId="6" state="hidden" r:id="rId3"/>
    <sheet name="Dashboard" sheetId="3" r:id="rId4"/>
    <sheet name="font" sheetId="7" state="hidden" r:id="rId5"/>
  </sheets>
  <definedNames>
    <definedName name="SegmentaçãodeDados_ANOS">#N/A</definedName>
  </definedNames>
  <calcPr calcId="191029"/>
  <pivotCaches>
    <pivotCache cacheId="11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2" i="8"/>
  <c r="C14" i="7"/>
  <c r="D14" i="7"/>
  <c r="E14" i="7"/>
  <c r="F14" i="7"/>
  <c r="B14" i="7"/>
  <c r="C2" i="8"/>
  <c r="F5" i="8" s="1" a="1"/>
  <c r="F5" i="8" s="1"/>
  <c r="B4" i="6"/>
  <c r="C4" i="6"/>
  <c r="D4" i="6"/>
  <c r="E4" i="6"/>
  <c r="F4" i="6"/>
  <c r="B5" i="6"/>
  <c r="C5" i="6"/>
  <c r="D5" i="6"/>
  <c r="E5" i="6"/>
  <c r="F5" i="6"/>
  <c r="B6" i="6"/>
  <c r="C6" i="6"/>
  <c r="D6" i="6"/>
  <c r="E6" i="6"/>
  <c r="F6" i="6"/>
  <c r="B7" i="6"/>
  <c r="C7" i="6"/>
  <c r="D7" i="6"/>
  <c r="E7" i="6"/>
  <c r="F7" i="6"/>
  <c r="B8" i="6"/>
  <c r="C8" i="6"/>
  <c r="D8" i="6"/>
  <c r="E8" i="6"/>
  <c r="F8" i="6"/>
  <c r="B9" i="6"/>
  <c r="C9" i="6"/>
  <c r="D9" i="6"/>
  <c r="E9" i="6"/>
  <c r="F9" i="6"/>
  <c r="B10" i="6"/>
  <c r="C10" i="6"/>
  <c r="D10" i="6"/>
  <c r="E10" i="6"/>
  <c r="F10" i="6"/>
  <c r="B11" i="6"/>
  <c r="C11" i="6"/>
  <c r="D11" i="6"/>
  <c r="E11" i="6"/>
  <c r="F11" i="6"/>
  <c r="B12" i="6"/>
  <c r="C12" i="6"/>
  <c r="D12" i="6"/>
  <c r="E12" i="6"/>
  <c r="F12" i="6"/>
  <c r="B13" i="6"/>
  <c r="C13" i="6"/>
  <c r="D13" i="6"/>
  <c r="E13" i="6"/>
  <c r="F13" i="6"/>
  <c r="B3" i="6"/>
  <c r="C3" i="6"/>
  <c r="D3" i="6"/>
  <c r="E3" i="6"/>
  <c r="F3" i="6"/>
  <c r="C2" i="6"/>
  <c r="D2" i="6"/>
  <c r="E2" i="6"/>
  <c r="F2" i="6"/>
  <c r="B2" i="6"/>
  <c r="B3" i="5"/>
  <c r="C3" i="5"/>
  <c r="D3" i="5"/>
  <c r="E3" i="5"/>
  <c r="F3" i="5"/>
  <c r="B4" i="5"/>
  <c r="C4" i="5"/>
  <c r="D4" i="5"/>
  <c r="E4" i="5"/>
  <c r="F4" i="5"/>
  <c r="B5" i="5"/>
  <c r="C5" i="5"/>
  <c r="D5" i="5"/>
  <c r="E5" i="5"/>
  <c r="F5" i="5"/>
  <c r="B6" i="5"/>
  <c r="C6" i="5"/>
  <c r="D6" i="5"/>
  <c r="E6" i="5"/>
  <c r="F6" i="5"/>
  <c r="B7" i="5"/>
  <c r="C7" i="5"/>
  <c r="D7" i="5"/>
  <c r="E7" i="5"/>
  <c r="F7" i="5"/>
  <c r="B8" i="5"/>
  <c r="C8" i="5"/>
  <c r="D8" i="5"/>
  <c r="E8" i="5"/>
  <c r="F8" i="5"/>
  <c r="B9" i="5"/>
  <c r="C9" i="5"/>
  <c r="D9" i="5"/>
  <c r="E9" i="5"/>
  <c r="F9" i="5"/>
  <c r="B10" i="5"/>
  <c r="C10" i="5"/>
  <c r="D10" i="5"/>
  <c r="E10" i="5"/>
  <c r="F10" i="5"/>
  <c r="B11" i="5"/>
  <c r="C11" i="5"/>
  <c r="D11" i="5"/>
  <c r="E11" i="5"/>
  <c r="F11" i="5"/>
  <c r="B12" i="5"/>
  <c r="C12" i="5"/>
  <c r="D12" i="5"/>
  <c r="E12" i="5"/>
  <c r="F12" i="5"/>
  <c r="B13" i="5"/>
  <c r="C13" i="5"/>
  <c r="D13" i="5"/>
  <c r="E13" i="5"/>
  <c r="F13" i="5"/>
  <c r="D2" i="5"/>
  <c r="E2" i="5"/>
  <c r="F2" i="5"/>
  <c r="C2" i="5"/>
  <c r="B2" i="5"/>
  <c r="F2" i="8" l="1" a="1"/>
  <c r="F2" i="8" s="1"/>
  <c r="F10" i="8" a="1"/>
  <c r="F10" i="8" s="1"/>
  <c r="F7" i="8" a="1"/>
  <c r="F7" i="8" s="1"/>
  <c r="C14" i="5"/>
  <c r="F14" i="6"/>
  <c r="F11" i="8" a="1"/>
  <c r="F11" i="8" s="1"/>
  <c r="F6" i="8" a="1"/>
  <c r="F6" i="8" s="1"/>
  <c r="F3" i="8" a="1"/>
  <c r="F3" i="8" s="1"/>
  <c r="F12" i="8" a="1"/>
  <c r="F12" i="8" s="1"/>
  <c r="F9" i="8" a="1"/>
  <c r="F9" i="8" s="1"/>
  <c r="F4" i="8" a="1"/>
  <c r="F4" i="8" s="1"/>
  <c r="E14" i="6"/>
  <c r="F13" i="8" a="1"/>
  <c r="F13" i="8" s="1"/>
  <c r="F8" i="8" a="1"/>
  <c r="F8" i="8" s="1"/>
  <c r="E14" i="5"/>
  <c r="D14" i="6"/>
  <c r="D14" i="5"/>
  <c r="C14" i="6"/>
  <c r="B14" i="5"/>
  <c r="B14" i="6"/>
  <c r="I12" i="8" a="1"/>
  <c r="I12" i="8" s="1"/>
  <c r="I9" i="8" a="1"/>
  <c r="I9" i="8" s="1"/>
  <c r="I4" i="8" a="1"/>
  <c r="I4" i="8" s="1"/>
  <c r="I10" i="8" a="1"/>
  <c r="I10" i="8" s="1"/>
  <c r="I7" i="8" a="1"/>
  <c r="I7" i="8" s="1"/>
  <c r="I2" i="8" a="1"/>
  <c r="I2" i="8" s="1"/>
  <c r="I11" i="8" a="1"/>
  <c r="I11" i="8" s="1"/>
  <c r="I6" i="8" a="1"/>
  <c r="I6" i="8" s="1"/>
  <c r="I3" i="8" a="1"/>
  <c r="I3" i="8" s="1"/>
  <c r="I13" i="8" a="1"/>
  <c r="I13" i="8" s="1"/>
  <c r="I8" i="8" a="1"/>
  <c r="I8" i="8" s="1"/>
  <c r="I5" i="8" a="1"/>
  <c r="I5" i="8" s="1"/>
  <c r="F14" i="5"/>
  <c r="P2" i="8" s="1" a="1"/>
  <c r="P2" i="8" s="1"/>
  <c r="N2" i="8" l="1" a="1"/>
  <c r="N2" i="8" s="1"/>
  <c r="S4" i="8"/>
  <c r="R4" i="8" s="1"/>
  <c r="S3" i="8"/>
  <c r="R3" i="8" s="1"/>
  <c r="S6" i="8"/>
  <c r="R6" i="8" s="1"/>
  <c r="S2" i="8"/>
  <c r="R2" i="8" s="1"/>
  <c r="S5" i="8"/>
  <c r="R5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927D28-016F-48D9-A505-F2341B1570EA}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<sst xmlns="http://schemas.openxmlformats.org/spreadsheetml/2006/main" count="127" uniqueCount="29">
  <si>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</si>
  <si>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</si>
  <si>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</si>
  <si>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</si>
  <si>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</si>
  <si>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</si>
  <si>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</si>
  <si>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</si>
  <si>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</si>
  <si>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</si>
  <si>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</si>
  <si>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</si>
  <si>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MESES</t>
  </si>
  <si>
    <t>2015</t>
  </si>
  <si>
    <t>2016</t>
  </si>
  <si>
    <t>2017</t>
  </si>
  <si>
    <t>2018</t>
  </si>
  <si>
    <t>2019</t>
  </si>
  <si>
    <t>COUNT</t>
  </si>
  <si>
    <t>AREA</t>
  </si>
  <si>
    <t>WATER PRICE</t>
  </si>
  <si>
    <t>YEAR</t>
  </si>
  <si>
    <t>MONTH</t>
  </si>
  <si>
    <t>ANO</t>
  </si>
  <si>
    <t>MILIMETROS</t>
  </si>
  <si>
    <t>LITROS</t>
  </si>
  <si>
    <t>NUMBER</t>
  </si>
  <si>
    <t>Total</t>
  </si>
  <si>
    <t>ECONOMIZADO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</si>
</sst>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165" formatCode="#,###,###\l"/>
    <numFmt numFmtId="166" formatCode="#.##\ &quot;mm&quot;"/>
    <numFmt numFmtId="167" formatCode="#,###,###\ \l"/>
    <numFmt numFmtId="173" formatCode="#,#00\ &quot;litros&quot;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F0C1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44" fontId="0" fillId="0" borderId="0" xfId="0" applyNumberFormat="1"/>
    <xf numFmtId="0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/>
    <xf numFmtId="0" fontId="0" fillId="3" borderId="0" xfId="0" applyFill="1"/>
    <xf numFmtId="0" fontId="0" fillId="2" borderId="1" xfId="0" applyNumberFormat="1" applyFont="1" applyFill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</cellXfs>
  <cellStyles count="2">
    <cellStyle name="Moeda" xfId="1" builtinId="4"/>
    <cellStyle name="Normal" xfId="0" builtinId="0"/>
  </cellStyles>
  <dxfs count="56"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#,###,###\l"/>
      <alignment horizontal="center" vertical="center" textRotation="0" wrapText="0" indent="0" justifyLastLine="0" shrinkToFit="0" readingOrder="0"/>
    </dxf>
    <dxf>
      <numFmt numFmtId="165" formatCode="#,###,###\l"/>
      <alignment horizontal="center" vertical="center" textRotation="0" wrapText="0" indent="0" justifyLastLine="0" shrinkToFit="0" readingOrder="0"/>
    </dxf>
    <dxf>
      <numFmt numFmtId="165" formatCode="#,###,###\l"/>
      <alignment horizontal="center" vertical="center" textRotation="0" wrapText="0" indent="0" justifyLastLine="0" shrinkToFit="0" readingOrder="0"/>
    </dxf>
    <dxf>
      <numFmt numFmtId="165" formatCode="#,###,###\l"/>
      <alignment horizontal="center" vertical="center" textRotation="0" wrapText="0" indent="0" justifyLastLine="0" shrinkToFit="0" readingOrder="0"/>
    </dxf>
    <dxf>
      <numFmt numFmtId="165" formatCode="#,###,###\l"/>
      <alignment horizontal="center" vertical="center" textRotation="0" wrapText="0" indent="0" justifyLastLine="0" shrinkToFit="0" readingOrder="0"/>
    </dxf>
    <dxf>
      <numFmt numFmtId="165" formatCode="#,###,###\l"/>
      <alignment horizontal="center" vertical="center" textRotation="0" wrapText="0" indent="0" justifyLastLine="0" shrinkToFit="0" readingOrder="0"/>
    </dxf>
    <dxf>
      <numFmt numFmtId="165" formatCode="#,###,###\l"/>
      <alignment horizontal="center" vertical="center" textRotation="0" wrapText="0" indent="0" justifyLastLine="0" shrinkToFit="0" readingOrder="0"/>
    </dxf>
    <dxf>
      <numFmt numFmtId="165" formatCode="#,###,###\l"/>
      <alignment horizontal="center" vertical="center" textRotation="0" wrapText="0" indent="0" justifyLastLine="0" shrinkToFit="0" readingOrder="0"/>
    </dxf>
    <dxf>
      <numFmt numFmtId="165" formatCode="#,###,###\l"/>
      <alignment horizontal="center" vertical="center" textRotation="0" wrapText="0" indent="0" justifyLastLine="0" shrinkToFit="0" readingOrder="0"/>
    </dxf>
    <dxf>
      <numFmt numFmtId="165" formatCode="#,###,###\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9" tint="0.3999755851924192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z val="11"/>
        <color theme="0"/>
        <name val="Arial Rounded MT Bold"/>
        <family val="2"/>
        <scheme val="none"/>
      </font>
      <fill>
        <patternFill>
          <fgColor rgb="FF0A090F"/>
          <bgColor theme="1" tint="0.14993743705557422"/>
        </patternFill>
      </fill>
    </dxf>
    <dxf>
      <font>
        <b val="0"/>
        <i val="0"/>
        <sz val="10"/>
        <name val="Teko SemiBold"/>
        <scheme val="none"/>
      </font>
      <fill>
        <patternFill>
          <fgColor theme="1" tint="0.14996795556505021"/>
        </patternFill>
      </fill>
    </dxf>
    <dxf>
      <fill>
        <patternFill>
          <fgColor theme="1" tint="0.14996795556505021"/>
        </patternFill>
      </fill>
    </dxf>
    <dxf>
      <font>
        <sz val="8"/>
      </font>
    </dxf>
  </dxfs>
  <tableStyles count="4" defaultTableStyle="TableStyleMedium2" defaultPivotStyle="PivotStyleLight16">
    <tableStyle name="Estilo de Segmentação de Dados 1" pivot="0" table="0" count="9" xr9:uid="{8542C7BF-AD43-44D8-991F-52D2DF8FC3D6}">
      <tableStyleElement type="wholeTable" dxfId="52"/>
    </tableStyle>
    <tableStyle name="Estilo de Segmentação de Dados 2" pivot="0" table="0" count="3" xr9:uid="{0FB4E202-0C58-481E-A7C6-754D1041FC9C}">
      <tableStyleElement type="wholeTable" dxfId="54"/>
    </tableStyle>
    <tableStyle name="Estilo de Segmentação de Dados 3" pivot="0" table="0" count="2" xr9:uid="{32615810-2B8A-420C-96FF-EED480AA5A2E}">
      <tableStyleElement type="wholeTable" dxfId="55"/>
    </tableStyle>
    <tableStyle name="Estilo de Segmentação de Dados 4" pivot="0" table="0" count="2" xr9:uid="{957DAECA-42CC-4060-A596-9347B36F856A}">
      <tableStyleElement type="wholeTable" dxfId="53"/>
    </tableStyle>
  </tableStyles>
  <colors>
    <mruColors>
      <color rgb="FF1DC4FF"/>
      <color rgb="FF1AE6C9"/>
      <color rgb="FF00FA24"/>
      <color rgb="FF080816"/>
      <color rgb="FF8E00EE"/>
      <color rgb="FF04640D"/>
      <color rgb="FF07A116"/>
      <color rgb="FF09CC04"/>
      <color rgb="FFFD0344"/>
      <color rgb="FFE5740D"/>
    </mruColors>
  </colors>
  <extLst>
    <ext xmlns:x14="http://schemas.microsoft.com/office/spreadsheetml/2009/9/main" uri="{46F421CA-312F-682f-3DD2-61675219B42D}">
      <x14:dxfs count="11">
        <dxf>
          <fill>
            <patternFill>
              <bgColor rgb="FF111111"/>
            </patternFill>
          </fill>
          <border>
            <left style="medium">
              <color rgb="FF7030A0"/>
            </left>
            <right style="medium">
              <color rgb="FF7030A0"/>
            </right>
            <top style="medium">
              <color rgb="FF7030A0"/>
            </top>
            <bottom style="medium">
              <color rgb="FF7030A0"/>
            </bottom>
          </border>
        </dxf>
        <dxf>
          <fill>
            <patternFill>
              <bgColor theme="0" tint="-4.9989318521683403E-2"/>
            </patternFill>
          </fill>
          <border>
            <left style="medium">
              <color rgb="FF7030A0"/>
            </left>
            <right style="medium">
              <color rgb="FF7030A0"/>
            </right>
            <top style="medium">
              <color rgb="FF7030A0"/>
            </top>
            <bottom style="medium">
              <color rgb="FF7030A0"/>
            </bottom>
          </border>
        </dxf>
        <dxf>
          <font>
            <color auto="1"/>
          </font>
          <fill>
            <patternFill>
              <bgColor theme="0"/>
            </patternFill>
          </fill>
          <border>
            <left style="medium">
              <color rgb="FF7030A0"/>
            </left>
            <right style="medium">
              <color rgb="FF7030A0"/>
            </right>
            <top style="medium">
              <color rgb="FF7030A0"/>
            </top>
            <bottom style="medium">
              <color rgb="FF7030A0"/>
            </bottom>
          </border>
        </dxf>
        <dxf>
          <font>
            <color auto="1"/>
          </font>
          <fill>
            <patternFill>
              <bgColor theme="0" tint="-4.9989318521683403E-2"/>
            </patternFill>
          </fill>
          <border>
            <left style="medium">
              <color rgb="FF7030A0"/>
            </left>
            <right style="medium">
              <color rgb="FF7030A0"/>
            </right>
            <top style="medium">
              <color rgb="FF7030A0"/>
            </top>
            <bottom style="medium">
              <color rgb="FF7030A0"/>
            </bottom>
          </border>
        </dxf>
        <dxf>
          <fill>
            <patternFill>
              <fgColor rgb="FF0A090F"/>
              <bgColor rgb="FF111111"/>
            </patternFill>
          </fill>
          <border>
            <left style="medium">
              <color rgb="FF7030A0"/>
            </left>
            <right style="medium">
              <color rgb="FF7030A0"/>
            </right>
            <top style="medium">
              <color rgb="FF7030A0"/>
            </top>
            <bottom style="medium">
              <color rgb="FF7030A0"/>
            </bottom>
          </border>
        </dxf>
        <dxf>
          <font>
            <color auto="1"/>
          </font>
          <fill>
            <patternFill>
              <bgColor theme="0"/>
            </patternFill>
          </fill>
          <border diagonalDown="1">
            <left style="medium">
              <color rgb="FF7030A0"/>
            </left>
            <right style="medium">
              <color rgb="FF7030A0"/>
            </right>
            <top style="medium">
              <color rgb="FF7030A0"/>
            </top>
            <bottom style="medium">
              <color rgb="FF7030A0"/>
            </bottom>
            <diagonal style="thick">
              <color rgb="FF7030A0"/>
            </diagonal>
          </border>
        </dxf>
        <dxf>
          <fill>
            <patternFill>
              <bgColor rgb="FF111111"/>
            </patternFill>
          </fill>
          <border>
            <left style="medium">
              <color rgb="FF7030A0"/>
            </left>
            <right style="medium">
              <color rgb="FF7030A0"/>
            </right>
            <top style="medium">
              <color rgb="FF7030A0"/>
            </top>
            <bottom style="medium">
              <color rgb="FF7030A0"/>
            </bottom>
          </border>
        </dxf>
        <dxf>
          <fill>
            <patternFill>
              <bgColor rgb="FF111111"/>
            </patternFill>
          </fill>
          <border>
            <left style="medium">
              <color rgb="FF7030A0"/>
            </left>
            <right style="medium">
              <color rgb="FF7030A0"/>
            </right>
            <top style="medium">
              <color rgb="FF7030A0"/>
            </top>
            <bottom style="medium">
              <color rgb="FF7030A0"/>
            </bottom>
          </border>
        </dxf>
        <dxf>
          <fill>
            <patternFill>
              <fgColor rgb="FF191919"/>
              <bgColor theme="1" tint="0.14996795556505021"/>
            </patternFill>
          </fill>
        </dxf>
        <dxf>
          <fill>
            <patternFill>
              <bgColor rgb="FF002060"/>
            </patternFill>
          </fill>
        </dxf>
        <dxf>
          <font>
            <b val="0"/>
            <i val="0"/>
            <sz val="12"/>
            <name val="Teko SemiBold"/>
            <scheme val="none"/>
          </font>
          <fill>
            <patternFill>
              <fgColor rgb="FF0A090F"/>
            </patternFill>
          </fill>
        </dxf>
      </x14:dxfs>
    </ext>
    <ext xmlns:x14="http://schemas.microsoft.com/office/spreadsheetml/2009/9/main" uri="{EB79DEF2-80B8-43e5-95BD-54CBDDF9020C}">
      <x14:slicerStyles defaultSlicerStyle="Estilo de Segmentação de Dados 1">
        <x14:slicerStyle name="Estilo de Segmentação de Dados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Estilo de Segmentação de Dados 2">
          <x14:slicerStyleElements>
            <x14:slicerStyleElement type="selectedItemWithData" dxfId="9"/>
            <x14:slicerStyleElement type="selectedItemWithNoData" dxfId="10"/>
          </x14:slicerStyleElements>
        </x14:slicerStyle>
        <x14:slicerStyle name="Estilo de Segmentação de Dados 3">
          <x14:slicerStyleElements/>
        </x14:slicerStyle>
        <x14:slicerStyle name="Estilo de Segmentação de Dados 4">
          <x14:slicerStyleElements>
            <x14:slicerStyleElement type="selectedItemWithNoData" dxfId="8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1800">
                <a:solidFill>
                  <a:schemeClr val="bg1"/>
                </a:solidFill>
                <a:latin typeface="Teko SemiBold" panose="02000000000000000000" pitchFamily="2" charset="0"/>
                <a:cs typeface="Teko SemiBold" panose="02000000000000000000" pitchFamily="2" charset="0"/>
              </a:rPr>
              <a:t>Coleta</a:t>
            </a:r>
            <a:r>
              <a:rPr lang="pt-BR" sz="1800" baseline="0">
                <a:solidFill>
                  <a:schemeClr val="bg1"/>
                </a:solidFill>
                <a:latin typeface="Teko SemiBold" panose="02000000000000000000" pitchFamily="2" charset="0"/>
                <a:cs typeface="Teko SemiBold" panose="02000000000000000000" pitchFamily="2" charset="0"/>
              </a:rPr>
              <a:t> mensal do telhado da escola</a:t>
            </a:r>
            <a:endParaRPr lang="pt-BR" sz="1800">
              <a:solidFill>
                <a:schemeClr val="bg1"/>
              </a:solidFill>
              <a:latin typeface="Teko SemiBold" panose="02000000000000000000" pitchFamily="2" charset="0"/>
              <a:cs typeface="Teko SemiBold" panose="020000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solidFill>
                <a:schemeClr val="lt1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system!$H$2:$H$13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system!$I$2:$I$13</c:f>
              <c:numCache>
                <c:formatCode>#,###,###\ \l</c:formatCode>
                <c:ptCount val="12"/>
                <c:pt idx="0">
                  <c:v>164921</c:v>
                </c:pt>
                <c:pt idx="1">
                  <c:v>182380</c:v>
                </c:pt>
                <c:pt idx="2">
                  <c:v>144851</c:v>
                </c:pt>
                <c:pt idx="3">
                  <c:v>92060</c:v>
                </c:pt>
                <c:pt idx="4">
                  <c:v>50188</c:v>
                </c:pt>
                <c:pt idx="5">
                  <c:v>36924</c:v>
                </c:pt>
                <c:pt idx="6">
                  <c:v>31328</c:v>
                </c:pt>
                <c:pt idx="7">
                  <c:v>37471</c:v>
                </c:pt>
                <c:pt idx="8">
                  <c:v>67729</c:v>
                </c:pt>
                <c:pt idx="9">
                  <c:v>86838</c:v>
                </c:pt>
                <c:pt idx="10">
                  <c:v>88861</c:v>
                </c:pt>
                <c:pt idx="11">
                  <c:v>114560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DDB-4FAC-82E8-E060DE86E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52136"/>
        <c:axId val="589345576"/>
      </c:lineChart>
      <c:catAx>
        <c:axId val="589352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9345576"/>
        <c:crosses val="autoZero"/>
        <c:auto val="1"/>
        <c:lblAlgn val="ctr"/>
        <c:lblOffset val="100"/>
        <c:noMultiLvlLbl val="0"/>
      </c:catAx>
      <c:valAx>
        <c:axId val="58934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0##\ \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9352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1800" b="1">
                <a:solidFill>
                  <a:schemeClr val="bg1"/>
                </a:solidFill>
                <a:latin typeface="Teko SemiBold" panose="02000000000000000000" pitchFamily="2" charset="0"/>
                <a:cs typeface="Teko SemiBold" panose="02000000000000000000" pitchFamily="2" charset="0"/>
              </a:rPr>
              <a:t>Ranking top 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0080435872482231"/>
          <c:y val="0.15894652191395256"/>
          <c:w val="0.69451399333510266"/>
          <c:h val="0.7919607150103743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non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system!$R$2:$R$6</c:f>
              <c:strCache>
                <c:ptCount val="5"/>
                <c:pt idx="0">
                  <c:v>Abril</c:v>
                </c:pt>
                <c:pt idx="1">
                  <c:v>Dezembro</c:v>
                </c:pt>
                <c:pt idx="2">
                  <c:v>Março</c:v>
                </c:pt>
                <c:pt idx="3">
                  <c:v>Janeiro</c:v>
                </c:pt>
                <c:pt idx="4">
                  <c:v>Fevereiro</c:v>
                </c:pt>
              </c:strCache>
            </c:strRef>
          </c:cat>
          <c:val>
            <c:numRef>
              <c:f>system!$S$2:$S$6</c:f>
              <c:numCache>
                <c:formatCode>#,###,###\ \l</c:formatCode>
                <c:ptCount val="5"/>
                <c:pt idx="0">
                  <c:v>92060</c:v>
                </c:pt>
                <c:pt idx="1">
                  <c:v>114560</c:v>
                </c:pt>
                <c:pt idx="2">
                  <c:v>144851</c:v>
                </c:pt>
                <c:pt idx="3">
                  <c:v>164921</c:v>
                </c:pt>
                <c:pt idx="4">
                  <c:v>182380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9-42DB-868F-DEE5BB728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8"/>
        <c:axId val="589313472"/>
        <c:axId val="589314456"/>
      </c:barChart>
      <c:catAx>
        <c:axId val="589313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9314456"/>
        <c:crosses val="autoZero"/>
        <c:auto val="1"/>
        <c:lblAlgn val="ctr"/>
        <c:lblOffset val="100"/>
        <c:noMultiLvlLbl val="0"/>
      </c:catAx>
      <c:valAx>
        <c:axId val="58931445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#,###\ \l" sourceLinked="1"/>
        <c:majorTickMark val="none"/>
        <c:minorTickMark val="none"/>
        <c:tickLblPos val="nextTo"/>
        <c:crossAx val="58931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1800" b="1">
                <a:effectLst/>
                <a:latin typeface="Teko SemiBold" panose="02000000000000000000" pitchFamily="2" charset="0"/>
                <a:cs typeface="Teko SemiBold" panose="02000000000000000000" pitchFamily="2" charset="0"/>
              </a:rPr>
              <a:t>Média</a:t>
            </a:r>
            <a:r>
              <a:rPr lang="pt-BR" sz="1800" b="1" baseline="0">
                <a:effectLst/>
                <a:latin typeface="Teko SemiBold" panose="02000000000000000000" pitchFamily="2" charset="0"/>
                <a:cs typeface="Teko SemiBold" panose="02000000000000000000" pitchFamily="2" charset="0"/>
              </a:rPr>
              <a:t> de chuva mensal no </a:t>
            </a:r>
            <a:r>
              <a:rPr lang="pt-BR" sz="1800" b="1" baseline="0">
                <a:solidFill>
                  <a:schemeClr val="bg1"/>
                </a:solidFill>
                <a:effectLst/>
                <a:latin typeface="Teko SemiBold" panose="02000000000000000000" pitchFamily="2" charset="0"/>
                <a:cs typeface="Teko SemiBold" panose="02000000000000000000" pitchFamily="2" charset="0"/>
              </a:rPr>
              <a:t>Guarujá</a:t>
            </a:r>
            <a:endParaRPr lang="pt-BR" sz="1800">
              <a:solidFill>
                <a:schemeClr val="bg1"/>
              </a:solidFill>
              <a:effectLst/>
              <a:latin typeface="Teko SemiBold" panose="02000000000000000000" pitchFamily="2" charset="0"/>
              <a:cs typeface="Teko SemiBold" panose="020000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44450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system!$E$2:$E$13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system!$F$2:$F$13</c:f>
              <c:numCache>
                <c:formatCode>#.##\ "mm"</c:formatCode>
                <c:ptCount val="12"/>
                <c:pt idx="0">
                  <c:v>198.94</c:v>
                </c:pt>
                <c:pt idx="1">
                  <c:v>220</c:v>
                </c:pt>
                <c:pt idx="2">
                  <c:v>174.73</c:v>
                </c:pt>
                <c:pt idx="3">
                  <c:v>111.05</c:v>
                </c:pt>
                <c:pt idx="4">
                  <c:v>60.54</c:v>
                </c:pt>
                <c:pt idx="5">
                  <c:v>44.54</c:v>
                </c:pt>
                <c:pt idx="6">
                  <c:v>37.79</c:v>
                </c:pt>
                <c:pt idx="7">
                  <c:v>45.2</c:v>
                </c:pt>
                <c:pt idx="8">
                  <c:v>81.7</c:v>
                </c:pt>
                <c:pt idx="9">
                  <c:v>104.75</c:v>
                </c:pt>
                <c:pt idx="10">
                  <c:v>107.19</c:v>
                </c:pt>
                <c:pt idx="11">
                  <c:v>138.19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3-427A-A4EB-687EBD48A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4650752"/>
        <c:axId val="514645832"/>
      </c:barChart>
      <c:catAx>
        <c:axId val="51465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645832"/>
        <c:crosses val="autoZero"/>
        <c:auto val="1"/>
        <c:lblAlgn val="ctr"/>
        <c:lblOffset val="100"/>
        <c:noMultiLvlLbl val="0"/>
      </c:catAx>
      <c:valAx>
        <c:axId val="5146458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\ &quot;m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65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solidFill>
        <a:schemeClr val="tx1">
          <a:lumMod val="85000"/>
          <a:lumOff val="15000"/>
        </a:schemeClr>
      </a:solidFill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1800">
                <a:solidFill>
                  <a:schemeClr val="bg1"/>
                </a:solidFill>
                <a:latin typeface="Teko SemiBold" panose="02000000000000000000" pitchFamily="2" charset="0"/>
                <a:cs typeface="Teko SemiBold" panose="02000000000000000000" pitchFamily="2" charset="0"/>
              </a:rPr>
              <a:t>Economia</a:t>
            </a:r>
            <a:r>
              <a:rPr lang="pt-BR" sz="1800" baseline="0">
                <a:solidFill>
                  <a:schemeClr val="bg1"/>
                </a:solidFill>
                <a:latin typeface="Teko SemiBold" panose="02000000000000000000" pitchFamily="2" charset="0"/>
                <a:cs typeface="Teko SemiBold" panose="02000000000000000000" pitchFamily="2" charset="0"/>
              </a:rPr>
              <a:t> mensal</a:t>
            </a:r>
            <a:endParaRPr lang="pt-BR" sz="1800">
              <a:solidFill>
                <a:schemeClr val="bg1"/>
              </a:solidFill>
              <a:latin typeface="Teko SemiBold" panose="02000000000000000000" pitchFamily="2" charset="0"/>
              <a:cs typeface="Teko SemiBold" panose="020000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7030A0"/>
            </a:solidFill>
          </c:spPr>
          <c:explosion val="10"/>
          <c:dPt>
            <c:idx val="0"/>
            <c:bubble3D val="0"/>
            <c:spPr>
              <a:solidFill>
                <a:srgbClr val="04640D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357-491E-BD5B-FD7A19773275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357-491E-BD5B-FD7A19773275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357-491E-BD5B-FD7A19773275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357-491E-BD5B-FD7A19773275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357-491E-BD5B-FD7A19773275}"/>
              </c:ext>
            </c:extLst>
          </c:dPt>
          <c:dPt>
            <c:idx val="5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357-491E-BD5B-FD7A19773275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D357-491E-BD5B-FD7A19773275}"/>
              </c:ext>
            </c:extLst>
          </c:dPt>
          <c:dPt>
            <c:idx val="8"/>
            <c:bubble3D val="0"/>
            <c:spPr>
              <a:solidFill>
                <a:srgbClr val="FD034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357-491E-BD5B-FD7A19773275}"/>
              </c:ext>
            </c:extLst>
          </c:dPt>
          <c:dPt>
            <c:idx val="9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D357-491E-BD5B-FD7A19773275}"/>
              </c:ext>
            </c:extLst>
          </c:dPt>
          <c:dPt>
            <c:idx val="10"/>
            <c:bubble3D val="0"/>
            <c:spPr>
              <a:solidFill>
                <a:srgbClr val="E5740D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357-491E-BD5B-FD7A19773275}"/>
              </c:ext>
            </c:extLst>
          </c:dPt>
          <c:dPt>
            <c:idx val="11"/>
            <c:bubble3D val="0"/>
            <c:spPr>
              <a:solidFill>
                <a:srgbClr val="09CC0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357-491E-BD5B-FD7A19773275}"/>
              </c:ext>
            </c:extLst>
          </c:dPt>
          <c:dLbls>
            <c:dLbl>
              <c:idx val="10"/>
              <c:tx>
                <c:rich>
                  <a:bodyPr/>
                  <a:lstStyle/>
                  <a:p>
                    <a:fld id="{B53AFB27-5332-4F71-9D2F-90EE8143BD10}" type="VALUE">
                      <a:rPr lang="en-US" sz="1100" b="1" i="0" u="none" strike="noStrike" kern="1200" baseline="0">
                        <a:solidFill>
                          <a:schemeClr val="bg2"/>
                        </a:solidFill>
                        <a:latin typeface="+mn-lt"/>
                        <a:ea typeface="+mn-ea"/>
                        <a:cs typeface="Teko SemiBold" panose="02000000000000000000" pitchFamily="2" charset="0"/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D357-491E-BD5B-FD7A1977327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24C5B83-79F1-4B5E-BA91-3BAEB7A3A00A}" type="VALUE">
                      <a:rPr lang="en-US" sz="1100" b="1">
                        <a:solidFill>
                          <a:schemeClr val="bg2"/>
                        </a:solidFill>
                        <a:latin typeface="+mn-lt"/>
                        <a:cs typeface="Arial" panose="020B0604020202020204" pitchFamily="34" charset="0"/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357-491E-BD5B-FD7A197732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1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system!$K$2:$K$13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system!$L$2:$L$13</c:f>
              <c:numCache>
                <c:formatCode>_("R$"* #,##0.00_);_("R$"* \(#,##0.00\);_("R$"* "-"??_);_(@_)</c:formatCode>
                <c:ptCount val="12"/>
                <c:pt idx="0">
                  <c:v>824.60630000000003</c:v>
                </c:pt>
                <c:pt idx="1">
                  <c:v>911.9</c:v>
                </c:pt>
                <c:pt idx="2">
                  <c:v>724.2558499999999</c:v>
                </c:pt>
                <c:pt idx="3">
                  <c:v>460.30225000000002</c:v>
                </c:pt>
                <c:pt idx="4">
                  <c:v>250.9383</c:v>
                </c:pt>
                <c:pt idx="5">
                  <c:v>184.61829999999998</c:v>
                </c:pt>
                <c:pt idx="6">
                  <c:v>156.63955000000001</c:v>
                </c:pt>
                <c:pt idx="7">
                  <c:v>187.35400000000001</c:v>
                </c:pt>
                <c:pt idx="8">
                  <c:v>338.6465</c:v>
                </c:pt>
                <c:pt idx="9">
                  <c:v>434.18875000000003</c:v>
                </c:pt>
                <c:pt idx="10">
                  <c:v>444.30255</c:v>
                </c:pt>
                <c:pt idx="11">
                  <c:v>572.79755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7-491E-BD5B-FD7A19773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317520</xdr:colOff>
      <xdr:row>1</xdr:row>
      <xdr:rowOff>141603</xdr:rowOff>
    </xdr:from>
    <xdr:to>
      <xdr:col>25</xdr:col>
      <xdr:colOff>76887</xdr:colOff>
      <xdr:row>40</xdr:row>
      <xdr:rowOff>84492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F27B5666-44E0-4C28-8E73-1C0BC418F0D4}"/>
            </a:ext>
          </a:extLst>
        </xdr:cNvPr>
        <xdr:cNvGrpSpPr/>
      </xdr:nvGrpSpPr>
      <xdr:grpSpPr>
        <a:xfrm>
          <a:off x="317520" y="321861"/>
          <a:ext cx="14917432" cy="6972954"/>
          <a:chOff x="112295" y="152400"/>
          <a:chExt cx="14999367" cy="7138737"/>
        </a:xfrm>
      </xdr:grpSpPr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GrpSpPr/>
        </xdr:nvGrpSpPr>
        <xdr:grpSpPr>
          <a:xfrm>
            <a:off x="6581080" y="615449"/>
            <a:ext cx="8514541" cy="3313095"/>
            <a:chOff x="6135043" y="340700"/>
            <a:chExt cx="8270449" cy="3244628"/>
          </a:xfrm>
        </xdr:grpSpPr>
        <xdr:sp macro="" textlink="">
          <xdr:nvSpPr>
            <xdr:cNvPr id="32" name="Retângulo: Cantos Arredondados 31">
              <a:extLst>
                <a:ext uri="{FF2B5EF4-FFF2-40B4-BE49-F238E27FC236}">
                  <a16:creationId xmlns:a16="http://schemas.microsoft.com/office/drawing/2014/main" id="{00000000-0008-0000-0500-000020000000}"/>
                </a:ext>
              </a:extLst>
            </xdr:cNvPr>
            <xdr:cNvSpPr/>
          </xdr:nvSpPr>
          <xdr:spPr>
            <a:xfrm>
              <a:off x="6135043" y="340700"/>
              <a:ext cx="8270449" cy="3244628"/>
            </a:xfrm>
            <a:prstGeom prst="roundRect">
              <a:avLst>
                <a:gd name="adj" fmla="val 6391"/>
              </a:avLst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GraphicFramePr/>
          </xdr:nvGraphicFramePr>
          <xdr:xfrm>
            <a:off x="6283633" y="480571"/>
            <a:ext cx="7973269" cy="296488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GrpSpPr/>
        </xdr:nvGrpSpPr>
        <xdr:grpSpPr>
          <a:xfrm>
            <a:off x="3465095" y="615449"/>
            <a:ext cx="3039979" cy="3313095"/>
            <a:chOff x="3155151" y="340700"/>
            <a:chExt cx="2885309" cy="3244628"/>
          </a:xfrm>
        </xdr:grpSpPr>
        <xdr:sp macro="" textlink="">
          <xdr:nvSpPr>
            <xdr:cNvPr id="43" name="Retângulo: Cantos Arredondados 42">
              <a:extLst>
                <a:ext uri="{FF2B5EF4-FFF2-40B4-BE49-F238E27FC236}">
                  <a16:creationId xmlns:a16="http://schemas.microsoft.com/office/drawing/2014/main" id="{00000000-0008-0000-0500-00002B000000}"/>
                </a:ext>
              </a:extLst>
            </xdr:cNvPr>
            <xdr:cNvSpPr/>
          </xdr:nvSpPr>
          <xdr:spPr>
            <a:xfrm>
              <a:off x="3155151" y="340700"/>
              <a:ext cx="2885309" cy="3244628"/>
            </a:xfrm>
            <a:prstGeom prst="roundRect">
              <a:avLst>
                <a:gd name="adj" fmla="val 6391"/>
              </a:avLst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1" name="Gráfico 3">
              <a:extLst>
                <a:ext uri="{FF2B5EF4-FFF2-40B4-BE49-F238E27FC236}">
                  <a16:creationId xmlns:a16="http://schemas.microsoft.com/office/drawing/2014/main" id="{00000000-0008-0000-0500-00001F000000}"/>
                </a:ext>
              </a:extLst>
            </xdr:cNvPr>
            <xdr:cNvGraphicFramePr/>
          </xdr:nvGraphicFramePr>
          <xdr:xfrm>
            <a:off x="3223731" y="453901"/>
            <a:ext cx="2748149" cy="301822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GrpSpPr/>
        </xdr:nvGrpSpPr>
        <xdr:grpSpPr>
          <a:xfrm>
            <a:off x="120316" y="4002505"/>
            <a:ext cx="10475495" cy="3274997"/>
            <a:chOff x="144780" y="3720288"/>
            <a:chExt cx="14260712" cy="3206528"/>
          </a:xfrm>
        </xdr:grpSpPr>
        <xdr:sp macro="" textlink="">
          <xdr:nvSpPr>
            <xdr:cNvPr id="21" name="Retângulo: Cantos Arredondados 20">
              <a:extLst>
                <a:ext uri="{FF2B5EF4-FFF2-40B4-BE49-F238E27FC236}">
                  <a16:creationId xmlns:a16="http://schemas.microsoft.com/office/drawing/2014/main" id="{00000000-0008-0000-0500-000015000000}"/>
                </a:ext>
              </a:extLst>
            </xdr:cNvPr>
            <xdr:cNvSpPr/>
          </xdr:nvSpPr>
          <xdr:spPr>
            <a:xfrm>
              <a:off x="144780" y="3720288"/>
              <a:ext cx="14260712" cy="3206528"/>
            </a:xfrm>
            <a:prstGeom prst="roundRect">
              <a:avLst>
                <a:gd name="adj" fmla="val 6391"/>
              </a:avLst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63" name="Gráfico 1">
              <a:extLst>
                <a:ext uri="{FF2B5EF4-FFF2-40B4-BE49-F238E27FC236}">
                  <a16:creationId xmlns:a16="http://schemas.microsoft.com/office/drawing/2014/main" id="{00000000-0008-0000-0500-00003F000000}"/>
                </a:ext>
              </a:extLst>
            </xdr:cNvPr>
            <xdr:cNvGraphicFramePr/>
          </xdr:nvGraphicFramePr>
          <xdr:xfrm>
            <a:off x="323850" y="3912399"/>
            <a:ext cx="13902572" cy="28223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  <xdr:grpSp>
        <xdr:nvGrpSpPr>
          <xdr:cNvPr id="34" name="Agrupar 33">
            <a:extLst>
              <a:ext uri="{FF2B5EF4-FFF2-40B4-BE49-F238E27FC236}">
                <a16:creationId xmlns:a16="http://schemas.microsoft.com/office/drawing/2014/main" id="{A5FC7F53-40A0-47F0-BDEB-3FBF8FDE57E4}"/>
              </a:ext>
            </a:extLst>
          </xdr:cNvPr>
          <xdr:cNvGrpSpPr/>
        </xdr:nvGrpSpPr>
        <xdr:grpSpPr>
          <a:xfrm>
            <a:off x="10668000" y="4002505"/>
            <a:ext cx="4435642" cy="3288632"/>
            <a:chOff x="6135043" y="340700"/>
            <a:chExt cx="8270449" cy="3244628"/>
          </a:xfrm>
        </xdr:grpSpPr>
        <xdr:sp macro="" textlink="">
          <xdr:nvSpPr>
            <xdr:cNvPr id="35" name="Retângulo: Cantos Arredondados 34">
              <a:extLst>
                <a:ext uri="{FF2B5EF4-FFF2-40B4-BE49-F238E27FC236}">
                  <a16:creationId xmlns:a16="http://schemas.microsoft.com/office/drawing/2014/main" id="{E58E48F9-7410-4398-BC1E-006B90082ABB}"/>
                </a:ext>
              </a:extLst>
            </xdr:cNvPr>
            <xdr:cNvSpPr/>
          </xdr:nvSpPr>
          <xdr:spPr>
            <a:xfrm>
              <a:off x="6135043" y="340700"/>
              <a:ext cx="8270449" cy="3244628"/>
            </a:xfrm>
            <a:prstGeom prst="roundRect">
              <a:avLst>
                <a:gd name="adj" fmla="val 6391"/>
              </a:avLst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6" name="Gráfico 35">
              <a:extLst>
                <a:ext uri="{FF2B5EF4-FFF2-40B4-BE49-F238E27FC236}">
                  <a16:creationId xmlns:a16="http://schemas.microsoft.com/office/drawing/2014/main" id="{760F1D7E-F44D-4164-9830-06D51C66B56C}"/>
                </a:ext>
              </a:extLst>
            </xdr:cNvPr>
            <xdr:cNvGraphicFramePr/>
          </xdr:nvGraphicFramePr>
          <xdr:xfrm>
            <a:off x="6283633" y="480571"/>
            <a:ext cx="7973269" cy="296488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47606205-B012-4B32-ACFB-A1F4E114DF15}"/>
              </a:ext>
            </a:extLst>
          </xdr:cNvPr>
          <xdr:cNvGrpSpPr/>
        </xdr:nvGrpSpPr>
        <xdr:grpSpPr>
          <a:xfrm>
            <a:off x="120316" y="615449"/>
            <a:ext cx="3268786" cy="1713713"/>
            <a:chOff x="120316" y="615449"/>
            <a:chExt cx="3268786" cy="1713713"/>
          </a:xfrm>
        </xdr:grpSpPr>
        <xdr:sp macro="" textlink="">
          <xdr:nvSpPr>
            <xdr:cNvPr id="39" name="Retângulo: Cantos Arredondados 38">
              <a:extLst>
                <a:ext uri="{FF2B5EF4-FFF2-40B4-BE49-F238E27FC236}">
                  <a16:creationId xmlns:a16="http://schemas.microsoft.com/office/drawing/2014/main" id="{51347FFD-14A0-4E0C-82F6-820582833437}"/>
                </a:ext>
              </a:extLst>
            </xdr:cNvPr>
            <xdr:cNvSpPr/>
          </xdr:nvSpPr>
          <xdr:spPr>
            <a:xfrm>
              <a:off x="120316" y="615449"/>
              <a:ext cx="3268786" cy="1713713"/>
            </a:xfrm>
            <a:prstGeom prst="roundRect">
              <a:avLst>
                <a:gd name="adj" fmla="val 9606"/>
              </a:avLst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system!N2">
          <xdr:nvSpPr>
            <xdr:cNvPr id="7" name="CaixaDeTexto 6">
              <a:extLst>
                <a:ext uri="{FF2B5EF4-FFF2-40B4-BE49-F238E27FC236}">
                  <a16:creationId xmlns:a16="http://schemas.microsoft.com/office/drawing/2014/main" id="{2E4F7CAF-9676-41DD-A638-57B7567F846A}"/>
                </a:ext>
              </a:extLst>
            </xdr:cNvPr>
            <xdr:cNvSpPr txBox="1"/>
          </xdr:nvSpPr>
          <xdr:spPr>
            <a:xfrm>
              <a:off x="138467" y="1062770"/>
              <a:ext cx="3232484" cy="1059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fld id="{7426056E-5900-45BB-99DF-6AEEEAA76E67}" type="TxLink">
                <a:rPr lang="en-US" sz="4400" b="0" i="0" u="none" strike="noStrike">
                  <a:ln>
                    <a:noFill/>
                  </a:ln>
                  <a:solidFill>
                    <a:srgbClr val="1DC4FF"/>
                  </a:solidFill>
                  <a:latin typeface="Teko SemiBold" panose="02000000000000000000" pitchFamily="2" charset="0"/>
                  <a:cs typeface="Teko SemiBold" panose="02000000000000000000" pitchFamily="2" charset="0"/>
                </a:rPr>
                <a:t>1.098.111 litros</a:t>
              </a:fld>
              <a:endParaRPr lang="pt-BR" sz="4400">
                <a:ln>
                  <a:noFill/>
                </a:ln>
                <a:solidFill>
                  <a:srgbClr val="1DC4FF"/>
                </a:solidFill>
                <a:latin typeface="Teko SemiBold" panose="02000000000000000000" pitchFamily="2" charset="0"/>
                <a:cs typeface="Teko SemiBold" panose="02000000000000000000" pitchFamily="2" charset="0"/>
              </a:endParaRPr>
            </a:p>
          </xdr:txBody>
        </xdr:sp>
        <xdr:sp macro="" textlink="system!AN15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BBE27C39-C965-4475-A057-3965D5108496}"/>
                </a:ext>
              </a:extLst>
            </xdr:cNvPr>
            <xdr:cNvSpPr txBox="1"/>
          </xdr:nvSpPr>
          <xdr:spPr>
            <a:xfrm>
              <a:off x="1098884" y="655554"/>
              <a:ext cx="1339516" cy="4272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800" b="0" i="0" u="none" strike="noStrike">
                  <a:ln>
                    <a:noFill/>
                  </a:ln>
                  <a:solidFill>
                    <a:schemeClr val="bg1"/>
                  </a:solidFill>
                  <a:latin typeface="Teko SemiBold" panose="02000000000000000000" pitchFamily="2" charset="0"/>
                  <a:cs typeface="Teko SemiBold" panose="02000000000000000000" pitchFamily="2" charset="0"/>
                </a:rPr>
                <a:t>Litragem</a:t>
              </a:r>
              <a:fld id="{88358C53-A4F5-4575-BFB6-84DA07B3F9CB}" type="TxLink">
                <a:rPr lang="en-US" sz="1800" b="0" i="0" u="none" strike="noStrike">
                  <a:ln>
                    <a:noFill/>
                  </a:ln>
                  <a:solidFill>
                    <a:schemeClr val="bg1"/>
                  </a:solidFill>
                  <a:latin typeface="Teko SemiBold" panose="02000000000000000000" pitchFamily="2" charset="0"/>
                  <a:cs typeface="Teko SemiBold" panose="02000000000000000000" pitchFamily="2" charset="0"/>
                </a:rPr>
                <a:pPr algn="ctr"/>
                <a:t> </a:t>
              </a:fld>
              <a:endParaRPr lang="pt-BR" sz="1800">
                <a:ln>
                  <a:noFill/>
                </a:ln>
                <a:solidFill>
                  <a:schemeClr val="bg1"/>
                </a:solidFill>
                <a:latin typeface="Teko SemiBold" panose="02000000000000000000" pitchFamily="2" charset="0"/>
                <a:cs typeface="Teko SemiBold" panose="02000000000000000000" pitchFamily="2" charset="0"/>
              </a:endParaRPr>
            </a:p>
          </xdr:txBody>
        </xdr:sp>
      </xdr:grpSp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B9AC5185-71FB-4167-9912-8E77E15F21DC}"/>
              </a:ext>
            </a:extLst>
          </xdr:cNvPr>
          <xdr:cNvGrpSpPr/>
        </xdr:nvGrpSpPr>
        <xdr:grpSpPr>
          <a:xfrm>
            <a:off x="120316" y="2398295"/>
            <a:ext cx="3268786" cy="1530249"/>
            <a:chOff x="120316" y="2398295"/>
            <a:chExt cx="3268786" cy="1530249"/>
          </a:xfrm>
        </xdr:grpSpPr>
        <xdr:sp macro="" textlink="">
          <xdr:nvSpPr>
            <xdr:cNvPr id="33" name="Retângulo: Cantos Arredondados 32">
              <a:extLst>
                <a:ext uri="{FF2B5EF4-FFF2-40B4-BE49-F238E27FC236}">
                  <a16:creationId xmlns:a16="http://schemas.microsoft.com/office/drawing/2014/main" id="{00000000-0008-0000-0500-000021000000}"/>
                </a:ext>
              </a:extLst>
            </xdr:cNvPr>
            <xdr:cNvSpPr/>
          </xdr:nvSpPr>
          <xdr:spPr>
            <a:xfrm>
              <a:off x="120316" y="2398295"/>
              <a:ext cx="3268786" cy="1530249"/>
            </a:xfrm>
            <a:prstGeom prst="roundRect">
              <a:avLst>
                <a:gd name="adj" fmla="val 9606"/>
              </a:avLst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system!P2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6CD72763-C763-47FD-B95B-64F6CE64E07C}"/>
                </a:ext>
              </a:extLst>
            </xdr:cNvPr>
            <xdr:cNvSpPr txBox="1"/>
          </xdr:nvSpPr>
          <xdr:spPr>
            <a:xfrm>
              <a:off x="138309" y="2842118"/>
              <a:ext cx="3232800" cy="88323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D201632-7899-44A1-B568-9316D6CAB6E5}" type="TxLink">
                <a:rPr lang="en-US" sz="5400" b="0" i="0" u="none" strike="noStrike">
                  <a:ln>
                    <a:noFill/>
                  </a:ln>
                  <a:solidFill>
                    <a:srgbClr val="00FA24"/>
                  </a:solidFill>
                  <a:latin typeface="Teko SemiBold" panose="02000000000000000000" pitchFamily="2" charset="0"/>
                  <a:ea typeface="+mn-ea"/>
                  <a:cs typeface="Teko SemiBold" panose="02000000000000000000" pitchFamily="2" charset="0"/>
                </a:rPr>
                <a:pPr marL="0" indent="0" algn="ctr"/>
                <a:t> R$ 5.490,55 </a:t>
              </a:fld>
              <a:endParaRPr lang="pt-BR" sz="5400" b="0" i="0" u="none" strike="noStrike">
                <a:ln>
                  <a:noFill/>
                </a:ln>
                <a:solidFill>
                  <a:srgbClr val="00FA24"/>
                </a:solidFill>
                <a:latin typeface="Teko SemiBold" panose="02000000000000000000" pitchFamily="2" charset="0"/>
                <a:ea typeface="+mn-ea"/>
                <a:cs typeface="Teko SemiBold" panose="02000000000000000000" pitchFamily="2" charset="0"/>
              </a:endParaRPr>
            </a:p>
          </xdr:txBody>
        </xdr:sp>
        <xdr:sp macro="" textlink="system!AN15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377A5C7F-BC52-4C2E-A229-0C681964A467}"/>
                </a:ext>
              </a:extLst>
            </xdr:cNvPr>
            <xdr:cNvSpPr txBox="1"/>
          </xdr:nvSpPr>
          <xdr:spPr>
            <a:xfrm>
              <a:off x="1098884" y="2438400"/>
              <a:ext cx="1339516" cy="4272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lang="en-US" sz="1800" b="0" i="0" u="none" strike="noStrike">
                  <a:ln>
                    <a:noFill/>
                  </a:ln>
                  <a:solidFill>
                    <a:schemeClr val="bg1"/>
                  </a:solidFill>
                  <a:latin typeface="Teko SemiBold" panose="02000000000000000000" pitchFamily="2" charset="0"/>
                  <a:cs typeface="Teko SemiBold" panose="02000000000000000000" pitchFamily="2" charset="0"/>
                </a:rPr>
                <a:t>Economizado</a:t>
              </a:r>
              <a:fld id="{88358C53-A4F5-4575-BFB6-84DA07B3F9CB}" type="TxLink">
                <a:rPr lang="en-US" sz="1800" b="0" i="0" u="none" strike="noStrike">
                  <a:ln>
                    <a:noFill/>
                  </a:ln>
                  <a:solidFill>
                    <a:schemeClr val="bg1"/>
                  </a:solidFill>
                  <a:latin typeface="Teko SemiBold" panose="02000000000000000000" pitchFamily="2" charset="0"/>
                  <a:cs typeface="Teko SemiBold" panose="02000000000000000000" pitchFamily="2" charset="0"/>
                </a:rPr>
                <a:pPr algn="ctr"/>
                <a:t> </a:t>
              </a:fld>
              <a:endParaRPr lang="pt-BR" sz="1800">
                <a:ln>
                  <a:noFill/>
                </a:ln>
                <a:solidFill>
                  <a:schemeClr val="bg1"/>
                </a:solidFill>
                <a:latin typeface="Teko SemiBold" panose="02000000000000000000" pitchFamily="2" charset="0"/>
                <a:cs typeface="Teko SemiBold" panose="02000000000000000000" pitchFamily="2" charset="0"/>
              </a:endParaRPr>
            </a:p>
          </xdr:txBody>
        </xdr:sp>
      </xdr:grpSp>
      <xdr:grpSp>
        <xdr:nvGrpSpPr>
          <xdr:cNvPr id="19" name="Agrupar 18">
            <a:extLst>
              <a:ext uri="{FF2B5EF4-FFF2-40B4-BE49-F238E27FC236}">
                <a16:creationId xmlns:a16="http://schemas.microsoft.com/office/drawing/2014/main" id="{4755D913-4FEE-462E-92CC-C1359ACA8B88}"/>
              </a:ext>
            </a:extLst>
          </xdr:cNvPr>
          <xdr:cNvGrpSpPr/>
        </xdr:nvGrpSpPr>
        <xdr:grpSpPr>
          <a:xfrm>
            <a:off x="112295" y="152400"/>
            <a:ext cx="14999367" cy="385410"/>
            <a:chOff x="112295" y="152400"/>
            <a:chExt cx="14999367" cy="385410"/>
          </a:xfrm>
        </xdr:grpSpPr>
        <xdr:sp macro="" textlink="">
          <xdr:nvSpPr>
            <xdr:cNvPr id="64" name="Retângulo: Cantos Arredondados 63">
              <a:extLst>
                <a:ext uri="{FF2B5EF4-FFF2-40B4-BE49-F238E27FC236}">
                  <a16:creationId xmlns:a16="http://schemas.microsoft.com/office/drawing/2014/main" id="{00000000-0008-0000-0500-000040000000}"/>
                </a:ext>
              </a:extLst>
            </xdr:cNvPr>
            <xdr:cNvSpPr/>
          </xdr:nvSpPr>
          <xdr:spPr>
            <a:xfrm>
              <a:off x="112295" y="152400"/>
              <a:ext cx="14999367" cy="385410"/>
            </a:xfrm>
            <a:prstGeom prst="roundRect">
              <a:avLst>
                <a:gd name="adj" fmla="val 35156"/>
              </a:avLst>
            </a:prstGeom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pSp>
          <xdr:nvGrpSpPr>
            <xdr:cNvPr id="18" name="Agrupar 17">
              <a:extLst>
                <a:ext uri="{FF2B5EF4-FFF2-40B4-BE49-F238E27FC236}">
                  <a16:creationId xmlns:a16="http://schemas.microsoft.com/office/drawing/2014/main" id="{95BAFF55-CB55-416D-B48B-3331AFBBD156}"/>
                </a:ext>
              </a:extLst>
            </xdr:cNvPr>
            <xdr:cNvGrpSpPr/>
          </xdr:nvGrpSpPr>
          <xdr:grpSpPr>
            <a:xfrm>
              <a:off x="11069053" y="152600"/>
              <a:ext cx="3914271" cy="385010"/>
              <a:chOff x="11069053" y="152600"/>
              <a:chExt cx="3914271" cy="385010"/>
            </a:xfrm>
          </xdr:grpSpPr>
          <mc:AlternateContent xmlns:mc="http://schemas.openxmlformats.org/markup-compatibility/2006">
            <mc:Choice xmlns:a14="http://schemas.microsoft.com/office/drawing/2010/main" Requires="a14">
              <xdr:graphicFrame macro="">
                <xdr:nvGraphicFramePr>
                  <xdr:cNvPr id="29" name="ANOS 1">
                    <a:extLst>
                      <a:ext uri="{FF2B5EF4-FFF2-40B4-BE49-F238E27FC236}">
                        <a16:creationId xmlns:a16="http://schemas.microsoft.com/office/drawing/2014/main" id="{0207C37C-C000-454C-BFCF-53EF4CF5044A}"/>
                      </a:ext>
                    </a:extLst>
                  </xdr:cNvPr>
                  <xdr:cNvGraphicFramePr/>
                </xdr:nvGraphicFramePr>
                <xdr:xfrm>
                  <a:off x="11750245" y="152600"/>
                  <a:ext cx="3233079" cy="385010"/>
                </xdr:xfrm>
                <a:graphic>
                  <a:graphicData uri="http://schemas.microsoft.com/office/drawing/2010/slicer">
                    <sle:slicer xmlns:sle="http://schemas.microsoft.com/office/drawing/2010/slicer" name="ANOS 1"/>
                  </a:graphicData>
                </a:graphic>
              </xdr:graphicFrame>
            </mc:Choice>
            <mc:Fallback>
              <xdr:sp macro="" textlink="">
                <xdr:nvSpPr>
                  <xdr:cNvPr id="0" name=""/>
                  <xdr:cNvSpPr>
                    <a:spLocks noTextEdit="1"/>
                  </xdr:cNvSpPr>
                </xdr:nvSpPr>
                <xdr:spPr>
                  <a:xfrm>
                    <a:off x="11891897" y="322056"/>
                    <a:ext cx="3215418" cy="376069"/>
                  </a:xfrm>
                  <a:prstGeom prst="rect">
                    <a:avLst/>
                  </a:prstGeom>
                  <a:solidFill>
                    <a:prstClr val="white"/>
                  </a:solidFill>
                  <a:ln w="1">
                    <a:solidFill>
                      <a:prstClr val="green"/>
                    </a:solidFill>
                  </a:ln>
                </xdr:spPr>
                <xdr:txBody>
                  <a:bodyPr vertOverflow="clip" horzOverflow="clip"/>
                  <a:lstStyle/>
                  <a:p>
                    <a:r>
                      <a:rPr lang="pt-BR" sz="1100"/>
    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    </a:r>
                  </a:p>
                </xdr:txBody>
              </xdr:sp>
            </mc:Fallback>
          </mc:AlternateContent>
          <xdr:sp macro="" textlink="system!BE56">
            <xdr:nvSpPr>
              <xdr:cNvPr id="42" name="CaixaDeTexto 41">
                <a:extLst>
                  <a:ext uri="{FF2B5EF4-FFF2-40B4-BE49-F238E27FC236}">
                    <a16:creationId xmlns:a16="http://schemas.microsoft.com/office/drawing/2014/main" id="{8C62BD84-71D4-4C31-B96A-D6B17B3C3C04}"/>
                  </a:ext>
                </a:extLst>
              </xdr:cNvPr>
              <xdr:cNvSpPr txBox="1"/>
            </xdr:nvSpPr>
            <xdr:spPr>
              <a:xfrm>
                <a:off x="11069053" y="223704"/>
                <a:ext cx="697832" cy="2896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400" b="0" i="0" u="none" strike="noStrike">
                    <a:ln>
                      <a:noFill/>
                    </a:ln>
                    <a:solidFill>
                      <a:schemeClr val="bg1"/>
                    </a:solidFill>
                    <a:latin typeface="Teko SemiBold" panose="02000000000000000000" pitchFamily="2" charset="0"/>
                    <a:cs typeface="Teko SemiBold" panose="02000000000000000000" pitchFamily="2" charset="0"/>
                  </a:rPr>
                  <a:t>Período</a:t>
                </a:r>
                <a:endParaRPr lang="pt-BR" sz="1400">
                  <a:ln>
                    <a:noFill/>
                  </a:ln>
                  <a:solidFill>
                    <a:schemeClr val="bg1"/>
                  </a:solidFill>
                  <a:latin typeface="Teko SemiBold" panose="02000000000000000000" pitchFamily="2" charset="0"/>
                  <a:cs typeface="Teko SemiBold" panose="02000000000000000000" pitchFamily="2" charset="0"/>
                </a:endParaRPr>
              </a:p>
            </xdr:txBody>
          </xdr:sp>
        </xdr:grpSp>
      </xdr:grp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l Funchal" refreshedDate="44677.555710763889" createdVersion="7" refreshedVersion="7" minRefreshableVersion="3" recordCount="5" xr:uid="{D3C86E8A-0CF0-4CA6-80BB-EEE886DA7947}">
  <cacheSource type="worksheet">
    <worksheetSource ref="G1:G6" sheet="hole"/>
  </cacheSource>
  <cacheFields count="1">
    <cacheField name="ANOS" numFmtId="49">
      <sharedItems containsSemiMixedTypes="0" containsString="0" containsNumber="1" containsInteger="1" minValue="2015" maxValue="2019" count="5">
        <n v="2015"/>
        <n v="2016"/>
        <n v="2017"/>
        <n v="2018"/>
        <n v="2019"/>
      </sharedItems>
    </cacheField>
  </cacheFields>
  <extLst>
    <ext xmlns:x14="http://schemas.microsoft.com/office/spreadsheetml/2009/9/main" uri="{725AE2AE-9491-48be-B2B4-4EB974FC3084}">
      <x14:pivotCacheDefinition pivotCacheId="19254403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FAB9E0-28AA-427F-99E4-E16BF0FE8E08}" name="Tabela dinâmica3" cacheId="11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 rowHeaderCaption="ANO">
  <location ref="A1:A2" firstHeaderRow="1" firstDataRow="1" firstDataCol="1"/>
  <pivotFields count="1">
    <pivotField axis="axisRow" numFmtId="49" showAll="0">
      <items count="6">
        <item x="0"/>
        <item h="1" x="1"/>
        <item h="1" x="2"/>
        <item h="1" x="3"/>
        <item h="1" x="4"/>
        <item t="default"/>
      </items>
    </pivotField>
  </pivotFields>
  <rowFields count="1">
    <field x="0"/>
  </rowFields>
  <rowItems count="1">
    <i>
      <x/>
    </i>
  </rowItems>
  <colItems count="1">
    <i/>
  </colItems>
  <formats count="7">
    <format dxfId="51">
      <pivotArea dataOnly="0" labelOnly="1" fieldPosition="0">
        <references count="1">
          <reference field="0" count="0"/>
        </references>
      </pivotArea>
    </format>
    <format dxfId="5">
      <pivotArea type="all" dataOnly="0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type="all" dataOnly="0" outline="0" fieldPosition="0"/>
    </format>
    <format dxfId="1">
      <pivotArea field="0" type="button" dataOnly="0" labelOnly="1" outline="0" axis="axisRow" fieldPosition="0"/>
    </format>
    <format dxfId="0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" xr10:uid="{B58A2BC7-7EE9-4E85-A9F8-FEDF834BEE25}" sourceName="ANOS">
  <pivotTables>
    <pivotTable tabId="8" name="Tabela dinâmica3"/>
  </pivotTables>
  <data>
    <tabular pivotCacheId="1925440341">
      <items count="5">
        <i x="0" s="1"/>
        <i x="1"/>
        <i x="2"/>
        <i x="3"/>
        <i x="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 1" xr10:uid="{AFED9CE7-BF06-499B-B0E3-9B9B4BCEC564}" cache="SegmentaçãodeDados_ANOS" caption="ANOS" columnCount="5" showCaption="0" rowHeight="2232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FA010F-BB74-43DC-8AEA-E5F6E9B71092}" name="economy_table" displayName="economy_table" ref="A1:F14" totalsRowCount="1" headerRowDxfId="38" dataDxfId="36" totalsRowDxfId="37">
  <autoFilter ref="A1:F13" xr:uid="{40FA010F-BB74-43DC-8AEA-E5F6E9B71092}"/>
  <tableColumns count="6">
    <tableColumn id="1" xr3:uid="{5337EB46-7704-4753-8179-D6632BA85689}" name="MESES" totalsRowLabel="Total" dataDxfId="50" totalsRowDxfId="49"/>
    <tableColumn id="2" xr3:uid="{A817B6AD-A554-4BAC-BDA6-C6A371A79C4F}" name="2015" totalsRowFunction="sum" dataDxfId="48" totalsRowDxfId="47"/>
    <tableColumn id="3" xr3:uid="{150040A3-ED60-4BE2-8029-7ED4B9664447}" name="2016" totalsRowFunction="sum" dataDxfId="46" totalsRowDxfId="45"/>
    <tableColumn id="4" xr3:uid="{BB573537-B94E-432C-8B8B-C50FA70FC3A5}" name="2017" totalsRowFunction="sum" dataDxfId="44" totalsRowDxfId="43"/>
    <tableColumn id="5" xr3:uid="{C99F69F6-A352-4C69-B52D-9DB9C4AE8D7E}" name="2018" totalsRowFunction="sum" dataDxfId="42" totalsRowDxfId="41"/>
    <tableColumn id="6" xr3:uid="{3886D912-4A91-449A-9542-6BD6C9E0621F}" name="2019" totalsRowFunction="sum" dataDxfId="40" totalsRow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B7683-C726-4EED-B2CC-E34362C5DB18}" name="liter_table" displayName="liter_table" ref="A1:F14" totalsRowCount="1" headerRowDxfId="23" dataDxfId="21" totalsRowDxfId="22">
  <autoFilter ref="A1:F13" xr:uid="{E95B7683-C726-4EED-B2CC-E34362C5DB18}"/>
  <tableColumns count="6">
    <tableColumn id="1" xr3:uid="{30A13432-F229-4915-ADB3-EDC1DBE9844A}" name="MESES" totalsRowLabel="Total" dataDxfId="35" totalsRowDxfId="34"/>
    <tableColumn id="2" xr3:uid="{73F96A88-3871-4E67-8125-DF32477F4D8F}" name="2015" totalsRowFunction="sum" dataDxfId="33" totalsRowDxfId="32">
      <calculatedColumnFormula>ROUND(font!B2*font!$N$2, 0)</calculatedColumnFormula>
    </tableColumn>
    <tableColumn id="3" xr3:uid="{0AE9BFF7-25CE-4218-B2A9-D7797327999C}" name="2016" totalsRowFunction="sum" dataDxfId="31" totalsRowDxfId="30">
      <calculatedColumnFormula>ROUND(font!C2*font!$N$2, 0)</calculatedColumnFormula>
    </tableColumn>
    <tableColumn id="4" xr3:uid="{DEC8C328-D80D-4AF0-908B-98B0476D913D}" name="2017" totalsRowFunction="sum" dataDxfId="29" totalsRowDxfId="28">
      <calculatedColumnFormula>ROUND(font!D2*font!$N$2, 0)</calculatedColumnFormula>
    </tableColumn>
    <tableColumn id="5" xr3:uid="{4E23C789-801D-41D1-812E-078D173313BB}" name="2018" totalsRowFunction="sum" dataDxfId="27" totalsRowDxfId="26">
      <calculatedColumnFormula>ROUND(font!E2*font!$N$2, 0)</calculatedColumnFormula>
    </tableColumn>
    <tableColumn id="6" xr3:uid="{9AD0F063-CB8C-4655-A0DC-66C512CD35C5}" name="2019" totalsRowFunction="sum" dataDxfId="25" totalsRowDxfId="24">
      <calculatedColumnFormula>ROUND(font!F2*font!$N$2, 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BFA522-B6CA-494A-A953-48D780E13B11}" name="milimeter_table" displayName="milimeter_table" ref="A1:F14" totalsRowCount="1" headerRowDxfId="8" dataDxfId="6" totalsRowDxfId="7">
  <autoFilter ref="A1:F13" xr:uid="{E9BFA522-B6CA-494A-A953-48D780E13B11}"/>
  <tableColumns count="6">
    <tableColumn id="1" xr3:uid="{850130F3-9895-4ABF-A9CE-8CA32C96B554}" name="MESES" totalsRowLabel="Total" dataDxfId="20" totalsRowDxfId="19"/>
    <tableColumn id="2" xr3:uid="{8C921BBA-3963-4B6C-82EB-AADA5C97FF5E}" name="2015" totalsRowFunction="sum" dataDxfId="18" totalsRowDxfId="17"/>
    <tableColumn id="3" xr3:uid="{5E3E5587-AA20-4F39-8E06-E034696E4D20}" name="2016" totalsRowFunction="sum" dataDxfId="16" totalsRowDxfId="15"/>
    <tableColumn id="4" xr3:uid="{7A473D72-C932-4BE8-A210-E5AB8FC3E74E}" name="2017" totalsRowFunction="sum" dataDxfId="14" totalsRowDxfId="13"/>
    <tableColumn id="5" xr3:uid="{CB6A4F8D-A5EB-4D3D-AE1B-41A474D8215D}" name="2018" totalsRowFunction="sum" dataDxfId="12" totalsRowDxfId="11"/>
    <tableColumn id="6" xr3:uid="{A73DBA5A-8A1F-4C0D-B409-E8E744A90477}" name="2019" totalsRowFunction="sum" dataDxfId="10" totalsRow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B84A-A4EE-4C4A-ABD9-262CAD582582}">
  <sheetPr codeName="Planilha4"/>
  <dimension ref="A1:S13"/>
  <sheetViews>
    <sheetView workbookViewId="0">
      <selection activeCell="D6" sqref="D6"/>
    </sheetView>
  </sheetViews>
  <sheetFormatPr defaultRowHeight="14.4" x14ac:dyDescent="0.3"/>
  <cols>
    <col min="1" max="1" width="9.33203125" bestFit="1" customWidth="1"/>
    <col min="2" max="2" width="9.21875" customWidth="1"/>
    <col min="3" max="3" width="8.5546875" bestFit="1" customWidth="1"/>
    <col min="4" max="5" width="9.6640625" bestFit="1" customWidth="1"/>
    <col min="6" max="6" width="11.6640625" bestFit="1" customWidth="1"/>
    <col min="7" max="8" width="9.6640625" bestFit="1" customWidth="1"/>
    <col min="9" max="9" width="8.44140625" bestFit="1" customWidth="1"/>
    <col min="11" max="11" width="9.6640625" bestFit="1" customWidth="1"/>
    <col min="12" max="13" width="14" bestFit="1" customWidth="1"/>
    <col min="14" max="14" width="13.77734375" bestFit="1" customWidth="1"/>
    <col min="15" max="15" width="9.6640625" bestFit="1" customWidth="1"/>
    <col min="16" max="16" width="14" bestFit="1" customWidth="1"/>
    <col min="18" max="18" width="9.6640625" bestFit="1" customWidth="1"/>
    <col min="19" max="19" width="8.44140625" bestFit="1" customWidth="1"/>
  </cols>
  <sheetData>
    <row r="1" spans="1:19" x14ac:dyDescent="0.3">
      <c r="A1" s="21" t="s">
        <v>23</v>
      </c>
      <c r="C1" s="1" t="s">
        <v>26</v>
      </c>
      <c r="E1" s="1" t="s">
        <v>12</v>
      </c>
      <c r="F1" s="1" t="s">
        <v>24</v>
      </c>
      <c r="H1" s="1" t="s">
        <v>12</v>
      </c>
      <c r="I1" s="1" t="s">
        <v>25</v>
      </c>
      <c r="K1" s="1" t="s">
        <v>12</v>
      </c>
      <c r="L1" s="1" t="s">
        <v>28</v>
      </c>
      <c r="N1" s="1" t="s">
        <v>25</v>
      </c>
      <c r="P1" s="1" t="s">
        <v>28</v>
      </c>
      <c r="R1" s="1" t="s">
        <v>12</v>
      </c>
      <c r="S1" s="1" t="s">
        <v>25</v>
      </c>
    </row>
    <row r="2" spans="1:19" x14ac:dyDescent="0.3">
      <c r="A2" s="4">
        <v>2015</v>
      </c>
      <c r="C2" s="1">
        <f>MATCH(TEXT(system!$A$2,"####"),font!$H$2:$H$6,0)</f>
        <v>1</v>
      </c>
      <c r="E2" s="1" t="s">
        <v>0</v>
      </c>
      <c r="F2" s="5" cm="1">
        <f t="array" ref="F2">ROUND(INDEX(font!$B$2:$F$13,font!L2,system!$C$2), 2)</f>
        <v>198.94</v>
      </c>
      <c r="H2" s="1" t="s">
        <v>0</v>
      </c>
      <c r="I2" s="22" cm="1">
        <f t="array" ref="I2">INDEX(liter!$B$2:$F$13,font!L2,$C$2)</f>
        <v>164921</v>
      </c>
      <c r="K2" s="1" t="s">
        <v>0</v>
      </c>
      <c r="L2" s="23">
        <f>HLOOKUP(TEXT($A$2,"####"),economy_table[[#All],[2015]:[2019]],font!L2 + 1)</f>
        <v>824.60630000000003</v>
      </c>
      <c r="N2" s="24" cm="1">
        <f t="array" ref="N2">_xlfn.XLOOKUP(TEXT($A$2,"####"),liter_table[[#Headers],[2015]:[2019]],liter_table[[#Totals],[2015]:[2019]])</f>
        <v>1098111</v>
      </c>
      <c r="O2" s="3"/>
      <c r="P2" s="23" cm="1">
        <f t="array" ref="P2">_xlfn.XLOOKUP(TEXT($A$2,"####"),economy_table[[#Headers],[2015]:[2019]],economy_table[[#Totals],[2015]:[2019]])</f>
        <v>5490.5499</v>
      </c>
      <c r="R2" s="1" t="str">
        <f>_xlfn.XLOOKUP(S2,$I$2:$I$13,$H$2:$H$13)</f>
        <v>Abril</v>
      </c>
      <c r="S2" s="22">
        <f>LARGE($I$2:$I$13,font!$L$6)</f>
        <v>92060</v>
      </c>
    </row>
    <row r="3" spans="1:19" x14ac:dyDescent="0.3">
      <c r="E3" s="1" t="s">
        <v>1</v>
      </c>
      <c r="F3" s="5" cm="1">
        <f t="array" ref="F3">ROUND(INDEX(font!$B$2:$F$13,font!L3,system!$C$2), 2)</f>
        <v>220</v>
      </c>
      <c r="H3" s="1" t="s">
        <v>1</v>
      </c>
      <c r="I3" s="22" cm="1">
        <f t="array" ref="I3">INDEX(liter!$B$2:$F$13,font!L3,$C$2)</f>
        <v>182380</v>
      </c>
      <c r="K3" s="1" t="s">
        <v>1</v>
      </c>
      <c r="L3" s="23">
        <f>HLOOKUP(TEXT($A$2,"####"),economy_table[[#All],[2015]:[2019]],font!L3 + 1)</f>
        <v>911.9</v>
      </c>
      <c r="O3" s="3"/>
      <c r="R3" s="1" t="str">
        <f>_xlfn.XLOOKUP(S3,$I$2:$I$13,$H$2:$H$13)</f>
        <v>Dezembro</v>
      </c>
      <c r="S3" s="22">
        <f>LARGE($I$2:$I$13,font!$L$5)</f>
        <v>114560</v>
      </c>
    </row>
    <row r="4" spans="1:19" x14ac:dyDescent="0.3">
      <c r="E4" s="1" t="s">
        <v>2</v>
      </c>
      <c r="F4" s="5" cm="1">
        <f t="array" ref="F4">ROUND(INDEX(font!$B$2:$F$13,font!L4,system!$C$2), 2)</f>
        <v>174.73</v>
      </c>
      <c r="H4" s="1" t="s">
        <v>2</v>
      </c>
      <c r="I4" s="22" cm="1">
        <f t="array" ref="I4">INDEX(liter!$B$2:$F$13,font!L4,$C$2)</f>
        <v>144851</v>
      </c>
      <c r="K4" s="1" t="s">
        <v>2</v>
      </c>
      <c r="L4" s="23">
        <f>HLOOKUP(TEXT($A$2,"####"),economy_table[[#All],[2015]:[2019]],font!L4 + 1)</f>
        <v>724.2558499999999</v>
      </c>
      <c r="O4" s="3"/>
      <c r="R4" s="1" t="str">
        <f>_xlfn.XLOOKUP(S4,$I$2:$I$13,$H$2:$H$13)</f>
        <v>Março</v>
      </c>
      <c r="S4" s="22">
        <f>LARGE($I$2:$I$13,font!$L$4)</f>
        <v>144851</v>
      </c>
    </row>
    <row r="5" spans="1:19" x14ac:dyDescent="0.3">
      <c r="E5" s="1" t="s">
        <v>3</v>
      </c>
      <c r="F5" s="5" cm="1">
        <f t="array" ref="F5">ROUND(INDEX(font!$B$2:$F$13,font!L5,system!$C$2), 2)</f>
        <v>111.05</v>
      </c>
      <c r="H5" s="1" t="s">
        <v>3</v>
      </c>
      <c r="I5" s="22" cm="1">
        <f t="array" ref="I5">INDEX(liter!$B$2:$F$13,font!L5,$C$2)</f>
        <v>92060</v>
      </c>
      <c r="K5" s="1" t="s">
        <v>3</v>
      </c>
      <c r="L5" s="23">
        <f>HLOOKUP(TEXT($A$2,"####"),economy_table[[#All],[2015]:[2019]],font!L5 + 1)</f>
        <v>460.30225000000002</v>
      </c>
      <c r="O5" s="3"/>
      <c r="R5" s="1" t="str">
        <f>_xlfn.XLOOKUP(S5,$I$2:$I$13,$H$2:$H$13)</f>
        <v>Janeiro</v>
      </c>
      <c r="S5" s="22">
        <f>LARGE($I$2:$I$13,font!$L$3)</f>
        <v>164921</v>
      </c>
    </row>
    <row r="6" spans="1:19" x14ac:dyDescent="0.3">
      <c r="E6" s="1" t="s">
        <v>4</v>
      </c>
      <c r="F6" s="5" cm="1">
        <f t="array" ref="F6">ROUND(INDEX(font!$B$2:$F$13,font!L6,system!$C$2), 2)</f>
        <v>60.54</v>
      </c>
      <c r="H6" s="1" t="s">
        <v>4</v>
      </c>
      <c r="I6" s="22" cm="1">
        <f t="array" ref="I6">INDEX(liter!$B$2:$F$13,font!L6,$C$2)</f>
        <v>50188</v>
      </c>
      <c r="K6" s="1" t="s">
        <v>4</v>
      </c>
      <c r="L6" s="23">
        <f>HLOOKUP(TEXT($A$2,"####"),economy_table[[#All],[2015]:[2019]],font!L6 + 1)</f>
        <v>250.9383</v>
      </c>
      <c r="O6" s="3"/>
      <c r="R6" s="1" t="str">
        <f>_xlfn.XLOOKUP(S6,$I$2:$I$13,$H$2:$H$13)</f>
        <v>Fevereiro</v>
      </c>
      <c r="S6" s="22">
        <f>LARGE($I$2:$I$13,font!$L$2)</f>
        <v>182380</v>
      </c>
    </row>
    <row r="7" spans="1:19" x14ac:dyDescent="0.3">
      <c r="E7" s="1" t="s">
        <v>5</v>
      </c>
      <c r="F7" s="5" cm="1">
        <f t="array" ref="F7">ROUND(INDEX(font!$B$2:$F$13,font!L7,system!$C$2), 2)</f>
        <v>44.54</v>
      </c>
      <c r="H7" s="1" t="s">
        <v>5</v>
      </c>
      <c r="I7" s="22" cm="1">
        <f t="array" ref="I7">INDEX(liter!$B$2:$F$13,font!L7,$C$2)</f>
        <v>36924</v>
      </c>
      <c r="K7" s="1" t="s">
        <v>5</v>
      </c>
      <c r="L7" s="23">
        <f>HLOOKUP(TEXT($A$2,"####"),economy_table[[#All],[2015]:[2019]],font!L7 + 1)</f>
        <v>184.61829999999998</v>
      </c>
      <c r="N7" s="6"/>
    </row>
    <row r="8" spans="1:19" x14ac:dyDescent="0.3">
      <c r="E8" s="1" t="s">
        <v>6</v>
      </c>
      <c r="F8" s="5" cm="1">
        <f t="array" ref="F8">ROUND(INDEX(font!$B$2:$F$13,font!L8,system!$C$2), 2)</f>
        <v>37.79</v>
      </c>
      <c r="H8" s="1" t="s">
        <v>6</v>
      </c>
      <c r="I8" s="22" cm="1">
        <f t="array" ref="I8">INDEX(liter!$B$2:$F$13,font!L8,$C$2)</f>
        <v>31328</v>
      </c>
      <c r="K8" s="1" t="s">
        <v>6</v>
      </c>
      <c r="L8" s="23">
        <f>HLOOKUP(TEXT($A$2,"####"),economy_table[[#All],[2015]:[2019]],font!L8 + 1)</f>
        <v>156.63955000000001</v>
      </c>
      <c r="N8" s="6"/>
    </row>
    <row r="9" spans="1:19" x14ac:dyDescent="0.3">
      <c r="E9" s="1" t="s">
        <v>7</v>
      </c>
      <c r="F9" s="5" cm="1">
        <f t="array" ref="F9">ROUND(INDEX(font!$B$2:$F$13,font!L9,system!$C$2), 2)</f>
        <v>45.2</v>
      </c>
      <c r="H9" s="1" t="s">
        <v>7</v>
      </c>
      <c r="I9" s="22" cm="1">
        <f t="array" ref="I9">INDEX(liter!$B$2:$F$13,font!L9,$C$2)</f>
        <v>37471</v>
      </c>
      <c r="K9" s="1" t="s">
        <v>7</v>
      </c>
      <c r="L9" s="23">
        <f>HLOOKUP(TEXT($A$2,"####"),economy_table[[#All],[2015]:[2019]],font!L9 + 1)</f>
        <v>187.35400000000001</v>
      </c>
      <c r="N9" s="6"/>
    </row>
    <row r="10" spans="1:19" x14ac:dyDescent="0.3">
      <c r="E10" s="1" t="s">
        <v>8</v>
      </c>
      <c r="F10" s="5" cm="1">
        <f t="array" ref="F10">ROUND(INDEX(font!$B$2:$F$13,font!L10,system!$C$2), 2)</f>
        <v>81.7</v>
      </c>
      <c r="H10" s="1" t="s">
        <v>8</v>
      </c>
      <c r="I10" s="22" cm="1">
        <f t="array" ref="I10">INDEX(liter!$B$2:$F$13,font!L10,$C$2)</f>
        <v>67729</v>
      </c>
      <c r="K10" s="1" t="s">
        <v>8</v>
      </c>
      <c r="L10" s="23">
        <f>HLOOKUP(TEXT($A$2,"####"),economy_table[[#All],[2015]:[2019]],font!L10 + 1)</f>
        <v>338.6465</v>
      </c>
      <c r="N10" s="6"/>
    </row>
    <row r="11" spans="1:19" x14ac:dyDescent="0.3">
      <c r="E11" s="1" t="s">
        <v>9</v>
      </c>
      <c r="F11" s="5" cm="1">
        <f t="array" ref="F11">ROUND(INDEX(font!$B$2:$F$13,font!L11,system!$C$2), 2)</f>
        <v>104.75</v>
      </c>
      <c r="H11" s="1" t="s">
        <v>9</v>
      </c>
      <c r="I11" s="22" cm="1">
        <f t="array" ref="I11">INDEX(liter!$B$2:$F$13,font!L11,$C$2)</f>
        <v>86838</v>
      </c>
      <c r="K11" s="1" t="s">
        <v>9</v>
      </c>
      <c r="L11" s="23">
        <f>HLOOKUP(TEXT($A$2,"####"),economy_table[[#All],[2015]:[2019]],font!L11 + 1)</f>
        <v>434.18875000000003</v>
      </c>
      <c r="N11" s="6"/>
    </row>
    <row r="12" spans="1:19" x14ac:dyDescent="0.3">
      <c r="E12" s="1" t="s">
        <v>10</v>
      </c>
      <c r="F12" s="5" cm="1">
        <f t="array" ref="F12">ROUND(INDEX(font!$B$2:$F$13,font!L12,system!$C$2), 2)</f>
        <v>107.19</v>
      </c>
      <c r="H12" s="1" t="s">
        <v>10</v>
      </c>
      <c r="I12" s="22" cm="1">
        <f t="array" ref="I12">INDEX(liter!$B$2:$F$13,font!L12,$C$2)</f>
        <v>88861</v>
      </c>
      <c r="K12" s="1" t="s">
        <v>10</v>
      </c>
      <c r="L12" s="23">
        <f>HLOOKUP(TEXT($A$2,"####"),economy_table[[#All],[2015]:[2019]],font!L12 + 1)</f>
        <v>444.30255</v>
      </c>
      <c r="N12" s="6"/>
    </row>
    <row r="13" spans="1:19" x14ac:dyDescent="0.3">
      <c r="E13" s="1" t="s">
        <v>11</v>
      </c>
      <c r="F13" s="5" cm="1">
        <f t="array" ref="F13">ROUND(INDEX(font!$B$2:$F$13,font!L13,system!$C$2), 2)</f>
        <v>138.19</v>
      </c>
      <c r="H13" s="1" t="s">
        <v>11</v>
      </c>
      <c r="I13" s="22" cm="1">
        <f t="array" ref="I13">INDEX(liter!$B$2:$F$13,font!L13,$C$2)</f>
        <v>114560</v>
      </c>
      <c r="K13" s="1" t="s">
        <v>11</v>
      </c>
      <c r="L13" s="23">
        <f>HLOOKUP(TEXT($A$2,"####"),economy_table[[#All],[2015]:[2019]],font!L13 + 1)</f>
        <v>572.79755</v>
      </c>
      <c r="N13" s="6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AA50-EB74-4897-8601-AB28668389EB}">
  <sheetPr codeName="Planilha5"/>
  <dimension ref="A1:H14"/>
  <sheetViews>
    <sheetView workbookViewId="0">
      <selection activeCell="D6" sqref="D6"/>
    </sheetView>
  </sheetViews>
  <sheetFormatPr defaultRowHeight="14.4" x14ac:dyDescent="0.3"/>
  <cols>
    <col min="1" max="1" width="11.21875" bestFit="1" customWidth="1"/>
    <col min="2" max="6" width="12" bestFit="1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8" x14ac:dyDescent="0.3">
      <c r="A2" s="8" t="s">
        <v>0</v>
      </c>
      <c r="B2" s="9">
        <f>((font!B2*font!$N$2)*font!$P$2)</f>
        <v>824.60630000000003</v>
      </c>
      <c r="C2" s="9">
        <f>((font!C2*font!$N$2)*font!$P$2)</f>
        <v>972.79005000000006</v>
      </c>
      <c r="D2" s="9">
        <f>((font!D2*font!$N$2)*font!$P$2)</f>
        <v>603.34620000000007</v>
      </c>
      <c r="E2" s="9">
        <f>((font!E2*font!$N$2)*font!$P$2)</f>
        <v>888.06624999999997</v>
      </c>
      <c r="F2" s="9">
        <f>((font!F2*font!$N$2)*font!$P$2)</f>
        <v>1092.0417</v>
      </c>
      <c r="H2" s="2"/>
    </row>
    <row r="3" spans="1:8" x14ac:dyDescent="0.3">
      <c r="A3" s="10" t="s">
        <v>1</v>
      </c>
      <c r="B3" s="9">
        <f>((font!B3*font!$N$2)*font!$P$2)</f>
        <v>911.9</v>
      </c>
      <c r="C3" s="9">
        <f>((font!C3*font!$N$2)*font!$P$2)</f>
        <v>985.88824999999997</v>
      </c>
      <c r="D3" s="9">
        <f>((font!D3*font!$N$2)*font!$P$2)</f>
        <v>876.12865000000011</v>
      </c>
      <c r="E3" s="9">
        <f>((font!E3*font!$N$2)*font!$P$2)</f>
        <v>541.71005000000002</v>
      </c>
      <c r="F3" s="9">
        <f>((font!F3*font!$N$2)*font!$P$2)</f>
        <v>766.49339999999995</v>
      </c>
    </row>
    <row r="4" spans="1:8" x14ac:dyDescent="0.3">
      <c r="A4" s="8" t="s">
        <v>2</v>
      </c>
      <c r="B4" s="9">
        <f>((font!B4*font!$N$2)*font!$P$2)</f>
        <v>724.2558499999999</v>
      </c>
      <c r="C4" s="9">
        <f>((font!C4*font!$N$2)*font!$P$2)</f>
        <v>649.27279999999996</v>
      </c>
      <c r="D4" s="9">
        <f>((font!D4*font!$N$2)*font!$P$2)</f>
        <v>841.55934999999999</v>
      </c>
      <c r="E4" s="9">
        <f>((font!E4*font!$N$2)*font!$P$2)</f>
        <v>881.06119999999999</v>
      </c>
      <c r="F4" s="9">
        <f>((font!F4*font!$N$2)*font!$P$2)</f>
        <v>496.73680000000002</v>
      </c>
    </row>
    <row r="5" spans="1:8" x14ac:dyDescent="0.3">
      <c r="A5" s="10" t="s">
        <v>3</v>
      </c>
      <c r="B5" s="9">
        <f>((font!B5*font!$N$2)*font!$P$2)</f>
        <v>460.30225000000002</v>
      </c>
      <c r="C5" s="9">
        <f>((font!C5*font!$N$2)*font!$P$2)</f>
        <v>453.21430000000004</v>
      </c>
      <c r="D5" s="9">
        <f>((font!D5*font!$N$2)*font!$P$2)</f>
        <v>441.77409999999998</v>
      </c>
      <c r="E5" s="9">
        <f>((font!E5*font!$N$2)*font!$P$2)</f>
        <v>442.14715000000007</v>
      </c>
      <c r="F5" s="9">
        <f>((font!F5*font!$N$2)*font!$P$2)</f>
        <v>419.55690000000004</v>
      </c>
    </row>
    <row r="6" spans="1:8" x14ac:dyDescent="0.3">
      <c r="A6" s="8" t="s">
        <v>4</v>
      </c>
      <c r="B6" s="9">
        <f>((font!B6*font!$N$2)*font!$P$2)</f>
        <v>250.9383</v>
      </c>
      <c r="C6" s="9">
        <f>((font!C6*font!$N$2)*font!$P$2)</f>
        <v>271.99490000000003</v>
      </c>
      <c r="D6" s="9">
        <f>((font!D6*font!$N$2)*font!$P$2)</f>
        <v>253.46674999999999</v>
      </c>
      <c r="E6" s="9">
        <f>((font!E6*font!$N$2)*font!$P$2)</f>
        <v>252.96935000000002</v>
      </c>
      <c r="F6" s="9">
        <f>((font!F6*font!$N$2)*font!$P$2)</f>
        <v>258.27495000000005</v>
      </c>
    </row>
    <row r="7" spans="1:8" x14ac:dyDescent="0.3">
      <c r="A7" s="10" t="s">
        <v>5</v>
      </c>
      <c r="B7" s="9">
        <f>((font!B7*font!$N$2)*font!$P$2)</f>
        <v>184.61829999999998</v>
      </c>
      <c r="C7" s="9">
        <f>((font!C7*font!$N$2)*font!$P$2)</f>
        <v>184.45250000000001</v>
      </c>
      <c r="D7" s="9">
        <f>((font!D7*font!$N$2)*font!$P$2)</f>
        <v>212.92864999999998</v>
      </c>
      <c r="E7" s="9">
        <f>((font!E7*font!$N$2)*font!$P$2)</f>
        <v>193.61295000000001</v>
      </c>
      <c r="F7" s="9">
        <f>((font!F7*font!$N$2)*font!$P$2)</f>
        <v>220.96995000000004</v>
      </c>
    </row>
    <row r="8" spans="1:8" x14ac:dyDescent="0.3">
      <c r="A8" s="8" t="s">
        <v>6</v>
      </c>
      <c r="B8" s="9">
        <f>((font!B8*font!$N$2)*font!$P$2)</f>
        <v>156.63955000000001</v>
      </c>
      <c r="C8" s="9">
        <f>((font!C8*font!$N$2)*font!$P$2)</f>
        <v>165.8</v>
      </c>
      <c r="D8" s="9">
        <f>((font!D8*font!$N$2)*font!$P$2)</f>
        <v>184.90845000000002</v>
      </c>
      <c r="E8" s="9">
        <f>((font!E8*font!$N$2)*font!$P$2)</f>
        <v>168.66004999999998</v>
      </c>
      <c r="F8" s="9">
        <f>((font!F8*font!$N$2)*font!$P$2)</f>
        <v>178.81529999999998</v>
      </c>
    </row>
    <row r="9" spans="1:8" x14ac:dyDescent="0.3">
      <c r="A9" s="10" t="s">
        <v>7</v>
      </c>
      <c r="B9" s="9">
        <f>((font!B9*font!$N$2)*font!$P$2)</f>
        <v>187.35400000000001</v>
      </c>
      <c r="C9" s="9">
        <f>((font!C9*font!$N$2)*font!$P$2)</f>
        <v>166.42175</v>
      </c>
      <c r="D9" s="9">
        <f>((font!D9*font!$N$2)*font!$P$2)</f>
        <v>178.19354999999999</v>
      </c>
      <c r="E9" s="9">
        <f>((font!E9*font!$N$2)*font!$P$2)</f>
        <v>184.99135000000001</v>
      </c>
      <c r="F9" s="9">
        <f>((font!F9*font!$N$2)*font!$P$2)</f>
        <v>200.0377</v>
      </c>
    </row>
    <row r="10" spans="1:8" x14ac:dyDescent="0.3">
      <c r="A10" s="8" t="s">
        <v>8</v>
      </c>
      <c r="B10" s="9">
        <f>((font!B10*font!$N$2)*font!$P$2)</f>
        <v>338.6465</v>
      </c>
      <c r="C10" s="9">
        <f>((font!C10*font!$N$2)*font!$P$2)</f>
        <v>396.71794999999997</v>
      </c>
      <c r="D10" s="9">
        <f>((font!D10*font!$N$2)*font!$P$2)</f>
        <v>403.51574999999997</v>
      </c>
      <c r="E10" s="9">
        <f>((font!E10*font!$N$2)*font!$P$2)</f>
        <v>412.46895000000006</v>
      </c>
      <c r="F10" s="9">
        <f>((font!F10*font!$N$2)*font!$P$2)</f>
        <v>378.56284999999997</v>
      </c>
    </row>
    <row r="11" spans="1:8" x14ac:dyDescent="0.3">
      <c r="A11" s="10" t="s">
        <v>9</v>
      </c>
      <c r="B11" s="9">
        <f>((font!B11*font!$N$2)*font!$P$2)</f>
        <v>434.18875000000003</v>
      </c>
      <c r="C11" s="9">
        <f>((font!C11*font!$N$2)*font!$P$2)</f>
        <v>402.27224999999999</v>
      </c>
      <c r="D11" s="9">
        <f>((font!D11*font!$N$2)*font!$P$2)</f>
        <v>392.65584999999999</v>
      </c>
      <c r="E11" s="9">
        <f>((font!E11*font!$N$2)*font!$P$2)</f>
        <v>375.99295000000001</v>
      </c>
      <c r="F11" s="9">
        <f>((font!F11*font!$N$2)*font!$P$2)</f>
        <v>367.57859999999999</v>
      </c>
    </row>
    <row r="12" spans="1:8" x14ac:dyDescent="0.3">
      <c r="A12" s="8" t="s">
        <v>10</v>
      </c>
      <c r="B12" s="9">
        <f>((font!B12*font!$N$2)*font!$P$2)</f>
        <v>444.30255</v>
      </c>
      <c r="C12" s="9">
        <f>((font!C12*font!$N$2)*font!$P$2)</f>
        <v>472.61290000000002</v>
      </c>
      <c r="D12" s="9">
        <f>((font!D12*font!$N$2)*font!$P$2)</f>
        <v>589.83350000000007</v>
      </c>
      <c r="E12" s="9">
        <f>((font!E12*font!$N$2)*font!$P$2)</f>
        <v>525.33729999999991</v>
      </c>
      <c r="F12" s="9">
        <f>((font!F12*font!$N$2)*font!$P$2)</f>
        <v>475.47294999999997</v>
      </c>
    </row>
    <row r="13" spans="1:8" x14ac:dyDescent="0.3">
      <c r="A13" s="10" t="s">
        <v>11</v>
      </c>
      <c r="B13" s="9">
        <f>((font!B13*font!$N$2)*font!$P$2)</f>
        <v>572.79755</v>
      </c>
      <c r="C13" s="9">
        <f>((font!C13*font!$N$2)*font!$P$2)</f>
        <v>694.28750000000002</v>
      </c>
      <c r="D13" s="9">
        <f>((font!D13*font!$N$2)*font!$P$2)</f>
        <v>660.87880000000007</v>
      </c>
      <c r="E13" s="9">
        <f>((font!E13*font!$N$2)*font!$P$2)</f>
        <v>747.59220000000005</v>
      </c>
      <c r="F13" s="9">
        <f>((font!F13*font!$N$2)*font!$P$2)</f>
        <v>522.93320000000006</v>
      </c>
    </row>
    <row r="14" spans="1:8" x14ac:dyDescent="0.3">
      <c r="A14" s="1" t="s">
        <v>27</v>
      </c>
      <c r="B14" s="9">
        <f>SUBTOTAL(109,economy_table[2015])</f>
        <v>5490.5499</v>
      </c>
      <c r="C14" s="9">
        <f>SUBTOTAL(109,economy_table[2016])</f>
        <v>5815.7251500000011</v>
      </c>
      <c r="D14" s="9">
        <f>SUBTOTAL(109,economy_table[2017])</f>
        <v>5639.1895999999997</v>
      </c>
      <c r="E14" s="9">
        <f>SUBTOTAL(109,economy_table[2018])</f>
        <v>5614.6097500000005</v>
      </c>
      <c r="F14" s="9">
        <f>SUBTOTAL(109,economy_table[2019])</f>
        <v>5377.4743000000008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11AB-8B0C-427F-8492-8A30D7730FAB}">
  <sheetPr codeName="Planilha6"/>
  <dimension ref="A1:H14"/>
  <sheetViews>
    <sheetView workbookViewId="0">
      <selection activeCell="D6" sqref="D6"/>
    </sheetView>
  </sheetViews>
  <sheetFormatPr defaultRowHeight="14.4" x14ac:dyDescent="0.3"/>
  <cols>
    <col min="1" max="1" width="11.21875" bestFit="1" customWidth="1"/>
    <col min="2" max="6" width="9.5546875" bestFit="1" customWidth="1"/>
  </cols>
  <sheetData>
    <row r="1" spans="1:8" x14ac:dyDescent="0.3">
      <c r="A1" s="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</row>
    <row r="2" spans="1:8" x14ac:dyDescent="0.3">
      <c r="A2" s="8" t="s">
        <v>0</v>
      </c>
      <c r="B2" s="12">
        <f>ROUND(font!B2*font!$N$2, 0)</f>
        <v>164921</v>
      </c>
      <c r="C2" s="12">
        <f>ROUND(font!C2*font!$N$2, 0)</f>
        <v>194558</v>
      </c>
      <c r="D2" s="12">
        <f>ROUND(font!D2*font!$N$2, 0)</f>
        <v>120669</v>
      </c>
      <c r="E2" s="12">
        <f>ROUND(font!E2*font!$N$2, 0)</f>
        <v>177613</v>
      </c>
      <c r="F2" s="12">
        <f>ROUND(font!F2*font!$N$2, 0)</f>
        <v>218408</v>
      </c>
      <c r="H2" s="2"/>
    </row>
    <row r="3" spans="1:8" x14ac:dyDescent="0.3">
      <c r="A3" s="10" t="s">
        <v>1</v>
      </c>
      <c r="B3" s="12">
        <f>ROUND(font!B3*font!$N$2, 0)</f>
        <v>182380</v>
      </c>
      <c r="C3" s="12">
        <f>ROUND(font!C3*font!$N$2, 0)</f>
        <v>197178</v>
      </c>
      <c r="D3" s="12">
        <f>ROUND(font!D3*font!$N$2, 0)</f>
        <v>175226</v>
      </c>
      <c r="E3" s="12">
        <f>ROUND(font!E3*font!$N$2, 0)</f>
        <v>108342</v>
      </c>
      <c r="F3" s="12">
        <f>ROUND(font!F3*font!$N$2, 0)</f>
        <v>153299</v>
      </c>
    </row>
    <row r="4" spans="1:8" x14ac:dyDescent="0.3">
      <c r="A4" s="8" t="s">
        <v>2</v>
      </c>
      <c r="B4" s="12">
        <f>ROUND(font!B4*font!$N$2, 0)</f>
        <v>144851</v>
      </c>
      <c r="C4" s="12">
        <f>ROUND(font!C4*font!$N$2, 0)</f>
        <v>129855</v>
      </c>
      <c r="D4" s="12">
        <f>ROUND(font!D4*font!$N$2, 0)</f>
        <v>168312</v>
      </c>
      <c r="E4" s="12">
        <f>ROUND(font!E4*font!$N$2, 0)</f>
        <v>176212</v>
      </c>
      <c r="F4" s="12">
        <f>ROUND(font!F4*font!$N$2, 0)</f>
        <v>99347</v>
      </c>
    </row>
    <row r="5" spans="1:8" x14ac:dyDescent="0.3">
      <c r="A5" s="10" t="s">
        <v>3</v>
      </c>
      <c r="B5" s="12">
        <f>ROUND(font!B5*font!$N$2, 0)</f>
        <v>92060</v>
      </c>
      <c r="C5" s="12">
        <f>ROUND(font!C5*font!$N$2, 0)</f>
        <v>90643</v>
      </c>
      <c r="D5" s="12">
        <f>ROUND(font!D5*font!$N$2, 0)</f>
        <v>88355</v>
      </c>
      <c r="E5" s="12">
        <f>ROUND(font!E5*font!$N$2, 0)</f>
        <v>88429</v>
      </c>
      <c r="F5" s="12">
        <f>ROUND(font!F5*font!$N$2, 0)</f>
        <v>83911</v>
      </c>
    </row>
    <row r="6" spans="1:8" x14ac:dyDescent="0.3">
      <c r="A6" s="8" t="s">
        <v>4</v>
      </c>
      <c r="B6" s="12">
        <f>ROUND(font!B6*font!$N$2, 0)</f>
        <v>50188</v>
      </c>
      <c r="C6" s="12">
        <f>ROUND(font!C6*font!$N$2, 0)</f>
        <v>54399</v>
      </c>
      <c r="D6" s="12">
        <f>ROUND(font!D6*font!$N$2, 0)</f>
        <v>50693</v>
      </c>
      <c r="E6" s="12">
        <f>ROUND(font!E6*font!$N$2, 0)</f>
        <v>50594</v>
      </c>
      <c r="F6" s="12">
        <f>ROUND(font!F6*font!$N$2, 0)</f>
        <v>51655</v>
      </c>
    </row>
    <row r="7" spans="1:8" x14ac:dyDescent="0.3">
      <c r="A7" s="10" t="s">
        <v>5</v>
      </c>
      <c r="B7" s="12">
        <f>ROUND(font!B7*font!$N$2, 0)</f>
        <v>36924</v>
      </c>
      <c r="C7" s="12">
        <f>ROUND(font!C7*font!$N$2, 0)</f>
        <v>36891</v>
      </c>
      <c r="D7" s="12">
        <f>ROUND(font!D7*font!$N$2, 0)</f>
        <v>42586</v>
      </c>
      <c r="E7" s="12">
        <f>ROUND(font!E7*font!$N$2, 0)</f>
        <v>38723</v>
      </c>
      <c r="F7" s="12">
        <f>ROUND(font!F7*font!$N$2, 0)</f>
        <v>44194</v>
      </c>
    </row>
    <row r="8" spans="1:8" x14ac:dyDescent="0.3">
      <c r="A8" s="8" t="s">
        <v>6</v>
      </c>
      <c r="B8" s="12">
        <f>ROUND(font!B8*font!$N$2, 0)</f>
        <v>31328</v>
      </c>
      <c r="C8" s="12">
        <f>ROUND(font!C8*font!$N$2, 0)</f>
        <v>33160</v>
      </c>
      <c r="D8" s="12">
        <f>ROUND(font!D8*font!$N$2, 0)</f>
        <v>36982</v>
      </c>
      <c r="E8" s="12">
        <f>ROUND(font!E8*font!$N$2, 0)</f>
        <v>33732</v>
      </c>
      <c r="F8" s="12">
        <f>ROUND(font!F8*font!$N$2, 0)</f>
        <v>35763</v>
      </c>
    </row>
    <row r="9" spans="1:8" x14ac:dyDescent="0.3">
      <c r="A9" s="10" t="s">
        <v>7</v>
      </c>
      <c r="B9" s="12">
        <f>ROUND(font!B9*font!$N$2, 0)</f>
        <v>37471</v>
      </c>
      <c r="C9" s="12">
        <f>ROUND(font!C9*font!$N$2, 0)</f>
        <v>33284</v>
      </c>
      <c r="D9" s="12">
        <f>ROUND(font!D9*font!$N$2, 0)</f>
        <v>35639</v>
      </c>
      <c r="E9" s="12">
        <f>ROUND(font!E9*font!$N$2, 0)</f>
        <v>36998</v>
      </c>
      <c r="F9" s="12">
        <f>ROUND(font!F9*font!$N$2, 0)</f>
        <v>40008</v>
      </c>
    </row>
    <row r="10" spans="1:8" x14ac:dyDescent="0.3">
      <c r="A10" s="8" t="s">
        <v>8</v>
      </c>
      <c r="B10" s="12">
        <f>ROUND(font!B10*font!$N$2, 0)</f>
        <v>67729</v>
      </c>
      <c r="C10" s="12">
        <f>ROUND(font!C10*font!$N$2, 0)</f>
        <v>79344</v>
      </c>
      <c r="D10" s="12">
        <f>ROUND(font!D10*font!$N$2, 0)</f>
        <v>80703</v>
      </c>
      <c r="E10" s="12">
        <f>ROUND(font!E10*font!$N$2, 0)</f>
        <v>82494</v>
      </c>
      <c r="F10" s="12">
        <f>ROUND(font!F10*font!$N$2, 0)</f>
        <v>75713</v>
      </c>
    </row>
    <row r="11" spans="1:8" x14ac:dyDescent="0.3">
      <c r="A11" s="10" t="s">
        <v>9</v>
      </c>
      <c r="B11" s="12">
        <f>ROUND(font!B11*font!$N$2, 0)</f>
        <v>86838</v>
      </c>
      <c r="C11" s="12">
        <f>ROUND(font!C11*font!$N$2, 0)</f>
        <v>80454</v>
      </c>
      <c r="D11" s="12">
        <f>ROUND(font!D11*font!$N$2, 0)</f>
        <v>78531</v>
      </c>
      <c r="E11" s="12">
        <f>ROUND(font!E11*font!$N$2, 0)</f>
        <v>75199</v>
      </c>
      <c r="F11" s="12">
        <f>ROUND(font!F11*font!$N$2, 0)</f>
        <v>73516</v>
      </c>
    </row>
    <row r="12" spans="1:8" x14ac:dyDescent="0.3">
      <c r="A12" s="8" t="s">
        <v>10</v>
      </c>
      <c r="B12" s="12">
        <f>ROUND(font!B12*font!$N$2, 0)</f>
        <v>88861</v>
      </c>
      <c r="C12" s="12">
        <f>ROUND(font!C12*font!$N$2, 0)</f>
        <v>94523</v>
      </c>
      <c r="D12" s="12">
        <f>ROUND(font!D12*font!$N$2, 0)</f>
        <v>117967</v>
      </c>
      <c r="E12" s="12">
        <f>ROUND(font!E12*font!$N$2, 0)</f>
        <v>105067</v>
      </c>
      <c r="F12" s="12">
        <f>ROUND(font!F12*font!$N$2, 0)</f>
        <v>95095</v>
      </c>
    </row>
    <row r="13" spans="1:8" x14ac:dyDescent="0.3">
      <c r="A13" s="10" t="s">
        <v>11</v>
      </c>
      <c r="B13" s="12">
        <f>ROUND(font!B13*font!$N$2, 0)</f>
        <v>114560</v>
      </c>
      <c r="C13" s="12">
        <f>ROUND(font!C13*font!$N$2, 0)</f>
        <v>138858</v>
      </c>
      <c r="D13" s="12">
        <f>ROUND(font!D13*font!$N$2, 0)</f>
        <v>132176</v>
      </c>
      <c r="E13" s="12">
        <f>ROUND(font!E13*font!$N$2, 0)</f>
        <v>149518</v>
      </c>
      <c r="F13" s="12">
        <f>ROUND(font!F13*font!$N$2, 0)</f>
        <v>104587</v>
      </c>
    </row>
    <row r="14" spans="1:8" x14ac:dyDescent="0.3">
      <c r="A14" s="13" t="s">
        <v>27</v>
      </c>
      <c r="B14" s="12">
        <f>SUBTOTAL(109,liter_table[2015])</f>
        <v>1098111</v>
      </c>
      <c r="C14" s="12">
        <f>SUBTOTAL(109,liter_table[2016])</f>
        <v>1163147</v>
      </c>
      <c r="D14" s="12">
        <f>SUBTOTAL(109,liter_table[2017])</f>
        <v>1127839</v>
      </c>
      <c r="E14" s="12">
        <f>SUBTOTAL(109,liter_table[2018])</f>
        <v>1122921</v>
      </c>
      <c r="F14" s="12">
        <f>SUBTOTAL(109,liter_table[2019])</f>
        <v>1075496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CF72-8EDC-4117-8E7F-3F707DABF806}">
  <sheetPr codeName="Planilha1"/>
  <dimension ref="A1"/>
  <sheetViews>
    <sheetView showGridLines="0" showRowColHeaders="0" tabSelected="1" zoomScale="93" zoomScaleNormal="93" workbookViewId="0">
      <selection activeCell="B3" sqref="B3"/>
    </sheetView>
  </sheetViews>
  <sheetFormatPr defaultRowHeight="14.4" x14ac:dyDescent="0.3"/>
  <cols>
    <col min="1" max="16384" width="8.88671875" style="7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F7BF-E7E6-4089-85B3-8A89B2033E56}">
  <sheetPr codeName="Planilha7"/>
  <dimension ref="A1:P14"/>
  <sheetViews>
    <sheetView workbookViewId="0">
      <selection activeCell="D6" sqref="D6"/>
    </sheetView>
  </sheetViews>
  <sheetFormatPr defaultRowHeight="14.4" x14ac:dyDescent="0.3"/>
  <cols>
    <col min="1" max="1" width="11.21875" bestFit="1" customWidth="1"/>
    <col min="2" max="6" width="9.44140625" bestFit="1" customWidth="1"/>
    <col min="8" max="8" width="5.21875" bestFit="1" customWidth="1"/>
    <col min="10" max="10" width="9.6640625" bestFit="1" customWidth="1"/>
    <col min="12" max="12" width="7.109375" bestFit="1" customWidth="1"/>
    <col min="14" max="14" width="5.33203125" bestFit="1" customWidth="1"/>
    <col min="16" max="16" width="12.21875" bestFit="1" customWidth="1"/>
  </cols>
  <sheetData>
    <row r="1" spans="1:16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H1" s="1" t="s">
        <v>21</v>
      </c>
      <c r="J1" s="1" t="s">
        <v>22</v>
      </c>
      <c r="L1" s="1" t="s">
        <v>18</v>
      </c>
      <c r="N1" s="1" t="s">
        <v>19</v>
      </c>
      <c r="P1" s="1" t="s">
        <v>20</v>
      </c>
    </row>
    <row r="2" spans="1:16" x14ac:dyDescent="0.3">
      <c r="A2" s="1" t="s">
        <v>0</v>
      </c>
      <c r="B2" s="14">
        <v>198.94</v>
      </c>
      <c r="C2" s="15">
        <v>234.69</v>
      </c>
      <c r="D2" s="15">
        <v>145.56</v>
      </c>
      <c r="E2" s="15">
        <v>214.25</v>
      </c>
      <c r="F2" s="16">
        <v>263.45999999999998</v>
      </c>
      <c r="H2" s="1" t="s">
        <v>13</v>
      </c>
      <c r="J2" s="1" t="s">
        <v>0</v>
      </c>
      <c r="L2" s="1">
        <v>1</v>
      </c>
      <c r="N2" s="1">
        <v>829</v>
      </c>
      <c r="P2" s="1">
        <v>5.0000000000000001E-3</v>
      </c>
    </row>
    <row r="3" spans="1:16" x14ac:dyDescent="0.3">
      <c r="A3" s="1" t="s">
        <v>1</v>
      </c>
      <c r="B3" s="17">
        <v>220</v>
      </c>
      <c r="C3" s="18">
        <v>237.85</v>
      </c>
      <c r="D3" s="18">
        <v>211.37</v>
      </c>
      <c r="E3" s="18">
        <v>130.69</v>
      </c>
      <c r="F3" s="19">
        <v>184.92</v>
      </c>
      <c r="H3" s="1" t="s">
        <v>14</v>
      </c>
      <c r="J3" s="1" t="s">
        <v>1</v>
      </c>
      <c r="L3" s="1">
        <v>2</v>
      </c>
    </row>
    <row r="4" spans="1:16" x14ac:dyDescent="0.3">
      <c r="A4" s="1" t="s">
        <v>2</v>
      </c>
      <c r="B4" s="14">
        <v>174.73</v>
      </c>
      <c r="C4" s="15">
        <v>156.63999999999999</v>
      </c>
      <c r="D4" s="15">
        <v>203.03</v>
      </c>
      <c r="E4" s="15">
        <v>212.56</v>
      </c>
      <c r="F4" s="16">
        <v>119.84</v>
      </c>
      <c r="H4" s="1" t="s">
        <v>15</v>
      </c>
      <c r="J4" s="1" t="s">
        <v>2</v>
      </c>
      <c r="L4" s="1">
        <v>3</v>
      </c>
    </row>
    <row r="5" spans="1:16" x14ac:dyDescent="0.3">
      <c r="A5" s="1" t="s">
        <v>3</v>
      </c>
      <c r="B5" s="17">
        <v>111.05</v>
      </c>
      <c r="C5" s="18">
        <v>109.34</v>
      </c>
      <c r="D5" s="18">
        <v>106.58</v>
      </c>
      <c r="E5" s="18">
        <v>106.67</v>
      </c>
      <c r="F5" s="19">
        <v>101.22</v>
      </c>
      <c r="H5" s="1" t="s">
        <v>16</v>
      </c>
      <c r="J5" s="1" t="s">
        <v>3</v>
      </c>
      <c r="L5" s="1">
        <v>4</v>
      </c>
    </row>
    <row r="6" spans="1:16" x14ac:dyDescent="0.3">
      <c r="A6" s="1" t="s">
        <v>4</v>
      </c>
      <c r="B6" s="14">
        <v>60.54</v>
      </c>
      <c r="C6" s="15">
        <v>65.62</v>
      </c>
      <c r="D6" s="15">
        <v>61.15</v>
      </c>
      <c r="E6" s="15">
        <v>61.03</v>
      </c>
      <c r="F6" s="16">
        <v>62.31</v>
      </c>
      <c r="H6" s="1" t="s">
        <v>17</v>
      </c>
      <c r="J6" s="1" t="s">
        <v>4</v>
      </c>
      <c r="L6" s="1">
        <v>5</v>
      </c>
    </row>
    <row r="7" spans="1:16" x14ac:dyDescent="0.3">
      <c r="A7" s="1" t="s">
        <v>5</v>
      </c>
      <c r="B7" s="17">
        <v>44.54</v>
      </c>
      <c r="C7" s="18">
        <v>44.5</v>
      </c>
      <c r="D7" s="18">
        <v>51.37</v>
      </c>
      <c r="E7" s="18">
        <v>46.71</v>
      </c>
      <c r="F7" s="19">
        <v>53.31</v>
      </c>
      <c r="J7" s="1" t="s">
        <v>5</v>
      </c>
      <c r="L7" s="1">
        <v>6</v>
      </c>
    </row>
    <row r="8" spans="1:16" x14ac:dyDescent="0.3">
      <c r="A8" s="1" t="s">
        <v>6</v>
      </c>
      <c r="B8" s="14">
        <v>37.79</v>
      </c>
      <c r="C8" s="15">
        <v>40</v>
      </c>
      <c r="D8" s="15">
        <v>44.61</v>
      </c>
      <c r="E8" s="15">
        <v>40.69</v>
      </c>
      <c r="F8" s="16">
        <v>43.14</v>
      </c>
      <c r="J8" s="1" t="s">
        <v>6</v>
      </c>
      <c r="L8" s="1">
        <v>7</v>
      </c>
    </row>
    <row r="9" spans="1:16" x14ac:dyDescent="0.3">
      <c r="A9" s="1" t="s">
        <v>7</v>
      </c>
      <c r="B9" s="17">
        <v>45.2</v>
      </c>
      <c r="C9" s="18">
        <v>40.15</v>
      </c>
      <c r="D9" s="18">
        <v>42.99</v>
      </c>
      <c r="E9" s="18">
        <v>44.63</v>
      </c>
      <c r="F9" s="19">
        <v>48.26</v>
      </c>
      <c r="J9" s="1" t="s">
        <v>7</v>
      </c>
      <c r="L9" s="1">
        <v>8</v>
      </c>
    </row>
    <row r="10" spans="1:16" x14ac:dyDescent="0.3">
      <c r="A10" s="1" t="s">
        <v>8</v>
      </c>
      <c r="B10" s="14">
        <v>81.7</v>
      </c>
      <c r="C10" s="15">
        <v>95.71</v>
      </c>
      <c r="D10" s="15">
        <v>97.35</v>
      </c>
      <c r="E10" s="15">
        <v>99.51</v>
      </c>
      <c r="F10" s="16">
        <v>91.33</v>
      </c>
      <c r="J10" s="1" t="s">
        <v>8</v>
      </c>
      <c r="L10" s="1">
        <v>9</v>
      </c>
    </row>
    <row r="11" spans="1:16" x14ac:dyDescent="0.3">
      <c r="A11" s="1" t="s">
        <v>9</v>
      </c>
      <c r="B11" s="17">
        <v>104.75</v>
      </c>
      <c r="C11" s="18">
        <v>97.05</v>
      </c>
      <c r="D11" s="18">
        <v>94.73</v>
      </c>
      <c r="E11" s="18">
        <v>90.71</v>
      </c>
      <c r="F11" s="19">
        <v>88.68</v>
      </c>
      <c r="J11" s="1" t="s">
        <v>9</v>
      </c>
      <c r="L11" s="1">
        <v>10</v>
      </c>
    </row>
    <row r="12" spans="1:16" x14ac:dyDescent="0.3">
      <c r="A12" s="1" t="s">
        <v>10</v>
      </c>
      <c r="B12" s="14">
        <v>107.19</v>
      </c>
      <c r="C12" s="15">
        <v>114.02</v>
      </c>
      <c r="D12" s="15">
        <v>142.30000000000001</v>
      </c>
      <c r="E12" s="15">
        <v>126.74</v>
      </c>
      <c r="F12" s="16">
        <v>114.71</v>
      </c>
      <c r="J12" s="1" t="s">
        <v>10</v>
      </c>
      <c r="L12" s="1">
        <v>11</v>
      </c>
    </row>
    <row r="13" spans="1:16" x14ac:dyDescent="0.3">
      <c r="A13" s="1" t="s">
        <v>11</v>
      </c>
      <c r="B13" s="17">
        <v>138.19</v>
      </c>
      <c r="C13" s="18">
        <v>167.5</v>
      </c>
      <c r="D13" s="18">
        <v>159.44</v>
      </c>
      <c r="E13" s="18">
        <v>180.36</v>
      </c>
      <c r="F13" s="19">
        <v>126.16</v>
      </c>
      <c r="J13" s="1" t="s">
        <v>11</v>
      </c>
      <c r="L13" s="1">
        <v>12</v>
      </c>
    </row>
    <row r="14" spans="1:16" x14ac:dyDescent="0.3">
      <c r="A14" s="1" t="s">
        <v>27</v>
      </c>
      <c r="B14" s="20">
        <f>SUBTOTAL(109,milimeter_table[2015])</f>
        <v>1324.62</v>
      </c>
      <c r="C14" s="20">
        <f>SUBTOTAL(109,milimeter_table[2016])</f>
        <v>1403.07</v>
      </c>
      <c r="D14" s="20">
        <f>SUBTOTAL(109,milimeter_table[2017])</f>
        <v>1360.48</v>
      </c>
      <c r="E14" s="20">
        <f>SUBTOTAL(109,milimeter_table[2018])</f>
        <v>1354.5499999999997</v>
      </c>
      <c r="F14" s="20">
        <f>SUBTOTAL(109,milimeter_table[2019])</f>
        <v>1297.3400000000001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B78F7-2ED8-4B8C-8590-171BC1CB7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system</vt:lpstr>
      <vt:lpstr>save</vt:lpstr>
      <vt:lpstr>liter</vt:lpstr>
      <vt:lpstr>Dashboard</vt:lpstr>
      <vt:lpstr>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Funchal</dc:creator>
  <cp:lastModifiedBy>Rafael Funchal</cp:lastModifiedBy>
  <dcterms:created xsi:type="dcterms:W3CDTF">2021-03-01T23:23:25Z</dcterms:created>
  <dcterms:modified xsi:type="dcterms:W3CDTF">2022-04-26T20:47:15Z</dcterms:modified>
</cp:coreProperties>
</file>