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trlProps/ctrlProp11.xml" ContentType="application/vnd.ms-excel.controlproperties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portifolio\src\documents\"/>
    </mc:Choice>
  </mc:AlternateContent>
  <xr:revisionPtr revIDLastSave="0" documentId="13_ncr:1_{674B66D9-2074-4973-BB05-0C7DA7D3D25A}" xr6:coauthVersionLast="47" xr6:coauthVersionMax="47" xr10:uidLastSave="{00000000-0000-0000-0000-000000000000}"/>
  <bookViews>
    <workbookView xWindow="-108" yWindow="-108" windowWidth="23256" windowHeight="13176" tabRatio="693" firstSheet="5" activeTab="5" xr2:uid="{1BC04482-91F8-4CAA-8815-911987BB3D9F}"/>
  </bookViews>
  <sheets>
    <sheet name="System" sheetId="14" state="hidden" r:id="rId1"/>
    <sheet name="tabela_media" sheetId="7" state="hidden" r:id="rId2"/>
    <sheet name="tabela_chuva" sheetId="10" state="hidden" r:id="rId3"/>
    <sheet name="tabela_maxima" sheetId="11" state="hidden" r:id="rId4"/>
    <sheet name="tabela_minima" sheetId="12" state="hidden" r:id="rId5"/>
    <sheet name="dashboard" sheetId="9" r:id="rId6"/>
    <sheet name="análise" sheetId="16" r:id="rId7"/>
    <sheet name="tabela" sheetId="4" r:id="rId8"/>
    <sheet name="tabela_dia" sheetId="15" state="hidden" r:id="rId9"/>
    <sheet name="Climograma Santos - SP" sheetId="13" r:id="rId10"/>
    <sheet name="Tabela de registros climaticos" sheetId="1" state="hidden" r:id="rId11"/>
    <sheet name="Fonte" sheetId="2" state="hidden" r:id="rId12"/>
  </sheets>
  <definedNames>
    <definedName name="_xlchart.v2.0" hidden="1">System!$M$2:$M$8</definedName>
    <definedName name="_xlchart.v2.1" hidden="1">System!$O$2:$O$8</definedName>
    <definedName name="_xlcn.WorksheetConnection_Pasta1version1.xlsbTabela11" hidden="1">Tabela1[]</definedName>
    <definedName name="_xlcn.WorksheetConnection_Pasta1version1.xlsbTabela21" hidden="1">Tabela2</definedName>
    <definedName name="DadosExternos_1" localSheetId="7" hidden="1">tabela!$A$1:$G$64</definedName>
    <definedName name="tabrla_query">tabela_query[#All]</definedName>
    <definedName name="temperatura_media">tabela_media[]</definedName>
    <definedName name="temperaturaMedia">tabela_media[]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Pasta1 (version 1).xlsb!Tabela2"/>
          <x15:modelTable id="Tabela1" name="Tabela1" connection="WorksheetConnection_Pasta1 (version 1).xlsb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4" l="1"/>
  <c r="J3" i="4" s="1"/>
  <c r="B12" i="14"/>
  <c r="J4" i="4" s="1"/>
  <c r="B13" i="14"/>
  <c r="J5" i="4" s="1"/>
  <c r="B14" i="14"/>
  <c r="J6" i="4" s="1"/>
  <c r="B15" i="14"/>
  <c r="J7" i="4" s="1"/>
  <c r="B16" i="14"/>
  <c r="J8" i="4" s="1"/>
  <c r="B17" i="14"/>
  <c r="J9" i="4" s="1"/>
  <c r="E12" i="16"/>
  <c r="D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G12" i="16" s="1"/>
  <c r="F4" i="16"/>
  <c r="E4" i="16"/>
  <c r="D4" i="16"/>
  <c r="C4" i="16"/>
  <c r="C12" i="16" s="1"/>
  <c r="B4" i="16"/>
  <c r="G3" i="16"/>
  <c r="F3" i="16"/>
  <c r="F12" i="16" s="1"/>
  <c r="E3" i="16"/>
  <c r="D3" i="16"/>
  <c r="C3" i="16"/>
  <c r="B3" i="16"/>
  <c r="B12" i="16" s="1"/>
  <c r="A17" i="14"/>
  <c r="I9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C65" i="4"/>
  <c r="D65" i="4"/>
  <c r="E65" i="4"/>
  <c r="F65" i="4"/>
  <c r="G65" i="4"/>
  <c r="E64" i="1"/>
  <c r="E63" i="1"/>
  <c r="E62" i="1"/>
  <c r="E61" i="1"/>
  <c r="E60" i="1"/>
  <c r="E59" i="1"/>
  <c r="E58" i="1"/>
  <c r="E57" i="1"/>
  <c r="E56" i="1"/>
  <c r="A16" i="14"/>
  <c r="I8" i="4" s="1"/>
  <c r="A15" i="14"/>
  <c r="I7" i="4" s="1"/>
  <c r="A14" i="14"/>
  <c r="I6" i="4" s="1"/>
  <c r="A13" i="14"/>
  <c r="I5" i="4" s="1"/>
  <c r="A12" i="14"/>
  <c r="I4" i="4" s="1"/>
  <c r="A11" i="14"/>
  <c r="I3" i="4" s="1"/>
  <c r="E55" i="1"/>
  <c r="E54" i="1"/>
  <c r="E53" i="1"/>
  <c r="E52" i="1"/>
  <c r="E51" i="1"/>
  <c r="E50" i="1"/>
  <c r="AE11" i="14"/>
  <c r="G15" i="14" s="1"/>
  <c r="O7" i="4" s="1"/>
  <c r="AE2" i="14"/>
  <c r="T8" i="14" s="1"/>
  <c r="AA8" i="14"/>
  <c r="AA7" i="14"/>
  <c r="AA6" i="14"/>
  <c r="AA5" i="14"/>
  <c r="AA4" i="14"/>
  <c r="AA3" i="14"/>
  <c r="AA2" i="14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10" i="12"/>
  <c r="I9" i="12"/>
  <c r="I8" i="12"/>
  <c r="I7" i="12"/>
  <c r="I6" i="12"/>
  <c r="I5" i="12"/>
  <c r="I4" i="12"/>
  <c r="I3" i="12"/>
  <c r="I2" i="12"/>
  <c r="I10" i="11"/>
  <c r="I9" i="11"/>
  <c r="I8" i="11"/>
  <c r="I7" i="11"/>
  <c r="I6" i="11"/>
  <c r="I5" i="11"/>
  <c r="I4" i="11"/>
  <c r="I3" i="11"/>
  <c r="I2" i="11"/>
  <c r="I10" i="10"/>
  <c r="I9" i="10"/>
  <c r="I8" i="10"/>
  <c r="I7" i="10"/>
  <c r="I6" i="10"/>
  <c r="I5" i="10"/>
  <c r="I4" i="10"/>
  <c r="I3" i="10"/>
  <c r="I2" i="10"/>
  <c r="I10" i="7"/>
  <c r="I9" i="7"/>
  <c r="I8" i="7"/>
  <c r="I7" i="7"/>
  <c r="I6" i="7"/>
  <c r="I5" i="7"/>
  <c r="I4" i="7"/>
  <c r="I3" i="7"/>
  <c r="I2" i="7"/>
  <c r="I1" i="4" l="1"/>
  <c r="F11" i="14"/>
  <c r="N3" i="4" s="1"/>
  <c r="F12" i="14"/>
  <c r="N4" i="4" s="1"/>
  <c r="F13" i="14"/>
  <c r="N5" i="4" s="1"/>
  <c r="F15" i="14"/>
  <c r="N7" i="4" s="1"/>
  <c r="F17" i="14"/>
  <c r="N9" i="4" s="1"/>
  <c r="F14" i="14"/>
  <c r="N6" i="4" s="1"/>
  <c r="F16" i="14"/>
  <c r="N8" i="4" s="1"/>
  <c r="T2" i="14"/>
  <c r="D14" i="14"/>
  <c r="L6" i="4" s="1"/>
  <c r="C12" i="14"/>
  <c r="K4" i="4" s="1"/>
  <c r="G13" i="14"/>
  <c r="O5" i="4" s="1"/>
  <c r="C16" i="14"/>
  <c r="K8" i="4" s="1"/>
  <c r="G16" i="14"/>
  <c r="O8" i="4" s="1"/>
  <c r="D13" i="14"/>
  <c r="L5" i="4" s="1"/>
  <c r="C13" i="14"/>
  <c r="K5" i="4" s="1"/>
  <c r="C17" i="14"/>
  <c r="K9" i="4" s="1"/>
  <c r="D16" i="14"/>
  <c r="L8" i="4" s="1"/>
  <c r="D15" i="14"/>
  <c r="L7" i="4" s="1"/>
  <c r="G14" i="14"/>
  <c r="O6" i="4" s="1"/>
  <c r="C14" i="14"/>
  <c r="K6" i="4" s="1"/>
  <c r="D11" i="14"/>
  <c r="L3" i="4" s="1"/>
  <c r="D17" i="14"/>
  <c r="L9" i="4" s="1"/>
  <c r="G11" i="14"/>
  <c r="O3" i="4" s="1"/>
  <c r="G17" i="14"/>
  <c r="O9" i="4" s="1"/>
  <c r="C11" i="14"/>
  <c r="K3" i="4" s="1"/>
  <c r="C15" i="14"/>
  <c r="K7" i="4" s="1"/>
  <c r="D12" i="14"/>
  <c r="L4" i="4" s="1"/>
  <c r="G12" i="14"/>
  <c r="O4" i="4" s="1"/>
  <c r="S3" i="14"/>
  <c r="S5" i="14"/>
  <c r="S7" i="14"/>
  <c r="G3" i="14"/>
  <c r="G5" i="14"/>
  <c r="G7" i="14"/>
  <c r="T3" i="14"/>
  <c r="T5" i="14"/>
  <c r="T7" i="14"/>
  <c r="S2" i="14"/>
  <c r="S4" i="14"/>
  <c r="S6" i="14"/>
  <c r="S8" i="14"/>
  <c r="U8" i="14" s="1"/>
  <c r="G2" i="14"/>
  <c r="E2" i="14" s="1"/>
  <c r="F2" i="14" s="1"/>
  <c r="G4" i="14"/>
  <c r="G6" i="14"/>
  <c r="T4" i="14"/>
  <c r="T6" i="14"/>
  <c r="G8" i="14"/>
  <c r="B3" i="14"/>
  <c r="B5" i="14"/>
  <c r="B7" i="14"/>
  <c r="C3" i="14"/>
  <c r="C5" i="14"/>
  <c r="C7" i="14"/>
  <c r="B2" i="14"/>
  <c r="B4" i="14"/>
  <c r="B6" i="14"/>
  <c r="B8" i="14"/>
  <c r="C2" i="14"/>
  <c r="C4" i="14"/>
  <c r="C6" i="14"/>
  <c r="C8" i="14"/>
  <c r="U6" i="14" l="1"/>
  <c r="U4" i="14"/>
  <c r="U7" i="14"/>
  <c r="U3" i="14"/>
  <c r="U5" i="14"/>
  <c r="U2" i="14"/>
  <c r="O10" i="4"/>
  <c r="K10" i="4"/>
  <c r="L10" i="4"/>
  <c r="N10" i="4"/>
  <c r="E11" i="14"/>
  <c r="M3" i="4" s="1"/>
  <c r="E15" i="14"/>
  <c r="M7" i="4" s="1"/>
  <c r="E13" i="14"/>
  <c r="M5" i="4" s="1"/>
  <c r="E17" i="14"/>
  <c r="M9" i="4" s="1"/>
  <c r="E16" i="14"/>
  <c r="M8" i="4" s="1"/>
  <c r="E14" i="14"/>
  <c r="M6" i="4" s="1"/>
  <c r="E12" i="14"/>
  <c r="M4" i="4" s="1"/>
  <c r="E6" i="14"/>
  <c r="F6" i="14" s="1"/>
  <c r="V2" i="14"/>
  <c r="E3" i="14"/>
  <c r="F3" i="14" s="1"/>
  <c r="E4" i="14"/>
  <c r="F4" i="14" s="1"/>
  <c r="E7" i="14"/>
  <c r="F7" i="14" s="1"/>
  <c r="E5" i="14"/>
  <c r="F5" i="14" s="1"/>
  <c r="M2" i="14"/>
  <c r="M8" i="14"/>
  <c r="M7" i="14"/>
  <c r="M6" i="14"/>
  <c r="M5" i="14"/>
  <c r="M4" i="14"/>
  <c r="M3" i="14"/>
  <c r="E8" i="14"/>
  <c r="F8" i="14" s="1"/>
  <c r="M10" i="4" l="1"/>
  <c r="J6" i="14"/>
  <c r="K6" i="14" s="1"/>
  <c r="N6" i="14" s="1"/>
  <c r="O6" i="14" s="1"/>
  <c r="J3" i="14"/>
  <c r="K3" i="14" s="1"/>
  <c r="N3" i="14" s="1"/>
  <c r="O3" i="14" s="1"/>
  <c r="J7" i="14"/>
  <c r="K7" i="14" s="1"/>
  <c r="N7" i="14" s="1"/>
  <c r="O7" i="14" s="1"/>
  <c r="J4" i="14"/>
  <c r="K4" i="14" s="1"/>
  <c r="N4" i="14" s="1"/>
  <c r="O4" i="14" s="1"/>
  <c r="J8" i="14"/>
  <c r="K8" i="14" s="1"/>
  <c r="N8" i="14" s="1"/>
  <c r="O8" i="14" s="1"/>
  <c r="J5" i="14"/>
  <c r="K5" i="14" s="1"/>
  <c r="N5" i="14" s="1"/>
  <c r="O5" i="14" s="1"/>
  <c r="J2" i="14"/>
  <c r="K2" i="14" s="1"/>
  <c r="N2" i="14" s="1"/>
  <c r="O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739C3-9AA0-42F4-BFA6-31781331DECE}" keepAlive="1" name="Consulta - Tabela1" description="Conexão com a consulta 'Tabela1' na pasta de trabalho." type="5" refreshedVersion="7" background="1" saveData="1">
    <dbPr connection="Provider=Microsoft.Mashup.OleDb.1;Data Source=$Workbook$;Location=Tabela1;Extended Properties=&quot;&quot;" command="SELECT * FROM [Tabela1]"/>
  </connection>
  <connection id="2" xr16:uid="{433B212A-CCBB-4524-96BA-69BD83A46DFC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AD35859-A544-4EEF-B5D0-5257BE67EC12}" name="WorksheetConnection_Pasta1 (version 1).xlsb!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Pasta1version1.xlsbTabela11"/>
        </x15:connection>
      </ext>
    </extLst>
  </connection>
  <connection id="4" xr16:uid="{DAB90DA7-38B5-4BB5-BFB7-273AA128EE03}" name="WorksheetConnection_Pasta1 (version 1).xlsb!Tabela2" type="102" refreshedVersion="7" minRefreshableVersion="5">
    <extLst>
      <ext xmlns:x15="http://schemas.microsoft.com/office/spreadsheetml/2010/11/main" uri="{DE250136-89BD-433C-8126-D09CA5730AF9}">
        <x15:connection id="Tabela2">
          <x15:rangePr sourceName="_xlcn.WorksheetConnection_Pasta1version1.xlsbTabela21"/>
        </x15:connection>
      </ext>
    </extLst>
  </connection>
</connections>
</file>

<file path=xl/sharedStrings.xml><?xml version="1.0" encoding="utf-8"?>
<sst xmlns="http://schemas.openxmlformats.org/spreadsheetml/2006/main" count="181" uniqueCount="53">
  <si>
    <t>Dia</t>
  </si>
  <si>
    <t>Chuva</t>
  </si>
  <si>
    <t>Temp média</t>
  </si>
  <si>
    <t>Dia 1</t>
  </si>
  <si>
    <t>Sábado</t>
  </si>
  <si>
    <t>Dia 2</t>
  </si>
  <si>
    <t>Domingo</t>
  </si>
  <si>
    <t>Dia 3</t>
  </si>
  <si>
    <t>Segunda</t>
  </si>
  <si>
    <t>Dia 4</t>
  </si>
  <si>
    <t>Terça</t>
  </si>
  <si>
    <t>Dia 5</t>
  </si>
  <si>
    <t>Quarta</t>
  </si>
  <si>
    <t>Dia 6</t>
  </si>
  <si>
    <t>Quinta</t>
  </si>
  <si>
    <t>Dia 7</t>
  </si>
  <si>
    <t>Sexta</t>
  </si>
  <si>
    <t>Semana</t>
  </si>
  <si>
    <t>Média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</si>
  <si>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</si>
  <si>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</si>
  <si>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</si>
  <si>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</si>
  <si>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</si>
  <si>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</si>
  <si>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</si>
  <si>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</si>
  <si>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</si>
  <si>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g</t>
  </si>
  <si>
    <t>Análise</t>
  </si>
  <si>
    <t>Semanas</t>
  </si>
  <si>
    <t>Dias sem chuva</t>
  </si>
  <si>
    <t>Dias com chuva</t>
  </si>
  <si>
    <t>Temperatura mais quente</t>
  </si>
  <si>
    <t>Temperatura mais fria</t>
  </si>
  <si>
    <t>Dias com temperatura superior a 30ºC</t>
  </si>
  <si>
    <t>Dias com temperatura inferior a 17ºC</t>
  </si>
  <si>
    <t>Total</t>
  </si>
  <si>
    <t>Data</t>
  </si>
  <si>
    <t>Temperatura máxima (Cº)</t>
  </si>
  <si>
    <t>Temperatura mímima (Cº)</t>
  </si>
  <si>
    <t>Amplitude térmica (Cº)</t>
  </si>
  <si>
    <t>Temperatura média (Cº)</t>
  </si>
  <si>
    <t>Chuva (mm)</t>
  </si>
  <si>
    <t>dia</t>
  </si>
  <si>
    <t>data</t>
  </si>
  <si>
    <t>temperatura máxima</t>
  </si>
  <si>
    <t>temperatura mínima</t>
  </si>
  <si>
    <t>amplitude térmica</t>
  </si>
  <si>
    <t>temperatura média</t>
  </si>
  <si>
    <t>pluviosidade</t>
  </si>
  <si>
    <t>Total da semana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</si>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</sst>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#\C\º"/>
    <numFmt numFmtId="166" formatCode="0&quot;mm&quot;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center" vertical="center"/>
    </xf>
    <xf numFmtId="0" fontId="0" fillId="2" borderId="0" xfId="0" applyFill="1"/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/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5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0&quot;mm&quot;"/>
      <alignment horizontal="center" vertical="center" textRotation="0" wrapText="0" indent="0" justifyLastLine="0" shrinkToFit="0" readingOrder="0"/>
    </dxf>
    <dxf>
      <numFmt numFmtId="166" formatCode="0&quot;mm&quot;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65" formatCode="#\C\º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F4FFF"/>
      <color rgb="FF0000FF"/>
      <color rgb="FFFF0000"/>
      <color rgb="FFD67F00"/>
      <color rgb="FFD65C00"/>
      <color rgb="FF552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Climograma</a:t>
            </a:r>
            <a:r>
              <a:rPr lang="en-US" sz="1400" baseline="0">
                <a:latin typeface="+mn-lt"/>
              </a:rPr>
              <a:t> Santos - SP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Pluviosidade (mm)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tabela_chuva!$A$2:$A$10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f>tabela_chuva!$I$2:$I$10</c:f>
              <c:numCache>
                <c:formatCode>0.00</c:formatCode>
                <c:ptCount val="9"/>
                <c:pt idx="0">
                  <c:v>12.857142857142858</c:v>
                </c:pt>
                <c:pt idx="1">
                  <c:v>7.1428571428571432</c:v>
                </c:pt>
                <c:pt idx="2">
                  <c:v>4.2857142857142856</c:v>
                </c:pt>
                <c:pt idx="3">
                  <c:v>12.142857142857142</c:v>
                </c:pt>
                <c:pt idx="4">
                  <c:v>7.2857142857142856</c:v>
                </c:pt>
                <c:pt idx="5">
                  <c:v>11.142857142857142</c:v>
                </c:pt>
                <c:pt idx="6">
                  <c:v>2.8571428571428572</c:v>
                </c:pt>
                <c:pt idx="7">
                  <c:v>4</c:v>
                </c:pt>
                <c:pt idx="8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5EC-8C19-F24EF836D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15210032"/>
        <c:axId val="715211672"/>
      </c:barChart>
      <c:lineChart>
        <c:grouping val="standard"/>
        <c:varyColors val="0"/>
        <c:ser>
          <c:idx val="1"/>
          <c:order val="1"/>
          <c:tx>
            <c:v>Temperatura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tabela_media!$I$2:$I$10</c:f>
              <c:numCache>
                <c:formatCode>0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59C-45EC-8C19-F24EF836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  <a:r>
                  <a:rPr lang="en-US" baseline="0"/>
                  <a:t> (Cº)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valAx>
        <c:axId val="715211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210032"/>
        <c:crosses val="max"/>
        <c:crossBetween val="between"/>
      </c:valAx>
      <c:catAx>
        <c:axId val="7152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21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Temperatura máxima (Cº)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</c:spPr>
            <c:txPr>
              <a:bodyPr vertOverflow="overflow" horzOverflow="overflow" lIns="39600" tIns="18000" rIns="39600" bIns="18000">
                <a:spAutoFit/>
              </a:bodyPr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System!$T$2:$T$8</c:f>
              <c:numCache>
                <c:formatCode>#\C\º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3B4-A054-F26FD91E58F2}"/>
            </c:ext>
          </c:extLst>
        </c:ser>
        <c:ser>
          <c:idx val="1"/>
          <c:order val="1"/>
          <c:tx>
            <c:v>Temperatura mínima (Cº)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70C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</c:ext>
            </c:extLst>
          </c:dLbls>
          <c:val>
            <c:numRef>
              <c:f>System!$S$2:$S$8</c:f>
              <c:numCache>
                <c:formatCode>#\C\º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1E5-8073-ED795CA5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81392"/>
        <c:axId val="750292696"/>
      </c:radarChart>
      <c:catAx>
        <c:axId val="5831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292696"/>
        <c:crosses val="autoZero"/>
        <c:auto val="1"/>
        <c:lblAlgn val="ctr"/>
        <c:lblOffset val="100"/>
        <c:noMultiLvlLbl val="0"/>
      </c:catAx>
      <c:valAx>
        <c:axId val="7502926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numFmt formatCode="#\C\º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1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Dias</a:t>
            </a:r>
            <a:r>
              <a:rPr lang="en-US" sz="1400" baseline="0">
                <a:latin typeface="+mn-lt"/>
              </a:rPr>
              <a:t> detalhados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Pluviosidade (mm)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System!$B$2:$B$8</c:f>
              <c:numCache>
                <c:formatCode>0"mm"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40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5-41BC-9AF1-C0C50AFEF391}"/>
            </c:ext>
          </c:extLst>
        </c:ser>
        <c:ser>
          <c:idx val="1"/>
          <c:order val="1"/>
          <c:tx>
            <c:v>Temperatura média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System!$AA$2:$AA$8</c:f>
              <c:strCache>
                <c:ptCount val="7"/>
                <c:pt idx="0">
                  <c:v>Dia 1 (Sábado)</c:v>
                </c:pt>
                <c:pt idx="1">
                  <c:v>Dia 2 (Domingo)</c:v>
                </c:pt>
                <c:pt idx="2">
                  <c:v>Dia 3 (Segunda)</c:v>
                </c:pt>
                <c:pt idx="3">
                  <c:v>Dia 4 (Terça)</c:v>
                </c:pt>
                <c:pt idx="4">
                  <c:v>Dia 5 (Quarta)</c:v>
                </c:pt>
                <c:pt idx="5">
                  <c:v>Dia 6 (Quinta)</c:v>
                </c:pt>
                <c:pt idx="6">
                  <c:v>Dia 7 (Sexta)</c:v>
                </c:pt>
              </c:strCache>
            </c:strRef>
          </c:cat>
          <c:val>
            <c:numRef>
              <c:f>System!$C$2:$C$8</c:f>
              <c:numCache>
                <c:formatCode>#\C\º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5-41BC-9AF1-C0C50AFE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térmica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Amplitude térmica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8D-442E-A904-7546BD54AE5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8D-442E-A904-7546BD54AE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8D-442E-A904-7546BD54AE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8D-442E-A904-7546BD54AE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8D-442E-A904-7546BD54AE5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8D-442E-A904-7546BD54AE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8D-442E-A904-7546BD54A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System!$R$2:$R$8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System!$U$2:$U$8</c:f>
              <c:numCache>
                <c:formatCode>#\C\º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8D-442E-A904-7546BD54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714087912"/>
        <c:axId val="714088240"/>
      </c:barChart>
      <c:catAx>
        <c:axId val="71408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88240"/>
        <c:crosses val="autoZero"/>
        <c:auto val="1"/>
        <c:lblAlgn val="ctr"/>
        <c:lblOffset val="100"/>
        <c:noMultiLvlLbl val="0"/>
      </c:catAx>
      <c:valAx>
        <c:axId val="714088240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C\º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08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>
                <a:latin typeface="+mn-lt"/>
              </a:rPr>
              <a:t>Total</a:t>
            </a:r>
            <a:r>
              <a:rPr lang="en-US" sz="1320" baseline="0">
                <a:latin typeface="+mn-lt"/>
              </a:rPr>
              <a:t> de chuva da semana</a:t>
            </a:r>
            <a:endParaRPr lang="en-US" sz="132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de chuva da semana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System!$V$2</c:f>
              <c:numCache>
                <c:formatCode>0"mm"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06E-8A08-E3BDDC197449}"/>
            </c:ext>
          </c:extLst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System!$W$2</c:f>
              <c:numCache>
                <c:formatCode>0"mm"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6-406E-8A08-E3BDDC1974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47211832"/>
        <c:axId val="747206256"/>
      </c:barChart>
      <c:catAx>
        <c:axId val="747211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747206256"/>
        <c:crosses val="autoZero"/>
        <c:auto val="1"/>
        <c:lblAlgn val="ctr"/>
        <c:lblOffset val="100"/>
        <c:noMultiLvlLbl val="0"/>
      </c:catAx>
      <c:valAx>
        <c:axId val="7472062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21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Climograma</a:t>
            </a:r>
            <a:r>
              <a:rPr lang="en-US" sz="1400" baseline="0">
                <a:latin typeface="+mn-lt"/>
              </a:rPr>
              <a:t> Santos - SP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Pluviosidade (mm)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tabela_chuva!$A$2:$A$10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</c:strCache>
            </c:strRef>
          </c:cat>
          <c:val>
            <c:numRef>
              <c:f>tabela_chuva!$I$2:$I$10</c:f>
              <c:numCache>
                <c:formatCode>0.00</c:formatCode>
                <c:ptCount val="9"/>
                <c:pt idx="0">
                  <c:v>12.857142857142858</c:v>
                </c:pt>
                <c:pt idx="1">
                  <c:v>7.1428571428571432</c:v>
                </c:pt>
                <c:pt idx="2">
                  <c:v>4.2857142857142856</c:v>
                </c:pt>
                <c:pt idx="3">
                  <c:v>12.142857142857142</c:v>
                </c:pt>
                <c:pt idx="4">
                  <c:v>7.2857142857142856</c:v>
                </c:pt>
                <c:pt idx="5">
                  <c:v>11.142857142857142</c:v>
                </c:pt>
                <c:pt idx="6">
                  <c:v>2.8571428571428572</c:v>
                </c:pt>
                <c:pt idx="7">
                  <c:v>4</c:v>
                </c:pt>
                <c:pt idx="8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1-4AC2-9195-8EB73C8D3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15210032"/>
        <c:axId val="715211672"/>
      </c:barChart>
      <c:lineChart>
        <c:grouping val="standard"/>
        <c:varyColors val="0"/>
        <c:ser>
          <c:idx val="1"/>
          <c:order val="1"/>
          <c:tx>
            <c:v>Temperatura (Cº)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  <a:effectLst/>
            </c:spPr>
          </c:marker>
          <c:dLbls>
            <c:spPr>
              <a:solidFill>
                <a:srgbClr val="FF0000">
                  <a:alpha val="78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tabela_media!$I$2:$I$10</c:f>
              <c:numCache>
                <c:formatCode>0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51-4AC2-9195-8EB73C8D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33648"/>
        <c:axId val="113733168"/>
      </c:lineChart>
      <c:catAx>
        <c:axId val="570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33168"/>
        <c:crosses val="autoZero"/>
        <c:auto val="1"/>
        <c:lblAlgn val="ctr"/>
        <c:lblOffset val="100"/>
        <c:noMultiLvlLbl val="0"/>
      </c:catAx>
      <c:valAx>
        <c:axId val="11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  <a:r>
                  <a:rPr lang="en-US" baseline="0"/>
                  <a:t> (Cº)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33648"/>
        <c:crosses val="autoZero"/>
        <c:crossBetween val="between"/>
      </c:valAx>
      <c:valAx>
        <c:axId val="715211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Pluviosidade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210032"/>
        <c:crosses val="max"/>
        <c:crossBetween val="between"/>
      </c:valAx>
      <c:catAx>
        <c:axId val="7152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21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_xlchart.v2.0</cx:f>
      </cx:numDim>
    </cx:data>
  </cx:chartData>
  <cx:chart>
    <cx:title pos="t" align="ctr" overlay="0">
      <cx:tx>
        <cx:txData>
          <cx:v>Ranking de temperatura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lang="en-US" sz="1400">
              <a:latin typeface="+mn-lt"/>
            </a:rPr>
            <a:t>Ranking de temperatura</a:t>
          </a:r>
        </a:p>
      </cx:txPr>
    </cx:title>
    <cx:plotArea>
      <cx:plotAreaRegion>
        <cx:series layoutId="funnel" uniqueId="{6EE95EF1-31F7-4E7D-AC14-EE6E402CDDCE}">
          <cx:spPr>
            <a:gradFill flip="none" rotWithShape="1">
              <a:gsLst>
                <a:gs pos="0">
                  <a:srgbClr val="FF0000"/>
                </a:gs>
                <a:gs pos="100000">
                  <a:srgbClr val="0000FF"/>
                </a:gs>
              </a:gsLst>
              <a:lin ang="10800000" scaled="1"/>
              <a:tileRect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pt-BR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300" endPos="45500" dir="5400000" sy="-100000" algn="bl" rotWithShape="0"/>
                </a:effectLst>
              </a:defRPr>
            </a:pPr>
            <a:endParaRPr lang="pt-BR"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300" endPos="45500" dir="5400000" sy="-100000" algn="bl" rotWithShape="0"/>
              </a:effectLst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Drop" dropLines="9" dropStyle="combo" dx="26" fmlaLink="System!$AD$11" fmlaRange="Fonte!$E$2:$E$10" noThreeD="1" sel="5" val="0"/>
</file>

<file path=xl/ctrlProps/ctrlProp2.xml><?xml version="1.0" encoding="utf-8"?>
<formControlPr xmlns="http://schemas.microsoft.com/office/spreadsheetml/2009/9/main" objectType="Radio" checked="Checked" firstButton="1" fmlaLink="System!AD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17" Type="http://schemas.openxmlformats.org/officeDocument/2006/relationships/image" Target="../media/image11.svg"/><Relationship Id="rId2" Type="http://schemas.openxmlformats.org/officeDocument/2006/relationships/chart" Target="../charts/chart1.xml"/><Relationship Id="rId16" Type="http://schemas.openxmlformats.org/officeDocument/2006/relationships/image" Target="../media/image10.png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5" Type="http://schemas.openxmlformats.org/officeDocument/2006/relationships/chart" Target="../charts/chart5.xml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microsoft.com/office/2014/relationships/chartEx" Target="../charts/chartEx1.xml"/><Relationship Id="rId14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0</xdr:row>
          <xdr:rowOff>164968</xdr:rowOff>
        </xdr:from>
        <xdr:to>
          <xdr:col>23</xdr:col>
          <xdr:colOff>157114</xdr:colOff>
          <xdr:row>3</xdr:row>
          <xdr:rowOff>0</xdr:rowOff>
        </xdr:to>
        <xdr:sp macro="" textlink="">
          <xdr:nvSpPr>
            <xdr:cNvPr id="9241" name="Group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5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 25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25</xdr:col>
      <xdr:colOff>188535</xdr:colOff>
      <xdr:row>40</xdr:row>
      <xdr:rowOff>151876</xdr:rowOff>
    </xdr:to>
    <xdr:pic>
      <xdr:nvPicPr>
        <xdr:cNvPr id="9227" name="Imagem 9226" descr="Montanha e girassóis">
          <a:extLst>
            <a:ext uri="{FF2B5EF4-FFF2-40B4-BE49-F238E27FC236}">
              <a16:creationId xmlns:a16="http://schemas.microsoft.com/office/drawing/2014/main" id="{00000000-0008-0000-0500-00000B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07092" cy="7379092"/>
        </a:xfrm>
        <a:prstGeom prst="rect">
          <a:avLst/>
        </a:prstGeom>
      </xdr:spPr>
    </xdr:pic>
    <xdr:clientData/>
  </xdr:twoCellAnchor>
  <xdr:twoCellAnchor>
    <xdr:from>
      <xdr:col>0</xdr:col>
      <xdr:colOff>149258</xdr:colOff>
      <xdr:row>0</xdr:row>
      <xdr:rowOff>150615</xdr:rowOff>
    </xdr:from>
    <xdr:to>
      <xdr:col>24</xdr:col>
      <xdr:colOff>54990</xdr:colOff>
      <xdr:row>3</xdr:row>
      <xdr:rowOff>35038</xdr:rowOff>
    </xdr:to>
    <xdr:grpSp>
      <xdr:nvGrpSpPr>
        <xdr:cNvPr id="9233" name="Agrupar 9232">
          <a:extLst>
            <a:ext uri="{FF2B5EF4-FFF2-40B4-BE49-F238E27FC236}">
              <a16:creationId xmlns:a16="http://schemas.microsoft.com/office/drawing/2014/main" id="{00000000-0008-0000-0500-000011240000}"/>
            </a:ext>
          </a:extLst>
        </xdr:cNvPr>
        <xdr:cNvGrpSpPr/>
      </xdr:nvGrpSpPr>
      <xdr:grpSpPr>
        <a:xfrm>
          <a:off x="149258" y="150615"/>
          <a:ext cx="14611546" cy="426464"/>
          <a:chOff x="149258" y="142759"/>
          <a:chExt cx="14611546" cy="42646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/>
        </xdr:nvSpPr>
        <xdr:spPr>
          <a:xfrm>
            <a:off x="149258" y="142759"/>
            <a:ext cx="14611546" cy="426464"/>
          </a:xfrm>
          <a:prstGeom prst="roundRect">
            <a:avLst>
              <a:gd name="adj" fmla="val 31579"/>
            </a:avLst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232" name="Agrupar 9231">
            <a:extLst>
              <a:ext uri="{FF2B5EF4-FFF2-40B4-BE49-F238E27FC236}">
                <a16:creationId xmlns:a16="http://schemas.microsoft.com/office/drawing/2014/main" id="{00000000-0008-0000-0500-000010240000}"/>
              </a:ext>
            </a:extLst>
          </xdr:cNvPr>
          <xdr:cNvGrpSpPr/>
        </xdr:nvGrpSpPr>
        <xdr:grpSpPr>
          <a:xfrm>
            <a:off x="329945" y="223711"/>
            <a:ext cx="13126833" cy="264560"/>
            <a:chOff x="243522" y="219958"/>
            <a:chExt cx="13126833" cy="264560"/>
          </a:xfrm>
        </xdr:grpSpPr>
        <xdr:grpSp>
          <xdr:nvGrpSpPr>
            <xdr:cNvPr id="9230" name="Agrupar 9229">
              <a:extLst>
                <a:ext uri="{FF2B5EF4-FFF2-40B4-BE49-F238E27FC236}">
                  <a16:creationId xmlns:a16="http://schemas.microsoft.com/office/drawing/2014/main" id="{00000000-0008-0000-0500-00000E240000}"/>
                </a:ext>
              </a:extLst>
            </xdr:cNvPr>
            <xdr:cNvGrpSpPr/>
          </xdr:nvGrpSpPr>
          <xdr:grpSpPr>
            <a:xfrm>
              <a:off x="1003266" y="222993"/>
              <a:ext cx="12367089" cy="258491"/>
              <a:chOff x="406233" y="225125"/>
              <a:chExt cx="12367089" cy="258491"/>
            </a:xfrm>
          </xdr:grpSpPr>
          <xdr:grpSp>
            <xdr:nvGrpSpPr>
              <xdr:cNvPr id="28" name="Agrupar 27">
                <a:extLst>
                  <a:ext uri="{FF2B5EF4-FFF2-40B4-BE49-F238E27FC236}">
                    <a16:creationId xmlns:a16="http://schemas.microsoft.com/office/drawing/2014/main" id="{00000000-0008-0000-0500-00001C000000}"/>
                  </a:ext>
                </a:extLst>
              </xdr:cNvPr>
              <xdr:cNvGrpSpPr/>
            </xdr:nvGrpSpPr>
            <xdr:grpSpPr>
              <a:xfrm>
                <a:off x="406233" y="225125"/>
                <a:ext cx="1261974" cy="258491"/>
                <a:chOff x="472828" y="858507"/>
                <a:chExt cx="1236900" cy="262890"/>
              </a:xfrm>
            </xdr:grpSpPr>
            <xdr:sp macro="" textlink="">
              <xdr:nvSpPr>
                <xdr:cNvPr id="74" name="Retângulo: Cantos Arredondados 73">
                  <a:extLst>
                    <a:ext uri="{FF2B5EF4-FFF2-40B4-BE49-F238E27FC236}">
                      <a16:creationId xmlns:a16="http://schemas.microsoft.com/office/drawing/2014/main" id="{00000000-0008-0000-0500-00004A000000}"/>
                    </a:ext>
                  </a:extLst>
                </xdr:cNvPr>
                <xdr:cNvSpPr/>
              </xdr:nvSpPr>
              <xdr:spPr>
                <a:xfrm>
                  <a:off x="472828" y="858507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2" name="Option Button 26" hidden="1">
                      <a:extLst>
                        <a:ext uri="{63B3BB69-23CF-44E3-9099-C40C66FF867C}">
                          <a14:compatExt spid="_x0000_s9242"/>
                        </a:ext>
                        <a:ext uri="{FF2B5EF4-FFF2-40B4-BE49-F238E27FC236}">
                          <a16:creationId xmlns:a16="http://schemas.microsoft.com/office/drawing/2014/main" id="{00000000-0008-0000-0500-00001A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61687" y="883271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1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29" name="Agrupar 28">
                <a:extLst>
                  <a:ext uri="{FF2B5EF4-FFF2-40B4-BE49-F238E27FC236}">
                    <a16:creationId xmlns:a16="http://schemas.microsoft.com/office/drawing/2014/main" id="{00000000-0008-0000-0500-00001D000000}"/>
                  </a:ext>
                </a:extLst>
              </xdr:cNvPr>
              <xdr:cNvGrpSpPr/>
            </xdr:nvGrpSpPr>
            <xdr:grpSpPr>
              <a:xfrm>
                <a:off x="1794371" y="225125"/>
                <a:ext cx="1261975" cy="258491"/>
                <a:chOff x="1715913" y="853911"/>
                <a:chExt cx="1236900" cy="262890"/>
              </a:xfrm>
            </xdr:grpSpPr>
            <xdr:sp macro="" textlink="">
              <xdr:nvSpPr>
                <xdr:cNvPr id="66" name="Retângulo: Cantos Arredondados 65">
                  <a:extLst>
                    <a:ext uri="{FF2B5EF4-FFF2-40B4-BE49-F238E27FC236}">
                      <a16:creationId xmlns:a16="http://schemas.microsoft.com/office/drawing/2014/main" id="{00000000-0008-0000-0500-000042000000}"/>
                    </a:ext>
                  </a:extLst>
                </xdr:cNvPr>
                <xdr:cNvSpPr/>
              </xdr:nvSpPr>
              <xdr:spPr>
                <a:xfrm>
                  <a:off x="1715913" y="853911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3" name="Option Button 27" hidden="1">
                      <a:extLst>
                        <a:ext uri="{63B3BB69-23CF-44E3-9099-C40C66FF867C}">
                          <a14:compatExt spid="_x0000_s9243"/>
                        </a:ext>
                        <a:ext uri="{FF2B5EF4-FFF2-40B4-BE49-F238E27FC236}">
                          <a16:creationId xmlns:a16="http://schemas.microsoft.com/office/drawing/2014/main" id="{00000000-0008-0000-0500-00001B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804774" y="878675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2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16" name="Agrupar 9215">
                <a:extLst>
                  <a:ext uri="{FF2B5EF4-FFF2-40B4-BE49-F238E27FC236}">
                    <a16:creationId xmlns:a16="http://schemas.microsoft.com/office/drawing/2014/main" id="{00000000-0008-0000-0500-000000240000}"/>
                  </a:ext>
                </a:extLst>
              </xdr:cNvPr>
              <xdr:cNvGrpSpPr/>
            </xdr:nvGrpSpPr>
            <xdr:grpSpPr>
              <a:xfrm>
                <a:off x="4570649" y="225125"/>
                <a:ext cx="1261975" cy="258491"/>
                <a:chOff x="4300481" y="827158"/>
                <a:chExt cx="1236900" cy="262890"/>
              </a:xfrm>
            </xdr:grpSpPr>
            <xdr:sp macro="" textlink="">
              <xdr:nvSpPr>
                <xdr:cNvPr id="68" name="Retângulo: Cantos Arredondados 67">
                  <a:extLst>
                    <a:ext uri="{FF2B5EF4-FFF2-40B4-BE49-F238E27FC236}">
                      <a16:creationId xmlns:a16="http://schemas.microsoft.com/office/drawing/2014/main" id="{00000000-0008-0000-0500-000044000000}"/>
                    </a:ext>
                  </a:extLst>
                </xdr:cNvPr>
                <xdr:cNvSpPr/>
              </xdr:nvSpPr>
              <xdr:spPr>
                <a:xfrm>
                  <a:off x="4300481" y="827158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5" name="Option Button 29" hidden="1">
                      <a:extLst>
                        <a:ext uri="{63B3BB69-23CF-44E3-9099-C40C66FF867C}">
                          <a14:compatExt spid="_x0000_s9245"/>
                        </a:ext>
                        <a:ext uri="{FF2B5EF4-FFF2-40B4-BE49-F238E27FC236}">
                          <a16:creationId xmlns:a16="http://schemas.microsoft.com/office/drawing/2014/main" id="{00000000-0008-0000-0500-00001D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4389341" y="851922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4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17" name="Agrupar 9216">
                <a:extLst>
                  <a:ext uri="{FF2B5EF4-FFF2-40B4-BE49-F238E27FC236}">
                    <a16:creationId xmlns:a16="http://schemas.microsoft.com/office/drawing/2014/main" id="{00000000-0008-0000-0500-000001240000}"/>
                  </a:ext>
                </a:extLst>
              </xdr:cNvPr>
              <xdr:cNvGrpSpPr/>
            </xdr:nvGrpSpPr>
            <xdr:grpSpPr>
              <a:xfrm>
                <a:off x="5958788" y="225125"/>
                <a:ext cx="1261975" cy="258491"/>
                <a:chOff x="5487116" y="754602"/>
                <a:chExt cx="1236900" cy="262890"/>
              </a:xfrm>
            </xdr:grpSpPr>
            <xdr:sp macro="" textlink="">
              <xdr:nvSpPr>
                <xdr:cNvPr id="69" name="Retângulo: Cantos Arredondados 68">
                  <a:extLst>
                    <a:ext uri="{FF2B5EF4-FFF2-40B4-BE49-F238E27FC236}">
                      <a16:creationId xmlns:a16="http://schemas.microsoft.com/office/drawing/2014/main" id="{00000000-0008-0000-0500-000045000000}"/>
                    </a:ext>
                  </a:extLst>
                </xdr:cNvPr>
                <xdr:cNvSpPr/>
              </xdr:nvSpPr>
              <xdr:spPr>
                <a:xfrm>
                  <a:off x="5487116" y="754602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6" name="Option Button 30" hidden="1">
                      <a:extLst>
                        <a:ext uri="{63B3BB69-23CF-44E3-9099-C40C66FF867C}">
                          <a14:compatExt spid="_x0000_s9246"/>
                        </a:ext>
                        <a:ext uri="{FF2B5EF4-FFF2-40B4-BE49-F238E27FC236}">
                          <a16:creationId xmlns:a16="http://schemas.microsoft.com/office/drawing/2014/main" id="{00000000-0008-0000-0500-00001E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5575976" y="779366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5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25" name="Agrupar 9224">
                <a:extLst>
                  <a:ext uri="{FF2B5EF4-FFF2-40B4-BE49-F238E27FC236}">
                    <a16:creationId xmlns:a16="http://schemas.microsoft.com/office/drawing/2014/main" id="{00000000-0008-0000-0500-000009240000}"/>
                  </a:ext>
                </a:extLst>
              </xdr:cNvPr>
              <xdr:cNvGrpSpPr/>
            </xdr:nvGrpSpPr>
            <xdr:grpSpPr>
              <a:xfrm>
                <a:off x="7346927" y="225125"/>
                <a:ext cx="1261975" cy="258491"/>
                <a:chOff x="6684850" y="804298"/>
                <a:chExt cx="1236900" cy="262890"/>
              </a:xfrm>
            </xdr:grpSpPr>
            <xdr:sp macro="" textlink="">
              <xdr:nvSpPr>
                <xdr:cNvPr id="70" name="Retângulo: Cantos Arredondados 69">
                  <a:extLst>
                    <a:ext uri="{FF2B5EF4-FFF2-40B4-BE49-F238E27FC236}">
                      <a16:creationId xmlns:a16="http://schemas.microsoft.com/office/drawing/2014/main" id="{00000000-0008-0000-0500-000046000000}"/>
                    </a:ext>
                  </a:extLst>
                </xdr:cNvPr>
                <xdr:cNvSpPr/>
              </xdr:nvSpPr>
              <xdr:spPr>
                <a:xfrm>
                  <a:off x="6684850" y="804298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7" name="Option Button 31" hidden="1">
                      <a:extLst>
                        <a:ext uri="{63B3BB69-23CF-44E3-9099-C40C66FF867C}">
                          <a14:compatExt spid="_x0000_s9247"/>
                        </a:ext>
                        <a:ext uri="{FF2B5EF4-FFF2-40B4-BE49-F238E27FC236}">
                          <a16:creationId xmlns:a16="http://schemas.microsoft.com/office/drawing/2014/main" id="{00000000-0008-0000-0500-00001F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6773710" y="829062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6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26" name="Agrupar 9225">
                <a:extLst>
                  <a:ext uri="{FF2B5EF4-FFF2-40B4-BE49-F238E27FC236}">
                    <a16:creationId xmlns:a16="http://schemas.microsoft.com/office/drawing/2014/main" id="{00000000-0008-0000-0500-00000A240000}"/>
                  </a:ext>
                </a:extLst>
              </xdr:cNvPr>
              <xdr:cNvGrpSpPr/>
            </xdr:nvGrpSpPr>
            <xdr:grpSpPr>
              <a:xfrm>
                <a:off x="8735066" y="225125"/>
                <a:ext cx="1261975" cy="258491"/>
                <a:chOff x="7759257" y="754602"/>
                <a:chExt cx="1236900" cy="262890"/>
              </a:xfrm>
            </xdr:grpSpPr>
            <xdr:sp macro="" textlink="">
              <xdr:nvSpPr>
                <xdr:cNvPr id="71" name="Retângulo: Cantos Arredondados 70">
                  <a:extLst>
                    <a:ext uri="{FF2B5EF4-FFF2-40B4-BE49-F238E27FC236}">
                      <a16:creationId xmlns:a16="http://schemas.microsoft.com/office/drawing/2014/main" id="{00000000-0008-0000-0500-000047000000}"/>
                    </a:ext>
                  </a:extLst>
                </xdr:cNvPr>
                <xdr:cNvSpPr/>
              </xdr:nvSpPr>
              <xdr:spPr>
                <a:xfrm>
                  <a:off x="7759257" y="754602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48" name="Option Button 32" hidden="1">
                      <a:extLst>
                        <a:ext uri="{63B3BB69-23CF-44E3-9099-C40C66FF867C}">
                          <a14:compatExt spid="_x0000_s9248"/>
                        </a:ext>
                        <a:ext uri="{FF2B5EF4-FFF2-40B4-BE49-F238E27FC236}">
                          <a16:creationId xmlns:a16="http://schemas.microsoft.com/office/drawing/2014/main" id="{00000000-0008-0000-0500-000020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7848117" y="779366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7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29" name="Agrupar 9228">
                <a:extLst>
                  <a:ext uri="{FF2B5EF4-FFF2-40B4-BE49-F238E27FC236}">
                    <a16:creationId xmlns:a16="http://schemas.microsoft.com/office/drawing/2014/main" id="{00000000-0008-0000-0500-00000D240000}"/>
                  </a:ext>
                </a:extLst>
              </xdr:cNvPr>
              <xdr:cNvGrpSpPr/>
            </xdr:nvGrpSpPr>
            <xdr:grpSpPr>
              <a:xfrm>
                <a:off x="11511347" y="225125"/>
                <a:ext cx="1261975" cy="258491"/>
                <a:chOff x="10267621" y="823182"/>
                <a:chExt cx="1236900" cy="262890"/>
              </a:xfrm>
            </xdr:grpSpPr>
            <xdr:sp macro="" textlink="">
              <xdr:nvSpPr>
                <xdr:cNvPr id="73" name="Retângulo: Cantos Arredondados 72">
                  <a:extLst>
                    <a:ext uri="{FF2B5EF4-FFF2-40B4-BE49-F238E27FC236}">
                      <a16:creationId xmlns:a16="http://schemas.microsoft.com/office/drawing/2014/main" id="{00000000-0008-0000-0500-000049000000}"/>
                    </a:ext>
                  </a:extLst>
                </xdr:cNvPr>
                <xdr:cNvSpPr/>
              </xdr:nvSpPr>
              <xdr:spPr>
                <a:xfrm>
                  <a:off x="10267621" y="823182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50" name="Option Button 34" hidden="1">
                      <a:extLst>
                        <a:ext uri="{63B3BB69-23CF-44E3-9099-C40C66FF867C}">
                          <a14:compatExt spid="_x0000_s9250"/>
                        </a:ext>
                        <a:ext uri="{FF2B5EF4-FFF2-40B4-BE49-F238E27FC236}">
                          <a16:creationId xmlns:a16="http://schemas.microsoft.com/office/drawing/2014/main" id="{00000000-0008-0000-0500-000022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0356481" y="847946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9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31" name="Agrupar 30">
                <a:extLst>
                  <a:ext uri="{FF2B5EF4-FFF2-40B4-BE49-F238E27FC236}">
                    <a16:creationId xmlns:a16="http://schemas.microsoft.com/office/drawing/2014/main" id="{00000000-0008-0000-0500-00001F000000}"/>
                  </a:ext>
                </a:extLst>
              </xdr:cNvPr>
              <xdr:cNvGrpSpPr/>
            </xdr:nvGrpSpPr>
            <xdr:grpSpPr>
              <a:xfrm>
                <a:off x="3182510" y="225125"/>
                <a:ext cx="1261975" cy="258491"/>
                <a:chOff x="2847146" y="800322"/>
                <a:chExt cx="1236900" cy="262890"/>
              </a:xfrm>
            </xdr:grpSpPr>
            <xdr:sp macro="" textlink="">
              <xdr:nvSpPr>
                <xdr:cNvPr id="67" name="Retângulo: Cantos Arredondados 66">
                  <a:extLst>
                    <a:ext uri="{FF2B5EF4-FFF2-40B4-BE49-F238E27FC236}">
                      <a16:creationId xmlns:a16="http://schemas.microsoft.com/office/drawing/2014/main" id="{00000000-0008-0000-0500-000043000000}"/>
                    </a:ext>
                  </a:extLst>
                </xdr:cNvPr>
                <xdr:cNvSpPr/>
              </xdr:nvSpPr>
              <xdr:spPr>
                <a:xfrm>
                  <a:off x="2847146" y="800322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51" name="Option Button 35" hidden="1">
                      <a:extLst>
                        <a:ext uri="{63B3BB69-23CF-44E3-9099-C40C66FF867C}">
                          <a14:compatExt spid="_x0000_s9251"/>
                        </a:ext>
                        <a:ext uri="{FF2B5EF4-FFF2-40B4-BE49-F238E27FC236}">
                          <a16:creationId xmlns:a16="http://schemas.microsoft.com/office/drawing/2014/main" id="{00000000-0008-0000-0500-000023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936006" y="825086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3</a:t>
                      </a:r>
                    </a:p>
                  </xdr:txBody>
                </xdr:sp>
              </mc:Choice>
              <mc:Fallback/>
            </mc:AlternateContent>
          </xdr:grpSp>
          <xdr:grpSp>
            <xdr:nvGrpSpPr>
              <xdr:cNvPr id="9228" name="Agrupar 9227">
                <a:extLst>
                  <a:ext uri="{FF2B5EF4-FFF2-40B4-BE49-F238E27FC236}">
                    <a16:creationId xmlns:a16="http://schemas.microsoft.com/office/drawing/2014/main" id="{00000000-0008-0000-0500-00000C240000}"/>
                  </a:ext>
                </a:extLst>
              </xdr:cNvPr>
              <xdr:cNvGrpSpPr/>
            </xdr:nvGrpSpPr>
            <xdr:grpSpPr>
              <a:xfrm>
                <a:off x="10123205" y="225125"/>
                <a:ext cx="1261975" cy="258491"/>
                <a:chOff x="9027641" y="777462"/>
                <a:chExt cx="1236900" cy="262890"/>
              </a:xfrm>
            </xdr:grpSpPr>
            <xdr:sp macro="" textlink="">
              <xdr:nvSpPr>
                <xdr:cNvPr id="72" name="Retângulo: Cantos Arredondados 71">
                  <a:extLst>
                    <a:ext uri="{FF2B5EF4-FFF2-40B4-BE49-F238E27FC236}">
                      <a16:creationId xmlns:a16="http://schemas.microsoft.com/office/drawing/2014/main" id="{00000000-0008-0000-0500-000048000000}"/>
                    </a:ext>
                  </a:extLst>
                </xdr:cNvPr>
                <xdr:cNvSpPr/>
              </xdr:nvSpPr>
              <xdr:spPr>
                <a:xfrm>
                  <a:off x="9027641" y="777462"/>
                  <a:ext cx="1236900" cy="262890"/>
                </a:xfrm>
                <a:prstGeom prst="roundRect">
                  <a:avLst>
                    <a:gd name="adj" fmla="val 50000"/>
                  </a:avLst>
                </a:prstGeom>
                <a:solidFill>
                  <a:sysClr val="window" lastClr="FFFFFF"/>
                </a:solidFill>
                <a:ln w="19050">
                  <a:solidFill>
                    <a:srgbClr val="0000FF"/>
                  </a:solidFill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9252" name="Option Button 36" hidden="1">
                      <a:extLst>
                        <a:ext uri="{63B3BB69-23CF-44E3-9099-C40C66FF867C}">
                          <a14:compatExt spid="_x0000_s9252"/>
                        </a:ext>
                        <a:ext uri="{FF2B5EF4-FFF2-40B4-BE49-F238E27FC236}">
                          <a16:creationId xmlns:a16="http://schemas.microsoft.com/office/drawing/2014/main" id="{00000000-0008-0000-0500-0000242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9116501" y="802226"/>
                      <a:ext cx="1059180" cy="21336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27432" tIns="27432" rIns="0" bIns="27432" anchor="ctr" upright="1"/>
                    <a:lstStyle/>
                    <a:p>
                      <a:pPr algn="l" rtl="0">
                        <a:defRPr sz="1000"/>
                      </a:pPr>
                      <a:r>
                        <a:rPr lang="pt-BR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Semana 8</a:t>
                      </a:r>
                    </a:p>
                  </xdr:txBody>
                </xdr:sp>
              </mc:Choice>
              <mc:Fallback/>
            </mc:AlternateContent>
          </xdr:grpSp>
        </xdr:grpSp>
        <xdr:sp macro="" textlink="">
          <xdr:nvSpPr>
            <xdr:cNvPr id="9231" name="CaixaDeTexto 9230">
              <a:extLst>
                <a:ext uri="{FF2B5EF4-FFF2-40B4-BE49-F238E27FC236}">
                  <a16:creationId xmlns:a16="http://schemas.microsoft.com/office/drawing/2014/main" id="{00000000-0008-0000-0500-00000F240000}"/>
                </a:ext>
              </a:extLst>
            </xdr:cNvPr>
            <xdr:cNvSpPr txBox="1"/>
          </xdr:nvSpPr>
          <xdr:spPr>
            <a:xfrm>
              <a:off x="243522" y="219958"/>
              <a:ext cx="6819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1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Período:</a:t>
              </a:r>
            </a:p>
          </xdr:txBody>
        </xdr:sp>
      </xdr:grpSp>
    </xdr:grpSp>
    <xdr:clientData/>
  </xdr:twoCellAnchor>
  <xdr:twoCellAnchor>
    <xdr:from>
      <xdr:col>0</xdr:col>
      <xdr:colOff>149258</xdr:colOff>
      <xdr:row>3</xdr:row>
      <xdr:rowOff>81563</xdr:rowOff>
    </xdr:from>
    <xdr:to>
      <xdr:col>11</xdr:col>
      <xdr:colOff>178010</xdr:colOff>
      <xdr:row>21</xdr:row>
      <xdr:rowOff>35522</xdr:rowOff>
    </xdr:to>
    <xdr:grpSp>
      <xdr:nvGrpSpPr>
        <xdr:cNvPr id="9237" name="Agrupar 9236">
          <a:extLst>
            <a:ext uri="{FF2B5EF4-FFF2-40B4-BE49-F238E27FC236}">
              <a16:creationId xmlns:a16="http://schemas.microsoft.com/office/drawing/2014/main" id="{00000000-0008-0000-0500-000015240000}"/>
            </a:ext>
          </a:extLst>
        </xdr:cNvPr>
        <xdr:cNvGrpSpPr/>
      </xdr:nvGrpSpPr>
      <xdr:grpSpPr>
        <a:xfrm>
          <a:off x="149258" y="623604"/>
          <a:ext cx="6768917" cy="3206207"/>
          <a:chOff x="60960" y="567357"/>
          <a:chExt cx="6629400" cy="32436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60960" y="567357"/>
            <a:ext cx="6629400" cy="3243600"/>
          </a:xfrm>
          <a:prstGeom prst="roundRect">
            <a:avLst>
              <a:gd name="adj" fmla="val 5499"/>
            </a:avLst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/>
        </xdr:nvGraphicFramePr>
        <xdr:xfrm>
          <a:off x="228600" y="649918"/>
          <a:ext cx="6294120" cy="30784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403719</xdr:colOff>
      <xdr:row>21</xdr:row>
      <xdr:rowOff>84040</xdr:rowOff>
    </xdr:from>
    <xdr:to>
      <xdr:col>14</xdr:col>
      <xdr:colOff>485952</xdr:colOff>
      <xdr:row>39</xdr:row>
      <xdr:rowOff>38000</xdr:rowOff>
    </xdr:to>
    <xdr:grpSp>
      <xdr:nvGrpSpPr>
        <xdr:cNvPr id="9222" name="Agrupar 9221">
          <a:extLst>
            <a:ext uri="{FF2B5EF4-FFF2-40B4-BE49-F238E27FC236}">
              <a16:creationId xmlns:a16="http://schemas.microsoft.com/office/drawing/2014/main" id="{00000000-0008-0000-0500-000006240000}"/>
            </a:ext>
          </a:extLst>
        </xdr:cNvPr>
        <xdr:cNvGrpSpPr/>
      </xdr:nvGrpSpPr>
      <xdr:grpSpPr>
        <a:xfrm>
          <a:off x="4692915" y="3878329"/>
          <a:ext cx="4371429" cy="3206207"/>
          <a:chOff x="4692915" y="3886185"/>
          <a:chExt cx="4371429" cy="3206207"/>
        </a:xfrm>
      </xdr:grpSpPr>
      <xdr:grpSp>
        <xdr:nvGrpSpPr>
          <xdr:cNvPr id="9238" name="Agrupar 9237">
            <a:extLst>
              <a:ext uri="{FF2B5EF4-FFF2-40B4-BE49-F238E27FC236}">
                <a16:creationId xmlns:a16="http://schemas.microsoft.com/office/drawing/2014/main" id="{00000000-0008-0000-0500-000016240000}"/>
              </a:ext>
            </a:extLst>
          </xdr:cNvPr>
          <xdr:cNvGrpSpPr/>
        </xdr:nvGrpSpPr>
        <xdr:grpSpPr>
          <a:xfrm>
            <a:off x="4692915" y="3886185"/>
            <a:ext cx="4371429" cy="3206207"/>
            <a:chOff x="4444047" y="3869530"/>
            <a:chExt cx="4349433" cy="3243600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/>
          </xdr:nvSpPr>
          <xdr:spPr>
            <a:xfrm>
              <a:off x="4444047" y="3869530"/>
              <a:ext cx="4349433" cy="3243600"/>
            </a:xfrm>
            <a:prstGeom prst="roundRect">
              <a:avLst>
                <a:gd name="adj" fmla="val 4764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aphicFramePr>
              <a:graphicFrameLocks/>
            </xdr:cNvGraphicFramePr>
          </xdr:nvGraphicFramePr>
          <xdr:xfrm>
            <a:off x="4561363" y="3996540"/>
            <a:ext cx="4114800" cy="29895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pic>
        <xdr:nvPicPr>
          <xdr:cNvPr id="10" name="Gráfico 9" descr="Termômetro estrutura de tópicos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712241" y="3947145"/>
            <a:ext cx="291143" cy="283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245591</xdr:colOff>
      <xdr:row>3</xdr:row>
      <xdr:rowOff>81563</xdr:rowOff>
    </xdr:from>
    <xdr:to>
      <xdr:col>24</xdr:col>
      <xdr:colOff>54990</xdr:colOff>
      <xdr:row>21</xdr:row>
      <xdr:rowOff>35522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6985756" y="623604"/>
          <a:ext cx="7775048" cy="3206207"/>
          <a:chOff x="6985756" y="623604"/>
          <a:chExt cx="7655815" cy="320620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pSpPr/>
        </xdr:nvGrpSpPr>
        <xdr:grpSpPr>
          <a:xfrm>
            <a:off x="6985756" y="623604"/>
            <a:ext cx="7655815" cy="3206207"/>
            <a:chOff x="6985756" y="623604"/>
            <a:chExt cx="7655815" cy="3206207"/>
          </a:xfrm>
        </xdr:grpSpPr>
        <xdr:grpSp>
          <xdr:nvGrpSpPr>
            <xdr:cNvPr id="9221" name="Agrupar 9220">
              <a:extLst>
                <a:ext uri="{FF2B5EF4-FFF2-40B4-BE49-F238E27FC236}">
                  <a16:creationId xmlns:a16="http://schemas.microsoft.com/office/drawing/2014/main" id="{00000000-0008-0000-0500-000005240000}"/>
                </a:ext>
              </a:extLst>
            </xdr:cNvPr>
            <xdr:cNvGrpSpPr/>
          </xdr:nvGrpSpPr>
          <xdr:grpSpPr>
            <a:xfrm>
              <a:off x="6985756" y="623604"/>
              <a:ext cx="7655815" cy="3206207"/>
              <a:chOff x="6754799" y="567357"/>
              <a:chExt cx="7618108" cy="324360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00000000-0008-0000-0500-000004000000}"/>
                  </a:ext>
                </a:extLst>
              </xdr:cNvPr>
              <xdr:cNvSpPr/>
            </xdr:nvSpPr>
            <xdr:spPr>
              <a:xfrm>
                <a:off x="6754799" y="567357"/>
                <a:ext cx="7618108" cy="3243600"/>
              </a:xfrm>
              <a:prstGeom prst="roundRect">
                <a:avLst>
                  <a:gd name="adj" fmla="val 5499"/>
                </a:avLst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00000000-0008-0000-0500-000005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858000" y="627057"/>
              <a:ext cx="7411706" cy="3124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SpPr txBox="1"/>
          </xdr:nvSpPr>
          <xdr:spPr>
            <a:xfrm rot="20299194">
              <a:off x="7298167" y="1590644"/>
              <a:ext cx="1005685" cy="9338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Pluviosidade x Temperatura média</a:t>
              </a:r>
            </a:p>
          </xdr:txBody>
        </xdr:sp>
      </xdr:grpSp>
      <xdr:pic>
        <xdr:nvPicPr>
          <xdr:cNvPr id="13" name="Gráfico 12" descr="Notas adesivas estrutura de tópicos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266609" y="707424"/>
            <a:ext cx="291142" cy="283601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78556</xdr:colOff>
      <xdr:row>21</xdr:row>
      <xdr:rowOff>84040</xdr:rowOff>
    </xdr:from>
    <xdr:to>
      <xdr:col>24</xdr:col>
      <xdr:colOff>54990</xdr:colOff>
      <xdr:row>39</xdr:row>
      <xdr:rowOff>36075</xdr:rowOff>
    </xdr:to>
    <xdr:grpSp>
      <xdr:nvGrpSpPr>
        <xdr:cNvPr id="9224" name="Agrupar 9223">
          <a:extLst>
            <a:ext uri="{FF2B5EF4-FFF2-40B4-BE49-F238E27FC236}">
              <a16:creationId xmlns:a16="http://schemas.microsoft.com/office/drawing/2014/main" id="{00000000-0008-0000-0500-000008240000}"/>
            </a:ext>
          </a:extLst>
        </xdr:cNvPr>
        <xdr:cNvGrpSpPr/>
      </xdr:nvGrpSpPr>
      <xdr:grpSpPr>
        <a:xfrm>
          <a:off x="11720659" y="3878329"/>
          <a:ext cx="3040145" cy="3204282"/>
          <a:chOff x="11669300" y="3886185"/>
          <a:chExt cx="2972271" cy="3204282"/>
        </a:xfrm>
      </xdr:grpSpPr>
      <xdr:grpSp>
        <xdr:nvGrpSpPr>
          <xdr:cNvPr id="9220" name="Agrupar 9219">
            <a:extLst>
              <a:ext uri="{FF2B5EF4-FFF2-40B4-BE49-F238E27FC236}">
                <a16:creationId xmlns:a16="http://schemas.microsoft.com/office/drawing/2014/main" id="{00000000-0008-0000-0500-000004240000}"/>
              </a:ext>
            </a:extLst>
          </xdr:cNvPr>
          <xdr:cNvGrpSpPr/>
        </xdr:nvGrpSpPr>
        <xdr:grpSpPr>
          <a:xfrm>
            <a:off x="11669300" y="3886185"/>
            <a:ext cx="2972271" cy="3204282"/>
            <a:chOff x="11416347" y="3870493"/>
            <a:chExt cx="2956560" cy="324167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>
            <a:xfrm>
              <a:off x="11416347" y="3870493"/>
              <a:ext cx="2956560" cy="3241675"/>
            </a:xfrm>
            <a:prstGeom prst="roundRect">
              <a:avLst>
                <a:gd name="adj" fmla="val 4739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9" name="Gráfico 8">
                  <a:extLst>
                    <a:ext uri="{FF2B5EF4-FFF2-40B4-BE49-F238E27FC236}">
                      <a16:creationId xmlns:a16="http://schemas.microsoft.com/office/drawing/2014/main" id="{00000000-0008-0000-0500-000009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1585574" y="3949478"/>
                <a:ext cx="2618106" cy="3083704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9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1585574" y="3949478"/>
                  <a:ext cx="2618106" cy="3083704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t-BR" sz="1100"/>
                    <a:t>Este gráfico não está disponível na sua versão de Excel.
Editar esta forma ou salvar esta pasta de trabalho em um formato de arquivo diferente quebrará o gráfico permanentemente.</a:t>
                  </a:r>
                </a:p>
              </xdr:txBody>
            </xdr:sp>
          </mc:Fallback>
        </mc:AlternateContent>
      </xdr:grpSp>
      <xdr:pic>
        <xdr:nvPicPr>
          <xdr:cNvPr id="15" name="Gráfico 14" descr="Medalha estrutura de tópicos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4292611" y="3947145"/>
            <a:ext cx="288000" cy="2836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149258</xdr:colOff>
      <xdr:row>21</xdr:row>
      <xdr:rowOff>84040</xdr:rowOff>
    </xdr:from>
    <xdr:to>
      <xdr:col>7</xdr:col>
      <xdr:colOff>347441</xdr:colOff>
      <xdr:row>39</xdr:row>
      <xdr:rowOff>38000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/>
      </xdr:nvGrpSpPr>
      <xdr:grpSpPr>
        <a:xfrm>
          <a:off x="149258" y="3878329"/>
          <a:ext cx="4487379" cy="3206207"/>
          <a:chOff x="257352" y="3886185"/>
          <a:chExt cx="4371429" cy="3206207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pSpPr/>
        </xdr:nvGrpSpPr>
        <xdr:grpSpPr>
          <a:xfrm>
            <a:off x="257352" y="3886185"/>
            <a:ext cx="4371429" cy="3206207"/>
            <a:chOff x="257352" y="3886185"/>
            <a:chExt cx="4371429" cy="3206207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/>
          </xdr:nvSpPr>
          <xdr:spPr>
            <a:xfrm>
              <a:off x="257352" y="3886185"/>
              <a:ext cx="4371429" cy="3206207"/>
            </a:xfrm>
            <a:prstGeom prst="roundRect">
              <a:avLst>
                <a:gd name="adj" fmla="val 4764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347998" y="4039230"/>
            <a:ext cx="4190136" cy="29001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pic>
        <xdr:nvPicPr>
          <xdr:cNvPr id="17" name="Gráfico 16" descr="Névoa estrutura de tópicos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276679" y="3947145"/>
            <a:ext cx="291142" cy="28360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539292</xdr:colOff>
      <xdr:row>21</xdr:row>
      <xdr:rowOff>84040</xdr:rowOff>
    </xdr:from>
    <xdr:to>
      <xdr:col>19</xdr:col>
      <xdr:colOff>23567</xdr:colOff>
      <xdr:row>39</xdr:row>
      <xdr:rowOff>38000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pSpPr/>
      </xdr:nvGrpSpPr>
      <xdr:grpSpPr>
        <a:xfrm>
          <a:off x="9117684" y="3878329"/>
          <a:ext cx="2547986" cy="3206207"/>
          <a:chOff x="9117684" y="3886185"/>
          <a:chExt cx="2489069" cy="3206207"/>
        </a:xfrm>
      </xdr:grpSpPr>
      <xdr:grpSp>
        <xdr:nvGrpSpPr>
          <xdr:cNvPr id="9219" name="Agrupar 9218">
            <a:extLst>
              <a:ext uri="{FF2B5EF4-FFF2-40B4-BE49-F238E27FC236}">
                <a16:creationId xmlns:a16="http://schemas.microsoft.com/office/drawing/2014/main" id="{00000000-0008-0000-0500-000003240000}"/>
              </a:ext>
            </a:extLst>
          </xdr:cNvPr>
          <xdr:cNvGrpSpPr/>
        </xdr:nvGrpSpPr>
        <xdr:grpSpPr>
          <a:xfrm>
            <a:off x="9117684" y="3886185"/>
            <a:ext cx="2489069" cy="3206207"/>
            <a:chOff x="8877300" y="3869530"/>
            <a:chExt cx="2476500" cy="3243600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00000000-0008-0000-0500-000039000000}"/>
                </a:ext>
              </a:extLst>
            </xdr:cNvPr>
            <xdr:cNvSpPr/>
          </xdr:nvSpPr>
          <xdr:spPr>
            <a:xfrm>
              <a:off x="8877300" y="3869530"/>
              <a:ext cx="2476500" cy="3243600"/>
            </a:xfrm>
            <a:prstGeom prst="roundRect">
              <a:avLst>
                <a:gd name="adj" fmla="val 5283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9218" name="Gráfico 9217">
              <a:extLs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GraphicFramePr/>
          </xdr:nvGraphicFramePr>
          <xdr:xfrm>
            <a:off x="8972550" y="3952090"/>
            <a:ext cx="2286000" cy="3078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pic>
        <xdr:nvPicPr>
          <xdr:cNvPr id="19" name="Gráfico 18" descr="Chuva estrutura de tópicos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11280653" y="3924285"/>
            <a:ext cx="288000" cy="2858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0</xdr:row>
          <xdr:rowOff>99060</xdr:rowOff>
        </xdr:from>
        <xdr:to>
          <xdr:col>16</xdr:col>
          <xdr:colOff>480060</xdr:colOff>
          <xdr:row>1</xdr:row>
          <xdr:rowOff>83820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156022</xdr:rowOff>
    </xdr:from>
    <xdr:to>
      <xdr:col>22</xdr:col>
      <xdr:colOff>419100</xdr:colOff>
      <xdr:row>37</xdr:row>
      <xdr:rowOff>65908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784860" y="338902"/>
          <a:ext cx="13045440" cy="6493566"/>
        </a:xfrm>
        <a:prstGeom prst="roundRect">
          <a:avLst>
            <a:gd name="adj" fmla="val 2455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232410</xdr:colOff>
      <xdr:row>2</xdr:row>
      <xdr:rowOff>57589</xdr:rowOff>
    </xdr:from>
    <xdr:to>
      <xdr:col>22</xdr:col>
      <xdr:colOff>361950</xdr:colOff>
      <xdr:row>36</xdr:row>
      <xdr:rowOff>164341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43</xdr:row>
          <xdr:rowOff>160020</xdr:rowOff>
        </xdr:from>
        <xdr:to>
          <xdr:col>6</xdr:col>
          <xdr:colOff>1066800</xdr:colOff>
          <xdr:row>49</xdr:row>
          <xdr:rowOff>15240</xdr:rowOff>
        </xdr:to>
        <xdr:sp macro="" textlink="">
          <xdr:nvSpPr>
            <xdr:cNvPr id="1032" name="novos_dados_button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A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B426A45-2D89-4D00-80FF-510F9A8EAD62}" autoFormatId="16" applyNumberFormats="0" applyBorderFormats="0" applyFontFormats="0" applyPatternFormats="0" applyAlignmentFormats="0" applyWidthHeightFormats="0">
  <queryTableRefresh nextId="15">
    <queryTableFields count="7">
      <queryTableField id="6" name="Dia" tableColumnId="5"/>
      <queryTableField id="8" name="Data" tableColumnId="6"/>
      <queryTableField id="2" name="Temperatura máxima (Cº)" tableColumnId="2"/>
      <queryTableField id="3" name="Temperatura mímima (Cº)" tableColumnId="3"/>
      <queryTableField id="9" name="Amplitude térmica (Cº)" tableColumnId="7"/>
      <queryTableField id="4" name="Temperatura média (Cº)" tableColumnId="4"/>
      <queryTableField id="1" name="Chuva (mm)" tableColumnId="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AE019-D8C2-4617-B7D5-99F3B3DAAF16}" name="tabela_media" displayName="tabela_media" ref="A1:I10" totalsRowShown="0" headerRowDxfId="78" dataDxfId="77">
  <autoFilter ref="A1:I10" xr:uid="{6C0AE019-D8C2-4617-B7D5-99F3B3DAAF16}"/>
  <tableColumns count="9">
    <tableColumn id="1" xr3:uid="{1DF05785-31E1-4E36-9585-0BA018976A14}" name="Semana" dataDxfId="76"/>
    <tableColumn id="2" xr3:uid="{6D94455C-6348-4D29-8CAD-FCD701E048CB}" name="Dia 1" dataDxfId="75"/>
    <tableColumn id="3" xr3:uid="{80422C6E-439F-4974-9550-A1BCD4925F58}" name="Dia 2" dataDxfId="74"/>
    <tableColumn id="4" xr3:uid="{825499B8-2C73-4026-92EE-9A4861F84B39}" name="Dia 3" dataDxfId="73"/>
    <tableColumn id="5" xr3:uid="{504B5E72-3D6E-4D36-805D-8046F230F240}" name="Dia 4" dataDxfId="72"/>
    <tableColumn id="6" xr3:uid="{446892C5-2D60-424B-ACD4-0DC21139B710}" name="Dia 5" dataDxfId="71"/>
    <tableColumn id="7" xr3:uid="{183EB189-81C3-4EAD-96F2-F29AE41D9375}" name="Dia 6" dataDxfId="70"/>
    <tableColumn id="8" xr3:uid="{08680E62-0B03-430C-BFD3-97384AEFCB8B}" name="Dia 7" dataDxfId="69"/>
    <tableColumn id="9" xr3:uid="{EEFD9490-AFB1-4DC7-BAE8-63D9EE095872}" name="Média" dataDxfId="68">
      <calculatedColumnFormula>ROUND(AVERAGE(tabela_media[[#This Row],[Dia 1]:[Dia 7]]),0)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D10CD-7B17-4B58-85FC-25FA18F2DBF7}" name="tabela_chuva" displayName="tabela_chuva" ref="A1:I10" totalsRowShown="0" headerRowDxfId="67" dataDxfId="66">
  <autoFilter ref="A1:I10" xr:uid="{A45D10CD-7B17-4B58-85FC-25FA18F2DBF7}"/>
  <tableColumns count="9">
    <tableColumn id="1" xr3:uid="{1DF4C3FE-2A5C-4535-9C5D-CA51E9DAE3C9}" name="Semana" dataDxfId="65"/>
    <tableColumn id="2" xr3:uid="{6F94FB45-B711-484B-BC01-4D401F28BEC0}" name="Dia 1" dataDxfId="64"/>
    <tableColumn id="3" xr3:uid="{9F0BDB59-14FD-4F4A-85DF-29BC8C4A6152}" name="Dia 2" dataDxfId="63"/>
    <tableColumn id="4" xr3:uid="{8CB9EA72-9CE2-4108-B231-763F0DB5E852}" name="Dia 3" dataDxfId="62"/>
    <tableColumn id="5" xr3:uid="{BD7B5719-B04F-4F82-87C4-8F5698FF3C78}" name="Dia 4" dataDxfId="61"/>
    <tableColumn id="6" xr3:uid="{1FBF846D-F29A-43D0-9218-F4460B11D501}" name="Dia 5" dataDxfId="60"/>
    <tableColumn id="7" xr3:uid="{19970160-DB2B-4AD0-8304-AF024332E952}" name="Dia 6" dataDxfId="59"/>
    <tableColumn id="8" xr3:uid="{AA84949D-BEAB-450C-BB20-DCB0D6994534}" name="Dia 7" dataDxfId="58"/>
    <tableColumn id="9" xr3:uid="{198C254E-04B3-4158-9E43-1F42B3857384}" name="Média" dataDxfId="57">
      <calculatedColumnFormula>AVERAGE(tabela_chuva[[#This Row],[Dia 1]:[Dia 7]])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66034F-207D-4C3E-BC5D-6DCC61251D75}" name="tabela_maxima" displayName="tabela_maxima" ref="A1:I10" totalsRowShown="0" headerRowDxfId="56" dataDxfId="55">
  <autoFilter ref="A1:I10" xr:uid="{4F66034F-207D-4C3E-BC5D-6DCC61251D75}"/>
  <tableColumns count="9">
    <tableColumn id="1" xr3:uid="{1F797DFA-05D6-4286-B82B-3CDD423E293B}" name="Semana" dataDxfId="54"/>
    <tableColumn id="2" xr3:uid="{DACC863B-F8D9-44FB-A6A0-60DA8BA72EE1}" name="Dia 1" dataDxfId="53"/>
    <tableColumn id="3" xr3:uid="{BAC38E72-1D9D-4C12-882D-C76B4F11EF5E}" name="Dia 2" dataDxfId="52"/>
    <tableColumn id="4" xr3:uid="{8DC79F45-D9A9-4996-8B39-BF6813C132D7}" name="Dia 3" dataDxfId="51"/>
    <tableColumn id="5" xr3:uid="{90BA2592-1B85-4633-9B99-33D0D58BC7B1}" name="Dia 4" dataDxfId="50"/>
    <tableColumn id="6" xr3:uid="{3EF5B4C3-20DA-4CA8-A63B-FEA31B9D3FAA}" name="Dia 5" dataDxfId="49"/>
    <tableColumn id="7" xr3:uid="{522E33D7-D4A2-4269-8CC6-017A39395C27}" name="Dia 6" dataDxfId="48"/>
    <tableColumn id="8" xr3:uid="{D844CD09-79E6-4BC4-A8C9-465776DB0C53}" name="Dia 7" dataDxfId="47"/>
    <tableColumn id="9" xr3:uid="{ADDA2636-8F20-4383-B886-EDB017E88520}" name="Média" dataDxfId="46">
      <calculatedColumnFormula>AVERAGE(tabela_maxima[[#This Row],[Dia 1]:[Dia 7]])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3FE4E3-905B-40CB-BD7A-F5A7D3ADBFA9}" name="tabela_minima" displayName="tabela_minima" ref="A1:I10" totalsRowShown="0" headerRowDxfId="45" dataDxfId="44">
  <autoFilter ref="A1:I10" xr:uid="{B23FE4E3-905B-40CB-BD7A-F5A7D3ADBFA9}"/>
  <tableColumns count="9">
    <tableColumn id="1" xr3:uid="{31B3A2CD-31B0-401E-A253-215094503C84}" name="Semana" dataDxfId="43"/>
    <tableColumn id="2" xr3:uid="{81E0B492-4DF8-4245-9A16-C868CB1DA08E}" name="Dia 1" dataDxfId="42"/>
    <tableColumn id="3" xr3:uid="{620181A6-1968-44DA-8D79-36C5C935A503}" name="Dia 2" dataDxfId="41"/>
    <tableColumn id="4" xr3:uid="{A55B372C-1FEC-43DB-8A7F-32047CE9C445}" name="Dia 3" dataDxfId="40"/>
    <tableColumn id="5" xr3:uid="{B99EDFFB-FBBD-4F87-9007-35C8EA3B4596}" name="Dia 4" dataDxfId="39"/>
    <tableColumn id="6" xr3:uid="{CD5DDB25-5F79-4C8C-8239-1E07745762B5}" name="Dia 5" dataDxfId="38"/>
    <tableColumn id="7" xr3:uid="{533C3FC9-8422-45D0-96A4-9357BE7EBF24}" name="Dia 6" dataDxfId="37"/>
    <tableColumn id="8" xr3:uid="{0F77AC84-FDC5-47F5-B4C6-0A69826C4CAD}" name="Dia 7" dataDxfId="36"/>
    <tableColumn id="9" xr3:uid="{D42009CD-71F3-45C4-8BCC-8C28C517B410}" name="Média" dataDxfId="35">
      <calculatedColumnFormula>AVERAGE(tabela_minima[[#This Row],[Dia 1]:[Dia 7]])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8A18F-5969-4767-B0FE-0430BCE73CD8}" name="tabela_query" displayName="tabela_query" ref="A1:G65" tableType="queryTable" totalsRowCount="1" headerRowDxfId="34" dataDxfId="33" totalsRowDxfId="32">
  <autoFilter ref="A1:G64" xr:uid="{DA08A18F-5969-4767-B0FE-0430BCE73CD8}"/>
  <tableColumns count="7">
    <tableColumn id="5" xr3:uid="{EF47A0A5-7856-4A61-9862-F0CFC091C4D9}" uniqueName="5" name="Dia" totalsRowLabel="Total" queryTableFieldId="6" dataDxfId="31" totalsRowDxfId="30"/>
    <tableColumn id="6" xr3:uid="{75193D38-021A-4DB8-8F21-260CAF71604B}" uniqueName="6" name="Data" queryTableFieldId="8" dataDxfId="29" totalsRowDxfId="28"/>
    <tableColumn id="2" xr3:uid="{45933EC8-ADDA-46EB-8943-DAA26F86F96A}" uniqueName="2" name="Temperatura máxima (Cº)" totalsRowFunction="average" queryTableFieldId="2" dataDxfId="27" totalsRowDxfId="26"/>
    <tableColumn id="3" xr3:uid="{6274E2C7-835F-491D-82A9-756014D1E1E6}" uniqueName="3" name="Temperatura mímima (Cº)" totalsRowFunction="average" queryTableFieldId="3" dataDxfId="25" totalsRowDxfId="24"/>
    <tableColumn id="7" xr3:uid="{A68CE756-E643-4507-A560-4C69DC51A694}" uniqueName="7" name="Amplitude térmica (Cº)" totalsRowFunction="average" queryTableFieldId="9" dataDxfId="23" totalsRowDxfId="22"/>
    <tableColumn id="4" xr3:uid="{D59EA1F6-B3BA-48CE-B9D8-52709374DA52}" uniqueName="4" name="Temperatura média (Cº)" totalsRowFunction="average" queryTableFieldId="4" dataDxfId="21" totalsRowDxfId="20"/>
    <tableColumn id="1" xr3:uid="{31BA30A6-FC1B-4094-B122-23FFFA5479EB}" uniqueName="1" name="Chuva (mm)" totalsRowFunction="sum" queryTableFieldId="1" dataDxfId="19" totalsRowDxfId="1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0582AB-E93C-48BD-BD57-B92645E65D0B}" name="tabela_dia" displayName="tabela_dia" ref="A1:H10" totalsRowShown="0" headerRowDxfId="17" dataDxfId="16">
  <autoFilter ref="A1:H10" xr:uid="{B70582AB-E93C-48BD-BD57-B92645E65D0B}"/>
  <tableColumns count="8">
    <tableColumn id="1" xr3:uid="{ADDB740A-28B1-487B-AE31-09F8D6A2ED5E}" name="Semana" dataDxfId="15"/>
    <tableColumn id="2" xr3:uid="{81E0ABFB-CFDE-485E-9CE3-67CC9ECD19C2}" name="Dia 1" dataDxfId="14"/>
    <tableColumn id="3" xr3:uid="{4B9CE2C3-6BC9-497A-8798-86E9C8CE6E24}" name="Dia 2" dataDxfId="13"/>
    <tableColumn id="4" xr3:uid="{9BE8C067-2ED5-4674-A223-A8E2C016751F}" name="Dia 3" dataDxfId="12"/>
    <tableColumn id="5" xr3:uid="{E687A5BE-4CA7-4613-A3B2-3B51F63DF7AE}" name="Dia 4" dataDxfId="11"/>
    <tableColumn id="6" xr3:uid="{19BA990F-2BB6-4226-8470-5209139AB653}" name="Dia 5" dataDxfId="10"/>
    <tableColumn id="7" xr3:uid="{0D8CBDBA-1567-4D11-9468-EDEABF568973}" name="Dia 6" dataDxfId="9"/>
    <tableColumn id="8" xr3:uid="{330BB59D-4F22-4F7B-B052-9E17DFF55786}" name="Dia 7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5E146-5E16-4087-A6C8-C66C6099525E}" name="Tabela1" displayName="Tabela1" ref="A1:F64" totalsRowShown="0" headerRowDxfId="7" dataDxfId="6">
  <autoFilter ref="A1:F64" xr:uid="{B235E146-5E16-4087-A6C8-C66C6099525E}"/>
  <sortState xmlns:xlrd2="http://schemas.microsoft.com/office/spreadsheetml/2017/richdata2" ref="A2:F49">
    <sortCondition ref="A1:A49"/>
  </sortState>
  <tableColumns count="6">
    <tableColumn id="1" xr3:uid="{34578553-125E-4E2A-9304-AA5ADD47FCDB}" name="Dia" dataDxfId="5"/>
    <tableColumn id="2" xr3:uid="{8920F97E-822B-4FAF-81AF-5D6D68D6A624}" name="Chuva (mm)" dataDxfId="4"/>
    <tableColumn id="4" xr3:uid="{A6DE3A83-370A-4B7D-9908-4B85E8FB6FAA}" name="Temperatura mímima (Cº)" dataDxfId="3"/>
    <tableColumn id="3" xr3:uid="{5B937EAB-822A-477F-9184-DAD2A61E7C91}" name="Temperatura máxima (Cº)" dataDxfId="2"/>
    <tableColumn id="7" xr3:uid="{3015DC0A-F720-441B-804C-936D2FBB1115}" name="Temperatura média (Cº)" dataDxfId="1">
      <calculatedColumnFormula>ROUND(AVERAGE(Tabela1[[#This Row],[Temperatura máxima (Cº)]],Tabela1[[#This Row],[Temperatura mímima (Cº)]]),0)</calculatedColumnFormula>
    </tableColumn>
    <tableColumn id="5" xr3:uid="{8D54ADD0-24CD-4079-9746-860053B1C6AC}" name="Data" dataDxfId="0">
      <calculatedColumnFormula>VLOOKUP(Tabela1[[#This Row],[Dia]],Fonte!#REF!,2,FALSE)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image" Target="../media/image12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DAB6-1856-410A-AD7B-6FF64F32740D}">
  <sheetPr codeName="Planilha10"/>
  <dimension ref="A1:AE17"/>
  <sheetViews>
    <sheetView workbookViewId="0">
      <selection activeCell="G31" sqref="G31"/>
    </sheetView>
  </sheetViews>
  <sheetFormatPr defaultRowHeight="14.4" x14ac:dyDescent="0.3"/>
  <cols>
    <col min="1" max="2" width="19.6640625" bestFit="1" customWidth="1"/>
    <col min="3" max="3" width="17.88671875" bestFit="1" customWidth="1"/>
  </cols>
  <sheetData>
    <row r="1" spans="1:31" x14ac:dyDescent="0.3">
      <c r="A1" t="s">
        <v>0</v>
      </c>
      <c r="B1" t="s">
        <v>1</v>
      </c>
      <c r="C1" t="s">
        <v>2</v>
      </c>
    </row>
    <row r="2" spans="1:31" x14ac:dyDescent="0.3">
      <c r="A2" t="s">
        <v>3</v>
      </c>
      <c r="B2" s="16">
        <f>VLOOKUP(System!$AE$2,tabela_chuva[],2,FALSE)</f>
        <v>0</v>
      </c>
      <c r="C2" s="15">
        <f>VLOOKUP(System!$AE$2,tabela_media[],2,FALSE)</f>
        <v>19</v>
      </c>
      <c r="E2">
        <f>COUNTIF($G$2:G2,G2)</f>
        <v>1</v>
      </c>
      <c r="F2" t="str">
        <f t="shared" ref="F2:F8" si="0">_xlfn.CONCAT(G2,E2)</f>
        <v>191</v>
      </c>
      <c r="G2">
        <f>VLOOKUP(System!$AE$2,tabela_media[],2,FALSE)</f>
        <v>19</v>
      </c>
      <c r="H2" t="s">
        <v>3</v>
      </c>
      <c r="J2">
        <f>COUNTIF($M$2:M2,M2)</f>
        <v>1</v>
      </c>
      <c r="K2" t="str">
        <f t="shared" ref="K2:K8" si="1">_xlfn.CONCAT(M2,J2)</f>
        <v>241</v>
      </c>
      <c r="L2">
        <v>1</v>
      </c>
      <c r="M2" s="15">
        <f>LARGE(System!$C$2:$C$8,L2)</f>
        <v>24</v>
      </c>
      <c r="N2" t="str">
        <f t="shared" ref="N2:N8" si="2">VLOOKUP(K2,$F$2:$H$8,3,FALSE)</f>
        <v>Dia 4</v>
      </c>
      <c r="O2" t="str">
        <f>_xlfn.CONCAT(N2," (",(VLOOKUP(N2,System!$Y$2:$Z$8,2,FALSE)),")")</f>
        <v>Dia 4 (Terça)</v>
      </c>
      <c r="R2" t="s">
        <v>3</v>
      </c>
      <c r="S2" s="15">
        <f>VLOOKUP(System!$AE$2,tabela_minima[],2,FALSE)</f>
        <v>16</v>
      </c>
      <c r="T2" s="15">
        <f>VLOOKUP(System!$AE$2,tabela_maxima[],2,FALSE)</f>
        <v>22</v>
      </c>
      <c r="U2" s="15">
        <f>T2-S2</f>
        <v>6</v>
      </c>
      <c r="V2" s="16">
        <f>SUM(System!$B$2:$B$8)</f>
        <v>90</v>
      </c>
      <c r="W2" s="16">
        <v>200</v>
      </c>
      <c r="Y2" t="s">
        <v>3</v>
      </c>
      <c r="Z2" t="s">
        <v>4</v>
      </c>
      <c r="AA2" t="str">
        <f t="shared" ref="AA2:AA8" si="3">_xlfn.CONCAT(Y2," (",(VLOOKUP(Y2,$Y$2:$Z$8,2,FALSE)),")")</f>
        <v>Dia 1 (Sábado)</v>
      </c>
      <c r="AD2">
        <v>1</v>
      </c>
      <c r="AE2" t="str">
        <f>VLOOKUP(System!$AD$2,Fonte!$D$1:$E$10,2,FALSE)</f>
        <v>Semana 1</v>
      </c>
    </row>
    <row r="3" spans="1:31" x14ac:dyDescent="0.3">
      <c r="A3" t="s">
        <v>5</v>
      </c>
      <c r="B3" s="16">
        <f>VLOOKUP(System!$AE$2,tabela_chuva[],3,FALSE)</f>
        <v>0</v>
      </c>
      <c r="C3" s="15">
        <f>VLOOKUP(System!$AE$2,tabela_media[],3,FALSE)</f>
        <v>21</v>
      </c>
      <c r="E3">
        <f>COUNTIF($G$2:G3,G3)</f>
        <v>1</v>
      </c>
      <c r="F3" t="str">
        <f t="shared" si="0"/>
        <v>211</v>
      </c>
      <c r="G3">
        <f>VLOOKUP(System!$AE$2,tabela_media[],3,FALSE)</f>
        <v>21</v>
      </c>
      <c r="H3" t="s">
        <v>5</v>
      </c>
      <c r="J3">
        <f>COUNTIF($M$2:M3,M3)</f>
        <v>1</v>
      </c>
      <c r="K3" t="str">
        <f t="shared" si="1"/>
        <v>221</v>
      </c>
      <c r="L3">
        <v>2</v>
      </c>
      <c r="M3" s="15">
        <f>LARGE(System!$C$2:$C$8,L3)</f>
        <v>22</v>
      </c>
      <c r="N3" t="str">
        <f t="shared" si="2"/>
        <v>Dia 3</v>
      </c>
      <c r="O3" t="str">
        <f>_xlfn.CONCAT(N3," (",(VLOOKUP(N3,System!$Y$2:$Z$8,2,FALSE)),")")</f>
        <v>Dia 3 (Segunda)</v>
      </c>
      <c r="R3" t="s">
        <v>5</v>
      </c>
      <c r="S3" s="15">
        <f>VLOOKUP(System!$AE$2,tabela_minima[],3,FALSE)</f>
        <v>16</v>
      </c>
      <c r="T3" s="15">
        <f>VLOOKUP(System!$AE$2,tabela_maxima[],3,FALSE)</f>
        <v>26</v>
      </c>
      <c r="U3" s="15">
        <f t="shared" ref="U3:U8" si="4">T3-S3</f>
        <v>10</v>
      </c>
      <c r="Y3" t="s">
        <v>5</v>
      </c>
      <c r="Z3" s="17" t="s">
        <v>6</v>
      </c>
      <c r="AA3" t="str">
        <f t="shared" si="3"/>
        <v>Dia 2 (Domingo)</v>
      </c>
    </row>
    <row r="4" spans="1:31" x14ac:dyDescent="0.3">
      <c r="A4" t="s">
        <v>7</v>
      </c>
      <c r="B4" s="16">
        <f>VLOOKUP(System!$AE$2,tabela_chuva[],4,FALSE)</f>
        <v>0</v>
      </c>
      <c r="C4" s="15">
        <f>VLOOKUP(System!$AE$2,tabela_media[],4,FALSE)</f>
        <v>22</v>
      </c>
      <c r="E4">
        <f>COUNTIF($G$2:G4,G4)</f>
        <v>1</v>
      </c>
      <c r="F4" t="str">
        <f t="shared" si="0"/>
        <v>221</v>
      </c>
      <c r="G4">
        <f>VLOOKUP(System!$AE$2,tabela_media[],4,FALSE)</f>
        <v>22</v>
      </c>
      <c r="H4" t="s">
        <v>7</v>
      </c>
      <c r="J4">
        <f>COUNTIF($M$2:M4,M4)</f>
        <v>1</v>
      </c>
      <c r="K4" t="str">
        <f t="shared" si="1"/>
        <v>211</v>
      </c>
      <c r="L4">
        <v>3</v>
      </c>
      <c r="M4" s="15">
        <f>LARGE(System!$C$2:$C$8,L4)</f>
        <v>21</v>
      </c>
      <c r="N4" t="str">
        <f t="shared" si="2"/>
        <v>Dia 2</v>
      </c>
      <c r="O4" t="str">
        <f>_xlfn.CONCAT(N4," (",(VLOOKUP(N4,System!$Y$2:$Z$8,2,FALSE)),")")</f>
        <v>Dia 2 (Domingo)</v>
      </c>
      <c r="R4" t="s">
        <v>7</v>
      </c>
      <c r="S4" s="15">
        <f>VLOOKUP(System!$AE$2,tabela_minima[],4,FALSE)</f>
        <v>16</v>
      </c>
      <c r="T4" s="15">
        <f>VLOOKUP(System!$AE$2,tabela_maxima[],4,FALSE)</f>
        <v>28</v>
      </c>
      <c r="U4" s="15">
        <f t="shared" si="4"/>
        <v>12</v>
      </c>
      <c r="Y4" t="s">
        <v>7</v>
      </c>
      <c r="Z4" t="s">
        <v>8</v>
      </c>
      <c r="AA4" t="str">
        <f t="shared" si="3"/>
        <v>Dia 3 (Segunda)</v>
      </c>
    </row>
    <row r="5" spans="1:31" x14ac:dyDescent="0.3">
      <c r="A5" t="s">
        <v>9</v>
      </c>
      <c r="B5" s="16">
        <f>VLOOKUP(System!$AE$2,tabela_chuva[],5,FALSE)</f>
        <v>0</v>
      </c>
      <c r="C5" s="15">
        <f>VLOOKUP(System!$AE$2,tabela_media[],5,FALSE)</f>
        <v>24</v>
      </c>
      <c r="E5">
        <f>COUNTIF($G$2:G5,G5)</f>
        <v>1</v>
      </c>
      <c r="F5" t="str">
        <f t="shared" si="0"/>
        <v>241</v>
      </c>
      <c r="G5">
        <f>VLOOKUP(System!$AE$2,tabela_media[],5,FALSE)</f>
        <v>24</v>
      </c>
      <c r="H5" t="s">
        <v>9</v>
      </c>
      <c r="J5">
        <f>COUNTIF($M$2:M5,M5)</f>
        <v>1</v>
      </c>
      <c r="K5" t="str">
        <f t="shared" si="1"/>
        <v>201</v>
      </c>
      <c r="L5">
        <v>4</v>
      </c>
      <c r="M5" s="15">
        <f>LARGE(System!$C$2:$C$8,L5)</f>
        <v>20</v>
      </c>
      <c r="N5" t="str">
        <f t="shared" si="2"/>
        <v>Dia 5</v>
      </c>
      <c r="O5" t="str">
        <f>_xlfn.CONCAT(N5," (",(VLOOKUP(N5,System!$Y$2:$Z$8,2,FALSE)),")")</f>
        <v>Dia 5 (Quarta)</v>
      </c>
      <c r="R5" t="s">
        <v>9</v>
      </c>
      <c r="S5" s="15">
        <f>VLOOKUP(System!$AE$2,tabela_minima[],5,FALSE)</f>
        <v>16</v>
      </c>
      <c r="T5" s="15">
        <f>VLOOKUP(System!$AE$2,tabela_maxima[],5,FALSE)</f>
        <v>32</v>
      </c>
      <c r="U5" s="15">
        <f t="shared" si="4"/>
        <v>16</v>
      </c>
      <c r="Y5" t="s">
        <v>9</v>
      </c>
      <c r="Z5" t="s">
        <v>10</v>
      </c>
      <c r="AA5" t="str">
        <f t="shared" si="3"/>
        <v>Dia 4 (Terça)</v>
      </c>
    </row>
    <row r="6" spans="1:31" x14ac:dyDescent="0.3">
      <c r="A6" t="s">
        <v>11</v>
      </c>
      <c r="B6" s="16">
        <f>VLOOKUP(System!$AE$2,tabela_chuva[],6,FALSE)</f>
        <v>15</v>
      </c>
      <c r="C6" s="15">
        <f>VLOOKUP(System!$AE$2,tabela_media[],6,FALSE)</f>
        <v>20</v>
      </c>
      <c r="E6">
        <f>COUNTIF($G$2:G6,G6)</f>
        <v>1</v>
      </c>
      <c r="F6" t="str">
        <f t="shared" si="0"/>
        <v>201</v>
      </c>
      <c r="G6">
        <f>VLOOKUP(System!$AE$2,tabela_media[],6,FALSE)</f>
        <v>20</v>
      </c>
      <c r="H6" t="s">
        <v>11</v>
      </c>
      <c r="J6">
        <f>COUNTIF($M$2:M6,M6)</f>
        <v>1</v>
      </c>
      <c r="K6" t="str">
        <f t="shared" si="1"/>
        <v>191</v>
      </c>
      <c r="L6">
        <v>5</v>
      </c>
      <c r="M6" s="15">
        <f>LARGE(System!$C$2:$C$8,L6)</f>
        <v>19</v>
      </c>
      <c r="N6" t="str">
        <f t="shared" si="2"/>
        <v>Dia 1</v>
      </c>
      <c r="O6" t="str">
        <f>_xlfn.CONCAT(N6," (",(VLOOKUP(N6,System!$Y$2:$Z$8,2,FALSE)),")")</f>
        <v>Dia 1 (Sábado)</v>
      </c>
      <c r="R6" t="s">
        <v>11</v>
      </c>
      <c r="S6" s="15">
        <f>VLOOKUP(System!$AE$2,tabela_minima[],6,FALSE)</f>
        <v>16</v>
      </c>
      <c r="T6" s="15">
        <f>VLOOKUP(System!$AE$2,tabela_maxima[],6,FALSE)</f>
        <v>23</v>
      </c>
      <c r="U6" s="15">
        <f t="shared" si="4"/>
        <v>7</v>
      </c>
      <c r="Y6" t="s">
        <v>11</v>
      </c>
      <c r="Z6" t="s">
        <v>12</v>
      </c>
      <c r="AA6" t="str">
        <f t="shared" si="3"/>
        <v>Dia 5 (Quarta)</v>
      </c>
    </row>
    <row r="7" spans="1:31" x14ac:dyDescent="0.3">
      <c r="A7" t="s">
        <v>13</v>
      </c>
      <c r="B7" s="16">
        <f>VLOOKUP(System!$AE$2,tabela_chuva[],7,FALSE)</f>
        <v>40</v>
      </c>
      <c r="C7" s="15">
        <f>VLOOKUP(System!$AE$2,tabela_media[],7,FALSE)</f>
        <v>18</v>
      </c>
      <c r="E7">
        <f>COUNTIF($G$2:G7,G7)</f>
        <v>1</v>
      </c>
      <c r="F7" t="str">
        <f t="shared" si="0"/>
        <v>181</v>
      </c>
      <c r="G7">
        <f>VLOOKUP(System!$AE$2,tabela_media[],7,FALSE)</f>
        <v>18</v>
      </c>
      <c r="H7" t="s">
        <v>13</v>
      </c>
      <c r="J7">
        <f>COUNTIF($M$2:M7,M7)</f>
        <v>2</v>
      </c>
      <c r="K7" t="str">
        <f t="shared" si="1"/>
        <v>192</v>
      </c>
      <c r="L7">
        <v>6</v>
      </c>
      <c r="M7" s="15">
        <f>LARGE(System!$C$2:$C$8,L7)</f>
        <v>19</v>
      </c>
      <c r="N7" t="str">
        <f t="shared" si="2"/>
        <v>Dia 7</v>
      </c>
      <c r="O7" t="str">
        <f>_xlfn.CONCAT(N7," (",(VLOOKUP(N7,System!$Y$2:$Z$8,2,FALSE)),")")</f>
        <v>Dia 7 (Sexta)</v>
      </c>
      <c r="R7" t="s">
        <v>13</v>
      </c>
      <c r="S7" s="15">
        <f>VLOOKUP(System!$AE$2,tabela_minima[],7,FALSE)</f>
        <v>16</v>
      </c>
      <c r="T7" s="15">
        <f>VLOOKUP(System!$AE$2,tabela_maxima[],7,FALSE)</f>
        <v>20</v>
      </c>
      <c r="U7" s="15">
        <f t="shared" si="4"/>
        <v>4</v>
      </c>
      <c r="Y7" t="s">
        <v>13</v>
      </c>
      <c r="Z7" t="s">
        <v>14</v>
      </c>
      <c r="AA7" t="str">
        <f t="shared" si="3"/>
        <v>Dia 6 (Quinta)</v>
      </c>
    </row>
    <row r="8" spans="1:31" x14ac:dyDescent="0.3">
      <c r="A8" t="s">
        <v>15</v>
      </c>
      <c r="B8" s="16">
        <f>VLOOKUP(System!$AE$2,tabela_chuva[],8,FALSE)</f>
        <v>35</v>
      </c>
      <c r="C8" s="15">
        <f>VLOOKUP(System!$AE$2,tabela_media[],8,FALSE)</f>
        <v>19</v>
      </c>
      <c r="E8">
        <f>COUNTIF($G$2:G8,G8)</f>
        <v>2</v>
      </c>
      <c r="F8" t="str">
        <f t="shared" si="0"/>
        <v>192</v>
      </c>
      <c r="G8">
        <f>VLOOKUP(System!$AE$2,tabela_media[],8,FALSE)</f>
        <v>19</v>
      </c>
      <c r="H8" t="s">
        <v>15</v>
      </c>
      <c r="J8">
        <f>COUNTIF($M$2:M8,M8)</f>
        <v>1</v>
      </c>
      <c r="K8" t="str">
        <f t="shared" si="1"/>
        <v>181</v>
      </c>
      <c r="L8">
        <v>7</v>
      </c>
      <c r="M8" s="15">
        <f>LARGE(System!$C$2:$C$8,L8)</f>
        <v>18</v>
      </c>
      <c r="N8" t="str">
        <f t="shared" si="2"/>
        <v>Dia 6</v>
      </c>
      <c r="O8" t="str">
        <f>_xlfn.CONCAT(N8," (",(VLOOKUP(N8,System!$Y$2:$Z$8,2,FALSE)),")")</f>
        <v>Dia 6 (Quinta)</v>
      </c>
      <c r="R8" t="s">
        <v>15</v>
      </c>
      <c r="S8" s="15">
        <f>VLOOKUP(System!$AE$2,tabela_minima[],8,FALSE)</f>
        <v>16</v>
      </c>
      <c r="T8" s="15">
        <f>VLOOKUP(System!$AE$2,tabela_maxima[],8,FALSE)</f>
        <v>22</v>
      </c>
      <c r="U8" s="15">
        <f t="shared" si="4"/>
        <v>6</v>
      </c>
      <c r="Y8" t="s">
        <v>15</v>
      </c>
      <c r="Z8" t="s">
        <v>16</v>
      </c>
      <c r="AA8" t="str">
        <f t="shared" si="3"/>
        <v>Dia 7 (Sexta)</v>
      </c>
    </row>
    <row r="11" spans="1:31" x14ac:dyDescent="0.3">
      <c r="A11">
        <f>$AD$11*7-6</f>
        <v>29</v>
      </c>
      <c r="B11" s="5" t="str">
        <f>_xlfn.CONCAT(TEXT(VLOOKUP($AD$11*7-6,Fonte!$A$2:$B$64,2,FALSE),"dd/mm/aaaa;####"),," (",VLOOKUP(_xlfn.CONCAT("Dia ",WEEKDAY(VLOOKUP($AD$11*7-6,Fonte!$A$2:$B$64,2,FALSE),16)),$Y$2:$Z$8,2,FALSE),")")</f>
        <v>04/09/2021 (Sábado)</v>
      </c>
      <c r="C11">
        <f>VLOOKUP($AE$11,tabela_maxima[#All],2,FALSE)</f>
        <v>28</v>
      </c>
      <c r="D11">
        <f>VLOOKUP($AE$11,tabela_minima[],2,FALSE)</f>
        <v>18</v>
      </c>
      <c r="E11">
        <f>C11-D11</f>
        <v>10</v>
      </c>
      <c r="F11">
        <f>VLOOKUP($AE$11,tabela_media[],2,FALSE)</f>
        <v>23</v>
      </c>
      <c r="G11">
        <f>VLOOKUP($AE$11,tabela_chuva[],2,FALSE)</f>
        <v>0</v>
      </c>
      <c r="AD11">
        <v>5</v>
      </c>
      <c r="AE11" t="str">
        <f>VLOOKUP($AD$11,Fonte!$D$1:$E$10,2,FALSE)</f>
        <v>Semana 5</v>
      </c>
    </row>
    <row r="12" spans="1:31" x14ac:dyDescent="0.3">
      <c r="A12">
        <f>$AD$11*7-5</f>
        <v>30</v>
      </c>
      <c r="B12" s="5" t="str">
        <f>_xlfn.CONCAT(TEXT(VLOOKUP($AD$11*7-5,Fonte!$A$2:$B$64,2,FALSE),"dd/mm/aaaa;####"),," (",VLOOKUP(_xlfn.CONCAT("Dia ",WEEKDAY(VLOOKUP($AD$11*7-5,Fonte!$A$2:$B$64,2,FALSE),16)),$Y$2:$Z$8,2,FALSE),")")</f>
        <v>05/09/2021 (Domingo)</v>
      </c>
      <c r="C12">
        <f>VLOOKUP($AE$11,tabela_maxima[#All],3,FALSE)</f>
        <v>25</v>
      </c>
      <c r="D12">
        <f>VLOOKUP($AE$11,tabela_minima[#All],3,FALSE)</f>
        <v>20</v>
      </c>
      <c r="E12">
        <f t="shared" ref="E12:E17" si="5">C12-D12</f>
        <v>5</v>
      </c>
      <c r="F12">
        <f>VLOOKUP($AE$11,tabela_media[#All],3,FALSE)</f>
        <v>23</v>
      </c>
      <c r="G12">
        <f>VLOOKUP($AE$11,tabela_chuva[#All],3,FALSE)</f>
        <v>2</v>
      </c>
    </row>
    <row r="13" spans="1:31" x14ac:dyDescent="0.3">
      <c r="A13">
        <f>$AD$11*7-4</f>
        <v>31</v>
      </c>
      <c r="B13" s="5" t="str">
        <f>_xlfn.CONCAT(TEXT(VLOOKUP($AD$11*7-4,Fonte!$A$2:$B$64,2,FALSE),"dd/mm/aaaa;####"),," (",VLOOKUP(_xlfn.CONCAT("Dia ",WEEKDAY(VLOOKUP($AD$11*7-4,Fonte!$A$2:$B$64,2,FALSE),16)),$Y$2:$Z$8,2,FALSE),")")</f>
        <v>06/09/2021 (Segunda)</v>
      </c>
      <c r="C13">
        <f>VLOOKUP($AE$11,tabela_maxima[#All],4,FALSE)</f>
        <v>26</v>
      </c>
      <c r="D13">
        <f>VLOOKUP($AE$11,tabela_minima[#All],4,FALSE)</f>
        <v>18</v>
      </c>
      <c r="E13">
        <f t="shared" si="5"/>
        <v>8</v>
      </c>
      <c r="F13">
        <f>VLOOKUP($AE$11,tabela_media[#All],4,FALSE)</f>
        <v>22</v>
      </c>
      <c r="G13">
        <f>VLOOKUP($AE$11,tabela_chuva[#All],4,FALSE)</f>
        <v>2</v>
      </c>
    </row>
    <row r="14" spans="1:31" x14ac:dyDescent="0.3">
      <c r="A14">
        <f>$AD$11*7-3</f>
        <v>32</v>
      </c>
      <c r="B14" s="5" t="str">
        <f>_xlfn.CONCAT(TEXT(VLOOKUP($AD$11*7-3,Fonte!$A$2:$B$64,2,FALSE),"dd/mm/aaaa;####"),," (",VLOOKUP(_xlfn.CONCAT("Dia ",WEEKDAY(VLOOKUP($AD$11*7-3,Fonte!$A$2:$B$64,2,FALSE),16)),$Y$2:$Z$8,2,FALSE),")")</f>
        <v>07/09/2021 (Terça)</v>
      </c>
      <c r="C14">
        <f>VLOOKUP($AE$11,tabela_maxima[#All],5,FALSE)</f>
        <v>24</v>
      </c>
      <c r="D14">
        <f>VLOOKUP($AE$11,tabela_minima[#All],5,FALSE)</f>
        <v>18</v>
      </c>
      <c r="E14">
        <f t="shared" si="5"/>
        <v>6</v>
      </c>
      <c r="F14">
        <f>VLOOKUP($AE$11,tabela_media[#All],5,FALSE)</f>
        <v>21</v>
      </c>
      <c r="G14">
        <f>VLOOKUP($AE$11,tabela_chuva[#All],5,FALSE)</f>
        <v>2</v>
      </c>
    </row>
    <row r="15" spans="1:31" x14ac:dyDescent="0.3">
      <c r="A15">
        <f>$AD$11*7-2</f>
        <v>33</v>
      </c>
      <c r="B15" s="5" t="str">
        <f>_xlfn.CONCAT(TEXT(VLOOKUP($AD$11*7-2,Fonte!$A$2:$B$64,2,FALSE),"dd/mm/aaaa;####"),," (",VLOOKUP(_xlfn.CONCAT("Dia ",WEEKDAY(VLOOKUP($AD$11*7-2,Fonte!$A$2:$B$64,2,FALSE),16)),$Y$2:$Z$8,2,FALSE),")")</f>
        <v>08/09/2021 (Quarta)</v>
      </c>
      <c r="C15">
        <f>VLOOKUP($AE$11,tabela_maxima[#All],6,FALSE)</f>
        <v>24</v>
      </c>
      <c r="D15">
        <f>VLOOKUP($AE$11,tabela_minima[#All],6,FALSE)</f>
        <v>18</v>
      </c>
      <c r="E15">
        <f t="shared" si="5"/>
        <v>6</v>
      </c>
      <c r="F15">
        <f>VLOOKUP($AE$11,tabela_media[#All],6,FALSE)</f>
        <v>21</v>
      </c>
      <c r="G15">
        <f>VLOOKUP($AE$11,tabela_chuva[#All],6,FALSE)</f>
        <v>0</v>
      </c>
    </row>
    <row r="16" spans="1:31" x14ac:dyDescent="0.3">
      <c r="A16">
        <f>$AD$11*7-1</f>
        <v>34</v>
      </c>
      <c r="B16" s="5" t="str">
        <f>_xlfn.CONCAT(TEXT(VLOOKUP($AD$11*7-1,Fonte!$A$2:$B$64,2,FALSE),"dd/mm/aaaa;####"),," (",VLOOKUP(_xlfn.CONCAT("Dia ",WEEKDAY(VLOOKUP($AD$11*7-1,Fonte!$A$2:$B$64,2,FALSE),16)),$Y$2:$Z$8,2,FALSE),")")</f>
        <v>09/09/2021 (Quinta)</v>
      </c>
      <c r="C16">
        <f>VLOOKUP($AE$11,tabela_maxima[#All],7,FALSE)</f>
        <v>25</v>
      </c>
      <c r="D16">
        <f>VLOOKUP($AE$11,tabela_minima[],7,FALSE)</f>
        <v>18</v>
      </c>
      <c r="E16">
        <f t="shared" si="5"/>
        <v>7</v>
      </c>
      <c r="F16">
        <f>VLOOKUP($AE$11,tabela_media[],7,FALSE)</f>
        <v>22</v>
      </c>
      <c r="G16">
        <f>VLOOKUP($AE$11,tabela_chuva[],7,FALSE)</f>
        <v>15</v>
      </c>
    </row>
    <row r="17" spans="1:7" x14ac:dyDescent="0.3">
      <c r="A17">
        <f>$AD$11*7-0</f>
        <v>35</v>
      </c>
      <c r="B17" s="5" t="str">
        <f>_xlfn.CONCAT(TEXT(VLOOKUP($AD$11*7-0,Fonte!$A$2:$B$64,2,FALSE),"dd/mm/aaaa;####"),," (",VLOOKUP(_xlfn.CONCAT("Dia ",WEEKDAY(VLOOKUP($AD$11*7-0,Fonte!$A$2:$B$64,2,FALSE),16)),$Y$2:$Z$8,2,FALSE),")")</f>
        <v>10/09/2021 (Sexta)</v>
      </c>
      <c r="C17">
        <f>VLOOKUP($AE$11,tabela_maxima[#All],8,FALSE)</f>
        <v>25</v>
      </c>
      <c r="D17">
        <f>VLOOKUP($AE$11,tabela_minima[],8,FALSE)</f>
        <v>20</v>
      </c>
      <c r="E17">
        <f t="shared" si="5"/>
        <v>5</v>
      </c>
      <c r="F17">
        <f>VLOOKUP($AE$11,tabela_media[],8,FALSE)</f>
        <v>23</v>
      </c>
      <c r="G17">
        <f>VLOOKUP($AE$11,tabela_chuva[],8,FALSE)</f>
        <v>30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1BD3-1551-40C5-A70C-EA2FA0A78FC4}">
  <sheetPr codeName="Planilha9"/>
  <dimension ref="A1"/>
  <sheetViews>
    <sheetView showGridLines="0" showRowColHeaders="0" workbookViewId="0">
      <selection activeCell="C11" sqref="C11"/>
    </sheetView>
  </sheetViews>
  <sheetFormatPr defaultColWidth="8.88671875" defaultRowHeight="14.4" x14ac:dyDescent="0.3"/>
  <cols>
    <col min="1" max="16384" width="8.88671875" style="37"/>
  </cols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0BFD-8563-4746-8890-540DD458B61D}">
  <sheetPr codeName="Planilha1"/>
  <dimension ref="A1:Q64"/>
  <sheetViews>
    <sheetView zoomScale="130" zoomScaleNormal="130" workbookViewId="0">
      <selection activeCell="B23" sqref="B23"/>
    </sheetView>
  </sheetViews>
  <sheetFormatPr defaultRowHeight="14.4" x14ac:dyDescent="0.3"/>
  <cols>
    <col min="1" max="1" width="8.109375" bestFit="1" customWidth="1"/>
    <col min="2" max="2" width="15.88671875" bestFit="1" customWidth="1"/>
    <col min="3" max="3" width="27.6640625" bestFit="1" customWidth="1"/>
    <col min="4" max="4" width="27.5546875" customWidth="1"/>
    <col min="5" max="5" width="26.109375" bestFit="1" customWidth="1"/>
    <col min="6" max="6" width="10.5546875" bestFit="1" customWidth="1"/>
    <col min="7" max="7" width="18.6640625" style="18" bestFit="1" customWidth="1"/>
    <col min="9" max="9" width="8.88671875" style="7"/>
  </cols>
  <sheetData>
    <row r="1" spans="1:17" x14ac:dyDescent="0.3">
      <c r="A1" s="2" t="s">
        <v>0</v>
      </c>
      <c r="B1" s="2" t="s">
        <v>43</v>
      </c>
      <c r="C1" s="2" t="s">
        <v>40</v>
      </c>
      <c r="D1" s="2" t="s">
        <v>39</v>
      </c>
      <c r="E1" s="2" t="s">
        <v>42</v>
      </c>
      <c r="F1" s="2" t="s">
        <v>38</v>
      </c>
      <c r="G1"/>
      <c r="I1"/>
      <c r="Q1" s="4"/>
    </row>
    <row r="2" spans="1:17" x14ac:dyDescent="0.3">
      <c r="A2" s="3">
        <v>1</v>
      </c>
      <c r="B2" s="3">
        <v>0</v>
      </c>
      <c r="C2" s="3">
        <v>16</v>
      </c>
      <c r="D2" s="3">
        <v>22</v>
      </c>
      <c r="E2" s="3">
        <f>ROUND(AVERAGE(Tabela1[[#This Row],[Temperatura máxima (Cº)]],Tabela1[[#This Row],[Temperatura mímima (Cº)]]),0)</f>
        <v>19</v>
      </c>
      <c r="F2" s="6" t="e">
        <f>VLOOKUP(Tabela1[[#This Row],[Dia]],Fonte!#REF!,2,FALSE)</f>
        <v>#REF!</v>
      </c>
      <c r="G2"/>
      <c r="I2"/>
    </row>
    <row r="3" spans="1:17" x14ac:dyDescent="0.3">
      <c r="A3" s="1">
        <v>2</v>
      </c>
      <c r="B3" s="1">
        <v>0</v>
      </c>
      <c r="C3" s="1">
        <v>16</v>
      </c>
      <c r="D3" s="1">
        <v>26</v>
      </c>
      <c r="E3" s="3">
        <f>ROUND(AVERAGE(Tabela1[[#This Row],[Temperatura máxima (Cº)]],Tabela1[[#This Row],[Temperatura mímima (Cº)]]),0)</f>
        <v>21</v>
      </c>
      <c r="F3" s="6" t="e">
        <f>VLOOKUP(Tabela1[[#This Row],[Dia]],Fonte!#REF!,2,FALSE)</f>
        <v>#REF!</v>
      </c>
      <c r="G3"/>
      <c r="I3"/>
    </row>
    <row r="4" spans="1:17" x14ac:dyDescent="0.3">
      <c r="A4" s="1">
        <v>3</v>
      </c>
      <c r="B4" s="1">
        <v>0</v>
      </c>
      <c r="C4" s="1">
        <v>16</v>
      </c>
      <c r="D4" s="1">
        <v>28</v>
      </c>
      <c r="E4" s="3">
        <f>ROUND(AVERAGE(Tabela1[[#This Row],[Temperatura máxima (Cº)]],Tabela1[[#This Row],[Temperatura mímima (Cº)]]),0)</f>
        <v>22</v>
      </c>
      <c r="F4" s="6" t="e">
        <f>VLOOKUP(Tabela1[[#This Row],[Dia]],Fonte!#REF!,2,FALSE)</f>
        <v>#REF!</v>
      </c>
      <c r="G4"/>
      <c r="I4"/>
    </row>
    <row r="5" spans="1:17" x14ac:dyDescent="0.3">
      <c r="A5" s="1">
        <v>4</v>
      </c>
      <c r="B5" s="1">
        <v>0</v>
      </c>
      <c r="C5" s="1">
        <v>16</v>
      </c>
      <c r="D5" s="1">
        <v>32</v>
      </c>
      <c r="E5" s="3">
        <f>ROUND(AVERAGE(Tabela1[[#This Row],[Temperatura máxima (Cº)]],Tabela1[[#This Row],[Temperatura mímima (Cº)]]),0)</f>
        <v>24</v>
      </c>
      <c r="F5" s="6" t="e">
        <f>VLOOKUP(Tabela1[[#This Row],[Dia]],Fonte!#REF!,2,FALSE)</f>
        <v>#REF!</v>
      </c>
      <c r="G5"/>
      <c r="I5"/>
    </row>
    <row r="6" spans="1:17" x14ac:dyDescent="0.3">
      <c r="A6" s="1">
        <v>5</v>
      </c>
      <c r="B6" s="1">
        <v>15</v>
      </c>
      <c r="C6" s="1">
        <v>16</v>
      </c>
      <c r="D6" s="1">
        <v>23</v>
      </c>
      <c r="E6" s="3">
        <f>ROUND(AVERAGE(Tabela1[[#This Row],[Temperatura máxima (Cº)]],Tabela1[[#This Row],[Temperatura mímima (Cº)]]),0)</f>
        <v>20</v>
      </c>
      <c r="F6" s="6" t="e">
        <f>VLOOKUP(Tabela1[[#This Row],[Dia]],Fonte!#REF!,2,FALSE)</f>
        <v>#REF!</v>
      </c>
      <c r="G6"/>
      <c r="I6"/>
    </row>
    <row r="7" spans="1:17" x14ac:dyDescent="0.3">
      <c r="A7" s="1">
        <v>6</v>
      </c>
      <c r="B7" s="1">
        <v>40</v>
      </c>
      <c r="C7" s="1">
        <v>16</v>
      </c>
      <c r="D7" s="1">
        <v>20</v>
      </c>
      <c r="E7" s="3">
        <f>ROUND(AVERAGE(Tabela1[[#This Row],[Temperatura máxima (Cº)]],Tabela1[[#This Row],[Temperatura mímima (Cº)]]),0)</f>
        <v>18</v>
      </c>
      <c r="F7" s="6" t="e">
        <f>VLOOKUP(Tabela1[[#This Row],[Dia]],Fonte!#REF!,2,FALSE)</f>
        <v>#REF!</v>
      </c>
      <c r="G7"/>
      <c r="I7"/>
    </row>
    <row r="8" spans="1:17" x14ac:dyDescent="0.3">
      <c r="A8" s="1">
        <v>7</v>
      </c>
      <c r="B8" s="1">
        <v>35</v>
      </c>
      <c r="C8" s="1">
        <v>16</v>
      </c>
      <c r="D8" s="1">
        <v>22</v>
      </c>
      <c r="E8" s="3">
        <f>ROUND(AVERAGE(Tabela1[[#This Row],[Temperatura máxima (Cº)]],Tabela1[[#This Row],[Temperatura mímima (Cº)]]),0)</f>
        <v>19</v>
      </c>
      <c r="F8" s="6" t="e">
        <f>VLOOKUP(Tabela1[[#This Row],[Dia]],Fonte!#REF!,2,FALSE)</f>
        <v>#REF!</v>
      </c>
      <c r="G8"/>
      <c r="I8"/>
    </row>
    <row r="9" spans="1:17" x14ac:dyDescent="0.3">
      <c r="A9" s="1">
        <v>8</v>
      </c>
      <c r="B9" s="1">
        <v>20</v>
      </c>
      <c r="C9" s="1">
        <v>16</v>
      </c>
      <c r="D9" s="1">
        <v>25</v>
      </c>
      <c r="E9" s="3">
        <f>ROUND(AVERAGE(Tabela1[[#This Row],[Temperatura máxima (Cº)]],Tabela1[[#This Row],[Temperatura mímima (Cº)]]),0)</f>
        <v>21</v>
      </c>
      <c r="F9" s="6" t="e">
        <f>VLOOKUP(Tabela1[[#This Row],[Dia]],Fonte!#REF!,2,FALSE)</f>
        <v>#REF!</v>
      </c>
      <c r="G9"/>
      <c r="I9"/>
    </row>
    <row r="10" spans="1:17" x14ac:dyDescent="0.3">
      <c r="A10" s="1">
        <v>9</v>
      </c>
      <c r="B10" s="1">
        <v>10</v>
      </c>
      <c r="C10" s="1">
        <v>18</v>
      </c>
      <c r="D10" s="1">
        <v>28</v>
      </c>
      <c r="E10" s="3">
        <f>ROUND(AVERAGE(Tabela1[[#This Row],[Temperatura máxima (Cº)]],Tabela1[[#This Row],[Temperatura mímima (Cº)]]),0)</f>
        <v>23</v>
      </c>
      <c r="F10" s="6" t="e">
        <f>VLOOKUP(Tabela1[[#This Row],[Dia]],Fonte!#REF!,2,FALSE)</f>
        <v>#REF!</v>
      </c>
      <c r="G10"/>
      <c r="I10"/>
    </row>
    <row r="11" spans="1:17" x14ac:dyDescent="0.3">
      <c r="A11" s="1">
        <v>10</v>
      </c>
      <c r="B11" s="1">
        <v>20</v>
      </c>
      <c r="C11" s="1">
        <v>19</v>
      </c>
      <c r="D11" s="1">
        <v>24</v>
      </c>
      <c r="E11" s="3">
        <f>ROUND(AVERAGE(Tabela1[[#This Row],[Temperatura máxima (Cº)]],Tabela1[[#This Row],[Temperatura mímima (Cº)]]),0)</f>
        <v>22</v>
      </c>
      <c r="F11" s="6" t="e">
        <f>VLOOKUP(Tabela1[[#This Row],[Dia]],Fonte!#REF!,2,FALSE)</f>
        <v>#REF!</v>
      </c>
      <c r="G11"/>
      <c r="I11"/>
    </row>
    <row r="12" spans="1:17" x14ac:dyDescent="0.3">
      <c r="A12" s="1">
        <v>11</v>
      </c>
      <c r="B12" s="1">
        <v>0</v>
      </c>
      <c r="C12" s="1">
        <v>18</v>
      </c>
      <c r="D12" s="1">
        <v>26</v>
      </c>
      <c r="E12" s="3">
        <f>ROUND(AVERAGE(Tabela1[[#This Row],[Temperatura máxima (Cº)]],Tabela1[[#This Row],[Temperatura mímima (Cº)]]),0)</f>
        <v>22</v>
      </c>
      <c r="F12" s="6" t="e">
        <f>VLOOKUP(Tabela1[[#This Row],[Dia]],Fonte!#REF!,2,FALSE)</f>
        <v>#REF!</v>
      </c>
      <c r="G12"/>
      <c r="I12"/>
    </row>
    <row r="13" spans="1:17" x14ac:dyDescent="0.3">
      <c r="A13" s="1">
        <v>12</v>
      </c>
      <c r="B13" s="1">
        <v>0</v>
      </c>
      <c r="C13" s="1">
        <v>18</v>
      </c>
      <c r="D13" s="1">
        <v>27</v>
      </c>
      <c r="E13" s="3">
        <f>ROUND(AVERAGE(Tabela1[[#This Row],[Temperatura máxima (Cº)]],Tabela1[[#This Row],[Temperatura mímima (Cº)]]),0)</f>
        <v>23</v>
      </c>
      <c r="F13" s="6" t="e">
        <f>VLOOKUP(Tabela1[[#This Row],[Dia]],Fonte!#REF!,2,FALSE)</f>
        <v>#REF!</v>
      </c>
      <c r="G13"/>
      <c r="I13"/>
    </row>
    <row r="14" spans="1:17" x14ac:dyDescent="0.3">
      <c r="A14" s="1">
        <v>13</v>
      </c>
      <c r="B14" s="1">
        <v>0</v>
      </c>
      <c r="C14" s="1">
        <v>19</v>
      </c>
      <c r="D14" s="1">
        <v>27</v>
      </c>
      <c r="E14" s="3">
        <f>ROUND(AVERAGE(Tabela1[[#This Row],[Temperatura máxima (Cº)]],Tabela1[[#This Row],[Temperatura mímima (Cº)]]),0)</f>
        <v>23</v>
      </c>
      <c r="F14" s="6" t="e">
        <f>VLOOKUP(Tabela1[[#This Row],[Dia]],Fonte!#REF!,2,FALSE)</f>
        <v>#REF!</v>
      </c>
      <c r="G14"/>
      <c r="I14"/>
    </row>
    <row r="15" spans="1:17" x14ac:dyDescent="0.3">
      <c r="A15" s="1">
        <v>14</v>
      </c>
      <c r="B15" s="1">
        <v>0</v>
      </c>
      <c r="C15" s="1">
        <v>21</v>
      </c>
      <c r="D15" s="1">
        <v>33</v>
      </c>
      <c r="E15" s="3">
        <f>ROUND(AVERAGE(Tabela1[[#This Row],[Temperatura máxima (Cº)]],Tabela1[[#This Row],[Temperatura mímima (Cº)]]),0)</f>
        <v>27</v>
      </c>
      <c r="F15" s="6" t="e">
        <f>VLOOKUP(Tabela1[[#This Row],[Dia]],Fonte!#REF!,2,FALSE)</f>
        <v>#REF!</v>
      </c>
      <c r="G15"/>
      <c r="I15"/>
    </row>
    <row r="16" spans="1:17" x14ac:dyDescent="0.3">
      <c r="A16" s="1">
        <v>15</v>
      </c>
      <c r="B16" s="1">
        <v>0</v>
      </c>
      <c r="C16" s="1">
        <v>20</v>
      </c>
      <c r="D16" s="1">
        <v>24</v>
      </c>
      <c r="E16" s="3">
        <f>ROUND(AVERAGE(Tabela1[[#This Row],[Temperatura máxima (Cº)]],Tabela1[[#This Row],[Temperatura mímima (Cº)]]),0)</f>
        <v>22</v>
      </c>
      <c r="F16" s="6" t="e">
        <f>VLOOKUP(Tabela1[[#This Row],[Dia]],Fonte!#REF!,2,FALSE)</f>
        <v>#REF!</v>
      </c>
      <c r="G16"/>
      <c r="I16"/>
    </row>
    <row r="17" spans="1:9" x14ac:dyDescent="0.3">
      <c r="A17" s="1">
        <v>16</v>
      </c>
      <c r="B17" s="1">
        <v>0</v>
      </c>
      <c r="C17" s="1">
        <v>20</v>
      </c>
      <c r="D17" s="1">
        <v>28</v>
      </c>
      <c r="E17" s="3">
        <f>ROUND(AVERAGE(Tabela1[[#This Row],[Temperatura máxima (Cº)]],Tabela1[[#This Row],[Temperatura mímima (Cº)]]),0)</f>
        <v>24</v>
      </c>
      <c r="F17" s="6" t="e">
        <f>VLOOKUP(Tabela1[[#This Row],[Dia]],Fonte!#REF!,2,FALSE)</f>
        <v>#REF!</v>
      </c>
      <c r="G17"/>
      <c r="I17"/>
    </row>
    <row r="18" spans="1:9" x14ac:dyDescent="0.3">
      <c r="A18" s="1">
        <v>17</v>
      </c>
      <c r="B18" s="1">
        <v>0</v>
      </c>
      <c r="C18" s="1">
        <v>21</v>
      </c>
      <c r="D18" s="1">
        <v>34</v>
      </c>
      <c r="E18" s="3">
        <f>ROUND(AVERAGE(Tabela1[[#This Row],[Temperatura máxima (Cº)]],Tabela1[[#This Row],[Temperatura mímima (Cº)]]),0)</f>
        <v>28</v>
      </c>
      <c r="F18" s="6" t="e">
        <f>VLOOKUP(Tabela1[[#This Row],[Dia]],Fonte!#REF!,2,FALSE)</f>
        <v>#REF!</v>
      </c>
      <c r="G18"/>
      <c r="I18"/>
    </row>
    <row r="19" spans="1:9" x14ac:dyDescent="0.3">
      <c r="A19" s="1">
        <v>18</v>
      </c>
      <c r="B19" s="1">
        <v>0</v>
      </c>
      <c r="C19" s="1">
        <v>22</v>
      </c>
      <c r="D19" s="1">
        <v>32</v>
      </c>
      <c r="E19" s="3">
        <f>ROUND(AVERAGE(Tabela1[[#This Row],[Temperatura máxima (Cº)]],Tabela1[[#This Row],[Temperatura mímima (Cº)]]),0)</f>
        <v>27</v>
      </c>
      <c r="F19" s="6" t="e">
        <f>VLOOKUP(Tabela1[[#This Row],[Dia]],Fonte!#REF!,2,FALSE)</f>
        <v>#REF!</v>
      </c>
      <c r="G19"/>
      <c r="I19"/>
    </row>
    <row r="20" spans="1:9" x14ac:dyDescent="0.3">
      <c r="A20" s="1">
        <v>19</v>
      </c>
      <c r="B20" s="1">
        <v>0</v>
      </c>
      <c r="C20" s="1">
        <v>23</v>
      </c>
      <c r="D20" s="1">
        <v>37</v>
      </c>
      <c r="E20" s="3">
        <f>ROUND(AVERAGE(Tabela1[[#This Row],[Temperatura máxima (Cº)]],Tabela1[[#This Row],[Temperatura mímima (Cº)]]),0)</f>
        <v>30</v>
      </c>
      <c r="F20" s="6" t="e">
        <f>VLOOKUP(Tabela1[[#This Row],[Dia]],Fonte!#REF!,2,FALSE)</f>
        <v>#REF!</v>
      </c>
      <c r="G20"/>
      <c r="I20"/>
    </row>
    <row r="21" spans="1:9" x14ac:dyDescent="0.3">
      <c r="A21" s="1">
        <v>20</v>
      </c>
      <c r="B21" s="1">
        <v>5</v>
      </c>
      <c r="C21" s="1">
        <v>20</v>
      </c>
      <c r="D21" s="1">
        <v>33</v>
      </c>
      <c r="E21" s="3">
        <f>ROUND(AVERAGE(Tabela1[[#This Row],[Temperatura máxima (Cº)]],Tabela1[[#This Row],[Temperatura mímima (Cº)]]),0)</f>
        <v>27</v>
      </c>
      <c r="F21" s="6" t="e">
        <f>VLOOKUP(Tabela1[[#This Row],[Dia]],Fonte!#REF!,2,FALSE)</f>
        <v>#REF!</v>
      </c>
      <c r="G21"/>
      <c r="I21"/>
    </row>
    <row r="22" spans="1:9" x14ac:dyDescent="0.3">
      <c r="A22" s="1">
        <v>21</v>
      </c>
      <c r="B22" s="1">
        <v>25</v>
      </c>
      <c r="C22" s="1">
        <v>18</v>
      </c>
      <c r="D22" s="1">
        <v>22</v>
      </c>
      <c r="E22" s="3">
        <f>ROUND(AVERAGE(Tabela1[[#This Row],[Temperatura máxima (Cº)]],Tabela1[[#This Row],[Temperatura mímima (Cº)]]),0)</f>
        <v>20</v>
      </c>
      <c r="F22" s="6" t="e">
        <f>VLOOKUP(Tabela1[[#This Row],[Dia]],Fonte!#REF!,2,FALSE)</f>
        <v>#REF!</v>
      </c>
      <c r="G22"/>
      <c r="I22"/>
    </row>
    <row r="23" spans="1:9" x14ac:dyDescent="0.3">
      <c r="A23" s="1">
        <v>22</v>
      </c>
      <c r="B23" s="1">
        <v>35</v>
      </c>
      <c r="C23" s="1">
        <v>16</v>
      </c>
      <c r="D23" s="1">
        <v>22</v>
      </c>
      <c r="E23" s="3">
        <f>ROUND(AVERAGE(Tabela1[[#This Row],[Temperatura máxima (Cº)]],Tabela1[[#This Row],[Temperatura mímima (Cº)]]),0)</f>
        <v>19</v>
      </c>
      <c r="F23" s="6" t="e">
        <f>VLOOKUP(Tabela1[[#This Row],[Dia]],Fonte!#REF!,2,FALSE)</f>
        <v>#REF!</v>
      </c>
      <c r="G23"/>
      <c r="I23"/>
    </row>
    <row r="24" spans="1:9" x14ac:dyDescent="0.3">
      <c r="A24" s="1">
        <v>23</v>
      </c>
      <c r="B24" s="1">
        <v>30</v>
      </c>
      <c r="C24" s="1">
        <v>17</v>
      </c>
      <c r="D24" s="1">
        <v>22</v>
      </c>
      <c r="E24" s="3">
        <f>ROUND(AVERAGE(Tabela1[[#This Row],[Temperatura máxima (Cº)]],Tabela1[[#This Row],[Temperatura mímima (Cº)]]),0)</f>
        <v>20</v>
      </c>
      <c r="F24" s="6" t="e">
        <f>VLOOKUP(Tabela1[[#This Row],[Dia]],Fonte!#REF!,2,FALSE)</f>
        <v>#REF!</v>
      </c>
      <c r="G24"/>
      <c r="I24"/>
    </row>
    <row r="25" spans="1:9" x14ac:dyDescent="0.3">
      <c r="A25" s="1">
        <v>24</v>
      </c>
      <c r="B25" s="1">
        <v>15</v>
      </c>
      <c r="C25" s="1">
        <v>17</v>
      </c>
      <c r="D25" s="1">
        <v>22</v>
      </c>
      <c r="E25" s="3">
        <f>ROUND(AVERAGE(Tabela1[[#This Row],[Temperatura máxima (Cº)]],Tabela1[[#This Row],[Temperatura mímima (Cº)]]),0)</f>
        <v>20</v>
      </c>
      <c r="F25" s="6" t="e">
        <f>VLOOKUP(Tabela1[[#This Row],[Dia]],Fonte!#REF!,2,FALSE)</f>
        <v>#REF!</v>
      </c>
      <c r="G25"/>
      <c r="I25"/>
    </row>
    <row r="26" spans="1:9" x14ac:dyDescent="0.3">
      <c r="A26" s="1">
        <v>25</v>
      </c>
      <c r="B26" s="1">
        <v>5</v>
      </c>
      <c r="C26" s="1">
        <v>16</v>
      </c>
      <c r="D26" s="1">
        <v>24</v>
      </c>
      <c r="E26" s="3">
        <f>ROUND(AVERAGE(Tabela1[[#This Row],[Temperatura máxima (Cº)]],Tabela1[[#This Row],[Temperatura mímima (Cº)]]),0)</f>
        <v>20</v>
      </c>
      <c r="F26" s="6" t="e">
        <f>VLOOKUP(Tabela1[[#This Row],[Dia]],Fonte!#REF!,2,FALSE)</f>
        <v>#REF!</v>
      </c>
      <c r="G26"/>
      <c r="I26"/>
    </row>
    <row r="27" spans="1:9" x14ac:dyDescent="0.3">
      <c r="A27" s="1">
        <v>26</v>
      </c>
      <c r="B27" s="1">
        <v>0</v>
      </c>
      <c r="C27" s="1">
        <v>18</v>
      </c>
      <c r="D27" s="1">
        <v>28</v>
      </c>
      <c r="E27" s="3">
        <f>ROUND(AVERAGE(Tabela1[[#This Row],[Temperatura máxima (Cº)]],Tabela1[[#This Row],[Temperatura mímima (Cº)]]),0)</f>
        <v>23</v>
      </c>
      <c r="F27" s="6" t="e">
        <f>VLOOKUP(Tabela1[[#This Row],[Dia]],Fonte!#REF!,2,FALSE)</f>
        <v>#REF!</v>
      </c>
      <c r="G27"/>
      <c r="I27"/>
    </row>
    <row r="28" spans="1:9" x14ac:dyDescent="0.3">
      <c r="A28" s="1">
        <v>27</v>
      </c>
      <c r="B28" s="1">
        <v>0</v>
      </c>
      <c r="C28" s="1">
        <v>18</v>
      </c>
      <c r="D28" s="1">
        <v>27</v>
      </c>
      <c r="E28" s="3">
        <f>ROUND(AVERAGE(Tabela1[[#This Row],[Temperatura máxima (Cº)]],Tabela1[[#This Row],[Temperatura mímima (Cº)]]),0)</f>
        <v>23</v>
      </c>
      <c r="F28" s="6" t="e">
        <f>VLOOKUP(Tabela1[[#This Row],[Dia]],Fonte!#REF!,2,FALSE)</f>
        <v>#REF!</v>
      </c>
      <c r="G28"/>
      <c r="I28"/>
    </row>
    <row r="29" spans="1:9" x14ac:dyDescent="0.3">
      <c r="A29" s="1">
        <v>28</v>
      </c>
      <c r="B29" s="1">
        <v>0</v>
      </c>
      <c r="C29" s="1">
        <v>19</v>
      </c>
      <c r="D29" s="1">
        <v>27</v>
      </c>
      <c r="E29" s="3">
        <f>ROUND(AVERAGE(Tabela1[[#This Row],[Temperatura máxima (Cº)]],Tabela1[[#This Row],[Temperatura mímima (Cº)]]),0)</f>
        <v>23</v>
      </c>
      <c r="F29" s="6" t="e">
        <f>VLOOKUP(Tabela1[[#This Row],[Dia]],Fonte!#REF!,2,FALSE)</f>
        <v>#REF!</v>
      </c>
      <c r="G29"/>
      <c r="I29"/>
    </row>
    <row r="30" spans="1:9" x14ac:dyDescent="0.3">
      <c r="A30" s="1">
        <v>29</v>
      </c>
      <c r="B30" s="1">
        <v>0</v>
      </c>
      <c r="C30" s="1">
        <v>18</v>
      </c>
      <c r="D30" s="1">
        <v>28</v>
      </c>
      <c r="E30" s="3">
        <f>ROUND(AVERAGE(Tabela1[[#This Row],[Temperatura máxima (Cº)]],Tabela1[[#This Row],[Temperatura mímima (Cº)]]),0)</f>
        <v>23</v>
      </c>
      <c r="F30" s="6" t="e">
        <f>VLOOKUP(Tabela1[[#This Row],[Dia]],Fonte!#REF!,2,FALSE)</f>
        <v>#REF!</v>
      </c>
      <c r="G30"/>
      <c r="I30"/>
    </row>
    <row r="31" spans="1:9" x14ac:dyDescent="0.3">
      <c r="A31" s="1">
        <v>30</v>
      </c>
      <c r="B31" s="1">
        <v>2</v>
      </c>
      <c r="C31" s="1">
        <v>20</v>
      </c>
      <c r="D31" s="1">
        <v>25</v>
      </c>
      <c r="E31" s="3">
        <f>ROUND(AVERAGE(Tabela1[[#This Row],[Temperatura máxima (Cº)]],Tabela1[[#This Row],[Temperatura mímima (Cº)]]),0)</f>
        <v>23</v>
      </c>
      <c r="F31" s="6" t="e">
        <f>VLOOKUP(Tabela1[[#This Row],[Dia]],Fonte!#REF!,2,FALSE)</f>
        <v>#REF!</v>
      </c>
      <c r="G31"/>
      <c r="I31"/>
    </row>
    <row r="32" spans="1:9" x14ac:dyDescent="0.3">
      <c r="A32" s="1">
        <v>31</v>
      </c>
      <c r="B32" s="1">
        <v>2</v>
      </c>
      <c r="C32" s="1">
        <v>18</v>
      </c>
      <c r="D32" s="1">
        <v>26</v>
      </c>
      <c r="E32" s="3">
        <f>ROUND(AVERAGE(Tabela1[[#This Row],[Temperatura máxima (Cº)]],Tabela1[[#This Row],[Temperatura mímima (Cº)]]),0)</f>
        <v>22</v>
      </c>
      <c r="F32" s="6" t="e">
        <f>VLOOKUP(Tabela1[[#This Row],[Dia]],Fonte!#REF!,2,FALSE)</f>
        <v>#REF!</v>
      </c>
      <c r="G32" s="8"/>
    </row>
    <row r="33" spans="1:7" x14ac:dyDescent="0.3">
      <c r="A33" s="1">
        <v>32</v>
      </c>
      <c r="B33" s="1">
        <v>2</v>
      </c>
      <c r="C33" s="1">
        <v>18</v>
      </c>
      <c r="D33" s="1">
        <v>24</v>
      </c>
      <c r="E33" s="3">
        <f>ROUND(AVERAGE(Tabela1[[#This Row],[Temperatura máxima (Cº)]],Tabela1[[#This Row],[Temperatura mímima (Cº)]]),0)</f>
        <v>21</v>
      </c>
      <c r="F33" s="6" t="e">
        <f>VLOOKUP(Tabela1[[#This Row],[Dia]],Fonte!#REF!,2,FALSE)</f>
        <v>#REF!</v>
      </c>
      <c r="G33" s="8"/>
    </row>
    <row r="34" spans="1:7" x14ac:dyDescent="0.3">
      <c r="A34" s="1">
        <v>33</v>
      </c>
      <c r="B34" s="1">
        <v>0</v>
      </c>
      <c r="C34" s="1">
        <v>18</v>
      </c>
      <c r="D34" s="1">
        <v>24</v>
      </c>
      <c r="E34" s="3">
        <f>ROUND(AVERAGE(Tabela1[[#This Row],[Temperatura máxima (Cº)]],Tabela1[[#This Row],[Temperatura mímima (Cº)]]),0)</f>
        <v>21</v>
      </c>
      <c r="F34" s="6" t="e">
        <f>VLOOKUP(Tabela1[[#This Row],[Dia]],Fonte!#REF!,2,FALSE)</f>
        <v>#REF!</v>
      </c>
    </row>
    <row r="35" spans="1:7" x14ac:dyDescent="0.3">
      <c r="A35" s="1">
        <v>34</v>
      </c>
      <c r="B35" s="1">
        <v>15</v>
      </c>
      <c r="C35" s="1">
        <v>18</v>
      </c>
      <c r="D35" s="1">
        <v>25</v>
      </c>
      <c r="E35" s="3">
        <f>ROUND(AVERAGE(Tabela1[[#This Row],[Temperatura máxima (Cº)]],Tabela1[[#This Row],[Temperatura mímima (Cº)]]),0)</f>
        <v>22</v>
      </c>
      <c r="F35" s="6" t="e">
        <f>VLOOKUP(Tabela1[[#This Row],[Dia]],Fonte!#REF!,2,FALSE)</f>
        <v>#REF!</v>
      </c>
    </row>
    <row r="36" spans="1:7" x14ac:dyDescent="0.3">
      <c r="A36" s="1">
        <v>35</v>
      </c>
      <c r="B36" s="1">
        <v>30</v>
      </c>
      <c r="C36" s="1">
        <v>20</v>
      </c>
      <c r="D36" s="1">
        <v>25</v>
      </c>
      <c r="E36" s="3">
        <f>ROUND(AVERAGE(Tabela1[[#This Row],[Temperatura máxima (Cº)]],Tabela1[[#This Row],[Temperatura mímima (Cº)]]),0)</f>
        <v>23</v>
      </c>
      <c r="F36" s="6" t="e">
        <f>VLOOKUP(Tabela1[[#This Row],[Dia]],Fonte!#REF!,2,FALSE)</f>
        <v>#REF!</v>
      </c>
    </row>
    <row r="37" spans="1:7" x14ac:dyDescent="0.3">
      <c r="A37" s="1">
        <v>36</v>
      </c>
      <c r="B37" s="1">
        <v>10</v>
      </c>
      <c r="C37" s="1">
        <v>19</v>
      </c>
      <c r="D37" s="1">
        <v>24</v>
      </c>
      <c r="E37" s="3">
        <f>ROUND(AVERAGE(Tabela1[[#This Row],[Temperatura máxima (Cº)]],Tabela1[[#This Row],[Temperatura mímima (Cº)]]),0)</f>
        <v>22</v>
      </c>
      <c r="F37" s="6" t="e">
        <f>VLOOKUP(Tabela1[[#This Row],[Dia]],Fonte!#REF!,2,FALSE)</f>
        <v>#REF!</v>
      </c>
    </row>
    <row r="38" spans="1:7" x14ac:dyDescent="0.3">
      <c r="A38" s="1">
        <v>37</v>
      </c>
      <c r="B38" s="1">
        <v>0</v>
      </c>
      <c r="C38" s="1">
        <v>18</v>
      </c>
      <c r="D38" s="1">
        <v>27</v>
      </c>
      <c r="E38" s="3">
        <f>ROUND(AVERAGE(Tabela1[[#This Row],[Temperatura máxima (Cº)]],Tabela1[[#This Row],[Temperatura mímima (Cº)]]),0)</f>
        <v>23</v>
      </c>
      <c r="F38" s="6" t="e">
        <f>VLOOKUP(Tabela1[[#This Row],[Dia]],Fonte!#REF!,2,FALSE)</f>
        <v>#REF!</v>
      </c>
    </row>
    <row r="39" spans="1:7" x14ac:dyDescent="0.3">
      <c r="A39" s="1">
        <v>38</v>
      </c>
      <c r="B39" s="1">
        <v>0</v>
      </c>
      <c r="C39" s="1">
        <v>20</v>
      </c>
      <c r="D39" s="1">
        <v>28</v>
      </c>
      <c r="E39" s="3">
        <f>ROUND(AVERAGE(Tabela1[[#This Row],[Temperatura máxima (Cº)]],Tabela1[[#This Row],[Temperatura mímima (Cº)]]),0)</f>
        <v>24</v>
      </c>
      <c r="F39" s="6" t="e">
        <f>VLOOKUP(Tabela1[[#This Row],[Dia]],Fonte!#REF!,2,FALSE)</f>
        <v>#REF!</v>
      </c>
    </row>
    <row r="40" spans="1:7" x14ac:dyDescent="0.3">
      <c r="A40" s="1">
        <v>39</v>
      </c>
      <c r="B40" s="1">
        <v>8</v>
      </c>
      <c r="C40" s="1">
        <v>23</v>
      </c>
      <c r="D40" s="1">
        <v>38</v>
      </c>
      <c r="E40" s="3">
        <f>ROUND(AVERAGE(Tabela1[[#This Row],[Temperatura máxima (Cº)]],Tabela1[[#This Row],[Temperatura mímima (Cº)]]),0)</f>
        <v>31</v>
      </c>
      <c r="F40" s="6" t="e">
        <f>VLOOKUP(Tabela1[[#This Row],[Dia]],Fonte!#REF!,2,FALSE)</f>
        <v>#REF!</v>
      </c>
    </row>
    <row r="41" spans="1:7" x14ac:dyDescent="0.3">
      <c r="A41" s="1">
        <v>40</v>
      </c>
      <c r="B41" s="1">
        <v>15</v>
      </c>
      <c r="C41" s="1">
        <v>18</v>
      </c>
      <c r="D41" s="1">
        <v>24</v>
      </c>
      <c r="E41" s="3">
        <f>ROUND(AVERAGE(Tabela1[[#This Row],[Temperatura máxima (Cº)]],Tabela1[[#This Row],[Temperatura mímima (Cº)]]),0)</f>
        <v>21</v>
      </c>
      <c r="F41" s="6" t="e">
        <f>VLOOKUP(Tabela1[[#This Row],[Dia]],Fonte!#REF!,2,FALSE)</f>
        <v>#REF!</v>
      </c>
    </row>
    <row r="42" spans="1:7" x14ac:dyDescent="0.3">
      <c r="A42" s="1">
        <v>41</v>
      </c>
      <c r="B42" s="1">
        <v>35</v>
      </c>
      <c r="C42" s="1">
        <v>19</v>
      </c>
      <c r="D42" s="1">
        <v>22</v>
      </c>
      <c r="E42" s="3">
        <f>ROUND(AVERAGE(Tabela1[[#This Row],[Temperatura máxima (Cº)]],Tabela1[[#This Row],[Temperatura mímima (Cº)]]),0)</f>
        <v>21</v>
      </c>
      <c r="F42" s="6" t="e">
        <f>VLOOKUP(Tabela1[[#This Row],[Dia]],Fonte!#REF!,2,FALSE)</f>
        <v>#REF!</v>
      </c>
    </row>
    <row r="43" spans="1:7" x14ac:dyDescent="0.3">
      <c r="A43" s="1">
        <v>42</v>
      </c>
      <c r="B43" s="1">
        <v>10</v>
      </c>
      <c r="C43" s="1">
        <v>18</v>
      </c>
      <c r="D43" s="1">
        <v>23</v>
      </c>
      <c r="E43" s="3">
        <f>ROUND(AVERAGE(Tabela1[[#This Row],[Temperatura máxima (Cº)]],Tabela1[[#This Row],[Temperatura mímima (Cº)]]),0)</f>
        <v>21</v>
      </c>
      <c r="F43" s="6" t="e">
        <f>VLOOKUP(Tabela1[[#This Row],[Dia]],Fonte!#REF!,2,FALSE)</f>
        <v>#REF!</v>
      </c>
    </row>
    <row r="44" spans="1:7" x14ac:dyDescent="0.3">
      <c r="A44" s="1">
        <v>43</v>
      </c>
      <c r="B44" s="1">
        <v>2</v>
      </c>
      <c r="C44" s="1">
        <v>19</v>
      </c>
      <c r="D44" s="1">
        <v>23</v>
      </c>
      <c r="E44" s="3">
        <f>ROUND(AVERAGE(Tabela1[[#This Row],[Temperatura máxima (Cº)]],Tabela1[[#This Row],[Temperatura mímima (Cº)]]),0)</f>
        <v>21</v>
      </c>
      <c r="F44" s="6" t="e">
        <f>VLOOKUP(Tabela1[[#This Row],[Dia]],Fonte!#REF!,2,FALSE)</f>
        <v>#REF!</v>
      </c>
    </row>
    <row r="45" spans="1:7" x14ac:dyDescent="0.3">
      <c r="A45" s="1">
        <v>44</v>
      </c>
      <c r="B45" s="1">
        <v>0</v>
      </c>
      <c r="C45" s="1">
        <v>20</v>
      </c>
      <c r="D45" s="1">
        <v>24</v>
      </c>
      <c r="E45" s="3">
        <f>ROUND(AVERAGE(Tabela1[[#This Row],[Temperatura máxima (Cº)]],Tabela1[[#This Row],[Temperatura mímima (Cº)]]),0)</f>
        <v>22</v>
      </c>
      <c r="F45" s="6" t="e">
        <f>VLOOKUP(Tabela1[[#This Row],[Dia]],Fonte!#REF!,2,FALSE)</f>
        <v>#REF!</v>
      </c>
    </row>
    <row r="46" spans="1:7" x14ac:dyDescent="0.3">
      <c r="A46" s="1">
        <v>45</v>
      </c>
      <c r="B46" s="1">
        <v>0</v>
      </c>
      <c r="C46" s="1">
        <v>20</v>
      </c>
      <c r="D46" s="1">
        <v>30</v>
      </c>
      <c r="E46" s="3">
        <f>ROUND(AVERAGE(Tabela1[[#This Row],[Temperatura máxima (Cº)]],Tabela1[[#This Row],[Temperatura mímima (Cº)]]),0)</f>
        <v>25</v>
      </c>
      <c r="F46" s="6" t="e">
        <f>VLOOKUP(Tabela1[[#This Row],[Dia]],Fonte!#REF!,2,FALSE)</f>
        <v>#REF!</v>
      </c>
    </row>
    <row r="47" spans="1:7" x14ac:dyDescent="0.3">
      <c r="A47" s="1">
        <v>46</v>
      </c>
      <c r="B47" s="1">
        <v>10</v>
      </c>
      <c r="C47" s="1">
        <v>20</v>
      </c>
      <c r="D47" s="1">
        <v>29</v>
      </c>
      <c r="E47" s="3">
        <f>ROUND(AVERAGE(Tabela1[[#This Row],[Temperatura máxima (Cº)]],Tabela1[[#This Row],[Temperatura mímima (Cº)]]),0)</f>
        <v>25</v>
      </c>
      <c r="F47" s="6" t="e">
        <f>VLOOKUP(Tabela1[[#This Row],[Dia]],Fonte!#REF!,2,FALSE)</f>
        <v>#REF!</v>
      </c>
    </row>
    <row r="48" spans="1:7" x14ac:dyDescent="0.3">
      <c r="A48" s="1">
        <v>47</v>
      </c>
      <c r="B48" s="1">
        <v>8</v>
      </c>
      <c r="C48" s="1">
        <v>16</v>
      </c>
      <c r="D48" s="1">
        <v>20</v>
      </c>
      <c r="E48" s="3">
        <f>ROUND(AVERAGE(Tabela1[[#This Row],[Temperatura máxima (Cº)]],Tabela1[[#This Row],[Temperatura mímima (Cº)]]),0)</f>
        <v>18</v>
      </c>
      <c r="F48" s="6" t="e">
        <f>VLOOKUP(Tabela1[[#This Row],[Dia]],Fonte!#REF!,2,FALSE)</f>
        <v>#REF!</v>
      </c>
    </row>
    <row r="49" spans="1:6" x14ac:dyDescent="0.3">
      <c r="A49" s="1">
        <v>48</v>
      </c>
      <c r="B49" s="1">
        <v>0</v>
      </c>
      <c r="C49" s="1">
        <v>18</v>
      </c>
      <c r="D49" s="1">
        <v>21</v>
      </c>
      <c r="E49" s="3">
        <f>ROUND(AVERAGE(Tabela1[[#This Row],[Temperatura máxima (Cº)]],Tabela1[[#This Row],[Temperatura mímima (Cº)]]),0)</f>
        <v>20</v>
      </c>
      <c r="F49" s="6" t="e">
        <f>VLOOKUP(Tabela1[[#This Row],[Dia]],Fonte!#REF!,2,FALSE)</f>
        <v>#REF!</v>
      </c>
    </row>
    <row r="50" spans="1:6" x14ac:dyDescent="0.3">
      <c r="A50" s="1">
        <v>49</v>
      </c>
      <c r="B50" s="1">
        <v>0</v>
      </c>
      <c r="C50" s="1">
        <v>15</v>
      </c>
      <c r="D50" s="1">
        <v>26</v>
      </c>
      <c r="E50" s="3">
        <f>ROUND(AVERAGE(Tabela1[[#This Row],[Temperatura máxima (Cº)]],Tabela1[[#This Row],[Temperatura mímima (Cº)]]),0)</f>
        <v>21</v>
      </c>
      <c r="F50" s="6" t="e">
        <f>VLOOKUP(Tabela1[[#This Row],[Dia]],Fonte!#REF!,2,FALSE)</f>
        <v>#REF!</v>
      </c>
    </row>
    <row r="51" spans="1:6" x14ac:dyDescent="0.3">
      <c r="A51" s="1">
        <v>50</v>
      </c>
      <c r="B51" s="1">
        <v>0</v>
      </c>
      <c r="C51" s="1">
        <v>16</v>
      </c>
      <c r="D51" s="1">
        <v>24</v>
      </c>
      <c r="E51" s="3">
        <f>ROUND(AVERAGE(Tabela1[[#This Row],[Temperatura máxima (Cº)]],Tabela1[[#This Row],[Temperatura mímima (Cº)]]),0)</f>
        <v>20</v>
      </c>
      <c r="F51" s="6" t="e">
        <f>VLOOKUP(Tabela1[[#This Row],[Dia]],Fonte!#REF!,2,FALSE)</f>
        <v>#REF!</v>
      </c>
    </row>
    <row r="52" spans="1:6" x14ac:dyDescent="0.3">
      <c r="A52" s="1">
        <v>51</v>
      </c>
      <c r="B52" s="1">
        <v>0</v>
      </c>
      <c r="C52" s="1">
        <v>18</v>
      </c>
      <c r="D52" s="1">
        <v>24</v>
      </c>
      <c r="E52" s="3">
        <f>ROUND(AVERAGE(Tabela1[[#This Row],[Temperatura máxima (Cº)]],Tabela1[[#This Row],[Temperatura mímima (Cº)]]),0)</f>
        <v>21</v>
      </c>
      <c r="F52" s="6" t="e">
        <f>VLOOKUP(Tabela1[[#This Row],[Dia]],Fonte!#REF!,2,FALSE)</f>
        <v>#REF!</v>
      </c>
    </row>
    <row r="53" spans="1:6" x14ac:dyDescent="0.3">
      <c r="A53" s="1">
        <v>52</v>
      </c>
      <c r="B53" s="1">
        <v>0</v>
      </c>
      <c r="C53" s="1">
        <v>19</v>
      </c>
      <c r="D53" s="1">
        <v>27</v>
      </c>
      <c r="E53" s="3">
        <f>ROUND(AVERAGE(Tabela1[[#This Row],[Temperatura máxima (Cº)]],Tabela1[[#This Row],[Temperatura mímima (Cº)]]),0)</f>
        <v>23</v>
      </c>
      <c r="F53" s="6" t="e">
        <f>VLOOKUP(Tabela1[[#This Row],[Dia]],Fonte!#REF!,2,FALSE)</f>
        <v>#REF!</v>
      </c>
    </row>
    <row r="54" spans="1:6" x14ac:dyDescent="0.3">
      <c r="A54" s="1">
        <v>53</v>
      </c>
      <c r="B54" s="1">
        <v>0</v>
      </c>
      <c r="C54" s="1">
        <v>18</v>
      </c>
      <c r="D54" s="1">
        <v>28</v>
      </c>
      <c r="E54" s="3">
        <f>ROUND(AVERAGE(Tabela1[[#This Row],[Temperatura máxima (Cº)]],Tabela1[[#This Row],[Temperatura mímima (Cº)]]),0)</f>
        <v>23</v>
      </c>
      <c r="F54" s="6" t="e">
        <f>VLOOKUP(Tabela1[[#This Row],[Dia]],Fonte!#REF!,2,FALSE)</f>
        <v>#REF!</v>
      </c>
    </row>
    <row r="55" spans="1:6" x14ac:dyDescent="0.3">
      <c r="A55" s="1">
        <v>54</v>
      </c>
      <c r="B55" s="1">
        <v>8</v>
      </c>
      <c r="C55" s="1">
        <v>18</v>
      </c>
      <c r="D55" s="1">
        <v>27</v>
      </c>
      <c r="E55" s="3">
        <f>ROUND(AVERAGE(Tabela1[[#This Row],[Temperatura máxima (Cº)]],Tabela1[[#This Row],[Temperatura mímima (Cº)]]),0)</f>
        <v>23</v>
      </c>
      <c r="F55" s="6" t="e">
        <f>VLOOKUP(Tabela1[[#This Row],[Dia]],Fonte!#REF!,2,FALSE)</f>
        <v>#REF!</v>
      </c>
    </row>
    <row r="56" spans="1:6" x14ac:dyDescent="0.3">
      <c r="A56" s="1">
        <v>55</v>
      </c>
      <c r="B56" s="1">
        <v>8</v>
      </c>
      <c r="C56" s="1">
        <v>17</v>
      </c>
      <c r="D56" s="1">
        <v>23</v>
      </c>
      <c r="E56" s="3">
        <f>ROUND(AVERAGE(Tabela1[[#This Row],[Temperatura máxima (Cº)]],Tabela1[[#This Row],[Temperatura mímima (Cº)]]),0)</f>
        <v>20</v>
      </c>
      <c r="F56" s="6" t="e">
        <f>VLOOKUP(Tabela1[[#This Row],[Dia]],Fonte!#REF!,2,FALSE)</f>
        <v>#REF!</v>
      </c>
    </row>
    <row r="57" spans="1:6" x14ac:dyDescent="0.3">
      <c r="A57" s="1">
        <v>56</v>
      </c>
      <c r="B57" s="1">
        <v>12</v>
      </c>
      <c r="C57" s="1">
        <v>18</v>
      </c>
      <c r="D57" s="1">
        <v>24</v>
      </c>
      <c r="E57" s="3">
        <f>ROUND(AVERAGE(Tabela1[[#This Row],[Temperatura máxima (Cº)]],Tabela1[[#This Row],[Temperatura mímima (Cº)]]),0)</f>
        <v>21</v>
      </c>
      <c r="F57" s="6" t="e">
        <f>VLOOKUP(Tabela1[[#This Row],[Dia]],Fonte!#REF!,2,FALSE)</f>
        <v>#REF!</v>
      </c>
    </row>
    <row r="58" spans="1:6" x14ac:dyDescent="0.3">
      <c r="A58" s="1">
        <v>57</v>
      </c>
      <c r="B58" s="1">
        <v>15</v>
      </c>
      <c r="C58" s="1">
        <v>18</v>
      </c>
      <c r="D58" s="1">
        <v>26</v>
      </c>
      <c r="E58" s="3">
        <f>ROUND(AVERAGE(Tabela1[[#This Row],[Temperatura máxima (Cº)]],Tabela1[[#This Row],[Temperatura mímima (Cº)]]),0)</f>
        <v>22</v>
      </c>
      <c r="F58" s="6" t="e">
        <f>VLOOKUP(Tabela1[[#This Row],[Dia]],Fonte!#REF!,2,FALSE)</f>
        <v>#REF!</v>
      </c>
    </row>
    <row r="59" spans="1:6" x14ac:dyDescent="0.3">
      <c r="A59" s="1">
        <v>58</v>
      </c>
      <c r="B59" s="1">
        <v>30</v>
      </c>
      <c r="C59" s="1">
        <v>20</v>
      </c>
      <c r="D59" s="1">
        <v>29</v>
      </c>
      <c r="E59" s="3">
        <f>ROUND(AVERAGE(Tabela1[[#This Row],[Temperatura máxima (Cº)]],Tabela1[[#This Row],[Temperatura mímima (Cº)]]),0)</f>
        <v>25</v>
      </c>
      <c r="F59" s="6" t="e">
        <f>VLOOKUP(Tabela1[[#This Row],[Dia]],Fonte!#REF!,2,FALSE)</f>
        <v>#REF!</v>
      </c>
    </row>
    <row r="60" spans="1:6" x14ac:dyDescent="0.3">
      <c r="A60" s="1">
        <v>59</v>
      </c>
      <c r="B60" s="1">
        <v>30</v>
      </c>
      <c r="C60" s="1">
        <v>19</v>
      </c>
      <c r="D60" s="1">
        <v>26</v>
      </c>
      <c r="E60" s="3">
        <f>ROUND(AVERAGE(Tabela1[[#This Row],[Temperatura máxima (Cº)]],Tabela1[[#This Row],[Temperatura mímima (Cº)]]),0)</f>
        <v>23</v>
      </c>
      <c r="F60" s="6" t="e">
        <f>VLOOKUP(Tabela1[[#This Row],[Dia]],Fonte!#REF!,2,FALSE)</f>
        <v>#REF!</v>
      </c>
    </row>
    <row r="61" spans="1:6" x14ac:dyDescent="0.3">
      <c r="A61" s="1">
        <v>60</v>
      </c>
      <c r="B61" s="1">
        <v>12</v>
      </c>
      <c r="C61" s="1">
        <v>18</v>
      </c>
      <c r="D61" s="1">
        <v>22</v>
      </c>
      <c r="E61" s="3">
        <f>ROUND(AVERAGE(Tabela1[[#This Row],[Temperatura máxima (Cº)]],Tabela1[[#This Row],[Temperatura mímima (Cº)]]),0)</f>
        <v>20</v>
      </c>
      <c r="F61" s="6" t="e">
        <f>VLOOKUP(Tabela1[[#This Row],[Dia]],Fonte!#REF!,2,FALSE)</f>
        <v>#REF!</v>
      </c>
    </row>
    <row r="62" spans="1:6" x14ac:dyDescent="0.3">
      <c r="A62" s="1">
        <v>61</v>
      </c>
      <c r="B62" s="1">
        <v>8</v>
      </c>
      <c r="C62" s="1">
        <v>18</v>
      </c>
      <c r="D62" s="1">
        <v>24</v>
      </c>
      <c r="E62" s="3">
        <f>ROUND(AVERAGE(Tabela1[[#This Row],[Temperatura máxima (Cº)]],Tabela1[[#This Row],[Temperatura mímima (Cº)]]),0)</f>
        <v>21</v>
      </c>
      <c r="F62" s="6" t="e">
        <f>VLOOKUP(Tabela1[[#This Row],[Dia]],Fonte!#REF!,2,FALSE)</f>
        <v>#REF!</v>
      </c>
    </row>
    <row r="63" spans="1:6" x14ac:dyDescent="0.3">
      <c r="A63" s="1">
        <v>62</v>
      </c>
      <c r="B63" s="1">
        <v>20</v>
      </c>
      <c r="C63" s="1">
        <v>18</v>
      </c>
      <c r="D63" s="1">
        <v>23</v>
      </c>
      <c r="E63" s="3">
        <f>ROUND(AVERAGE(Tabela1[[#This Row],[Temperatura máxima (Cº)]],Tabela1[[#This Row],[Temperatura mímima (Cº)]]),0)</f>
        <v>21</v>
      </c>
      <c r="F63" s="6" t="e">
        <f>VLOOKUP(Tabela1[[#This Row],[Dia]],Fonte!#REF!,2,FALSE)</f>
        <v>#REF!</v>
      </c>
    </row>
    <row r="64" spans="1:6" x14ac:dyDescent="0.3">
      <c r="A64" s="1">
        <v>63</v>
      </c>
      <c r="B64" s="1">
        <v>15</v>
      </c>
      <c r="C64" s="1">
        <v>17</v>
      </c>
      <c r="D64" s="1">
        <v>25</v>
      </c>
      <c r="E64" s="3">
        <f>ROUND(AVERAGE(Tabela1[[#This Row],[Temperatura máxima (Cº)]],Tabela1[[#This Row],[Temperatura mímima (Cº)]]),0)</f>
        <v>21</v>
      </c>
      <c r="F64" s="6" t="e">
        <f>VLOOKUP(Tabela1[[#This Row],[Dia]],Fonte!#REF!,2,FALSE)</f>
        <v>#REF!</v>
      </c>
    </row>
  </sheetData>
  <dataValidations count="3">
    <dataValidation type="whole" operator="greaterThanOrEqual" showInputMessage="1" showErrorMessage="1" sqref="A2:A64" xr:uid="{393FA103-5F34-467A-A784-9597D0C5B52E}">
      <formula1>1</formula1>
    </dataValidation>
    <dataValidation type="decimal" operator="greaterThanOrEqual" allowBlank="1" showInputMessage="1" showErrorMessage="1" sqref="B2:C31" xr:uid="{FFF0E2D3-2302-4217-B94C-B7DE2477D244}">
      <formula1>0</formula1>
    </dataValidation>
    <dataValidation type="whole" operator="greaterThan" allowBlank="1" showInputMessage="1" showErrorMessage="1" sqref="C2:E31" xr:uid="{4FC1DDCF-F111-4CB9-97B7-1A8562BF9352}">
      <formula1>-500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2" r:id="rId4" name="novos_dados_button">
          <controlPr defaultSize="0" autoLine="0" r:id="rId5">
            <anchor moveWithCells="1">
              <from>
                <xdr:col>6</xdr:col>
                <xdr:colOff>152400</xdr:colOff>
                <xdr:row>43</xdr:row>
                <xdr:rowOff>160020</xdr:rowOff>
              </from>
              <to>
                <xdr:col>6</xdr:col>
                <xdr:colOff>1066800</xdr:colOff>
                <xdr:row>49</xdr:row>
                <xdr:rowOff>15240</xdr:rowOff>
              </to>
            </anchor>
          </controlPr>
        </control>
      </mc:Choice>
      <mc:Fallback>
        <control shapeId="1032" r:id="rId4" name="novos_dados_button"/>
      </mc:Fallback>
    </mc:AlternateContent>
  </controls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6D79-E374-4679-BFD3-4A07173E3EE5}">
  <sheetPr codeName="Planilha2"/>
  <dimension ref="A1:E64"/>
  <sheetViews>
    <sheetView topLeftCell="A29" workbookViewId="0">
      <selection activeCell="B23" sqref="B23"/>
    </sheetView>
  </sheetViews>
  <sheetFormatPr defaultRowHeight="14.4" x14ac:dyDescent="0.3"/>
  <cols>
    <col min="2" max="2" width="10.5546875" bestFit="1" customWidth="1"/>
  </cols>
  <sheetData>
    <row r="1" spans="1:5" x14ac:dyDescent="0.3">
      <c r="A1" s="13" t="s">
        <v>0</v>
      </c>
      <c r="B1" s="13" t="s">
        <v>38</v>
      </c>
      <c r="D1" s="13" t="s">
        <v>52</v>
      </c>
      <c r="E1" s="13" t="s">
        <v>17</v>
      </c>
    </row>
    <row r="2" spans="1:5" x14ac:dyDescent="0.3">
      <c r="A2" s="13">
        <v>1</v>
      </c>
      <c r="B2" s="20">
        <v>44415</v>
      </c>
      <c r="D2" s="13">
        <v>1</v>
      </c>
      <c r="E2" s="13" t="s">
        <v>19</v>
      </c>
    </row>
    <row r="3" spans="1:5" x14ac:dyDescent="0.3">
      <c r="A3" s="13">
        <v>2</v>
      </c>
      <c r="B3" s="20">
        <v>44416</v>
      </c>
      <c r="D3" s="13">
        <v>2</v>
      </c>
      <c r="E3" s="13" t="s">
        <v>20</v>
      </c>
    </row>
    <row r="4" spans="1:5" x14ac:dyDescent="0.3">
      <c r="A4" s="13">
        <v>3</v>
      </c>
      <c r="B4" s="20">
        <v>44417</v>
      </c>
      <c r="D4" s="13">
        <v>3</v>
      </c>
      <c r="E4" s="13" t="s">
        <v>21</v>
      </c>
    </row>
    <row r="5" spans="1:5" x14ac:dyDescent="0.3">
      <c r="A5" s="13">
        <v>4</v>
      </c>
      <c r="B5" s="20">
        <v>44418</v>
      </c>
      <c r="D5" s="13">
        <v>4</v>
      </c>
      <c r="E5" s="13" t="s">
        <v>22</v>
      </c>
    </row>
    <row r="6" spans="1:5" x14ac:dyDescent="0.3">
      <c r="A6" s="13">
        <v>5</v>
      </c>
      <c r="B6" s="20">
        <v>44419</v>
      </c>
      <c r="D6" s="13">
        <v>5</v>
      </c>
      <c r="E6" s="13" t="s">
        <v>23</v>
      </c>
    </row>
    <row r="7" spans="1:5" x14ac:dyDescent="0.3">
      <c r="A7" s="13">
        <v>6</v>
      </c>
      <c r="B7" s="20">
        <v>44420</v>
      </c>
      <c r="D7" s="13">
        <v>6</v>
      </c>
      <c r="E7" s="13" t="s">
        <v>24</v>
      </c>
    </row>
    <row r="8" spans="1:5" x14ac:dyDescent="0.3">
      <c r="A8" s="13">
        <v>7</v>
      </c>
      <c r="B8" s="20">
        <v>44421</v>
      </c>
      <c r="D8" s="13">
        <v>7</v>
      </c>
      <c r="E8" s="13" t="s">
        <v>25</v>
      </c>
    </row>
    <row r="9" spans="1:5" x14ac:dyDescent="0.3">
      <c r="A9" s="13">
        <v>8</v>
      </c>
      <c r="B9" s="20">
        <v>44422</v>
      </c>
      <c r="D9" s="13">
        <v>8</v>
      </c>
      <c r="E9" s="13" t="s">
        <v>26</v>
      </c>
    </row>
    <row r="10" spans="1:5" x14ac:dyDescent="0.3">
      <c r="A10" s="13">
        <v>9</v>
      </c>
      <c r="B10" s="20">
        <v>44423</v>
      </c>
      <c r="D10" s="13">
        <v>9</v>
      </c>
      <c r="E10" s="13" t="s">
        <v>27</v>
      </c>
    </row>
    <row r="11" spans="1:5" x14ac:dyDescent="0.3">
      <c r="A11" s="13">
        <v>10</v>
      </c>
      <c r="B11" s="20">
        <v>44424</v>
      </c>
    </row>
    <row r="12" spans="1:5" x14ac:dyDescent="0.3">
      <c r="A12" s="13">
        <v>11</v>
      </c>
      <c r="B12" s="20">
        <v>44425</v>
      </c>
    </row>
    <row r="13" spans="1:5" x14ac:dyDescent="0.3">
      <c r="A13" s="13">
        <v>12</v>
      </c>
      <c r="B13" s="20">
        <v>44426</v>
      </c>
    </row>
    <row r="14" spans="1:5" x14ac:dyDescent="0.3">
      <c r="A14" s="13">
        <v>13</v>
      </c>
      <c r="B14" s="20">
        <v>44427</v>
      </c>
    </row>
    <row r="15" spans="1:5" x14ac:dyDescent="0.3">
      <c r="A15" s="13">
        <v>14</v>
      </c>
      <c r="B15" s="20">
        <v>44428</v>
      </c>
    </row>
    <row r="16" spans="1:5" x14ac:dyDescent="0.3">
      <c r="A16" s="13">
        <v>15</v>
      </c>
      <c r="B16" s="20">
        <v>44429</v>
      </c>
    </row>
    <row r="17" spans="1:2" x14ac:dyDescent="0.3">
      <c r="A17" s="13">
        <v>16</v>
      </c>
      <c r="B17" s="20">
        <v>44430</v>
      </c>
    </row>
    <row r="18" spans="1:2" x14ac:dyDescent="0.3">
      <c r="A18" s="13">
        <v>17</v>
      </c>
      <c r="B18" s="20">
        <v>44431</v>
      </c>
    </row>
    <row r="19" spans="1:2" x14ac:dyDescent="0.3">
      <c r="A19" s="13">
        <v>18</v>
      </c>
      <c r="B19" s="20">
        <v>44432</v>
      </c>
    </row>
    <row r="20" spans="1:2" x14ac:dyDescent="0.3">
      <c r="A20" s="13">
        <v>19</v>
      </c>
      <c r="B20" s="20">
        <v>44433</v>
      </c>
    </row>
    <row r="21" spans="1:2" x14ac:dyDescent="0.3">
      <c r="A21" s="13">
        <v>20</v>
      </c>
      <c r="B21" s="20">
        <v>44434</v>
      </c>
    </row>
    <row r="22" spans="1:2" x14ac:dyDescent="0.3">
      <c r="A22" s="13">
        <v>21</v>
      </c>
      <c r="B22" s="20">
        <v>44435</v>
      </c>
    </row>
    <row r="23" spans="1:2" x14ac:dyDescent="0.3">
      <c r="A23" s="13">
        <v>22</v>
      </c>
      <c r="B23" s="20">
        <v>44436</v>
      </c>
    </row>
    <row r="24" spans="1:2" x14ac:dyDescent="0.3">
      <c r="A24" s="13">
        <v>23</v>
      </c>
      <c r="B24" s="20">
        <v>44437</v>
      </c>
    </row>
    <row r="25" spans="1:2" x14ac:dyDescent="0.3">
      <c r="A25" s="13">
        <v>24</v>
      </c>
      <c r="B25" s="20">
        <v>44438</v>
      </c>
    </row>
    <row r="26" spans="1:2" x14ac:dyDescent="0.3">
      <c r="A26" s="13">
        <v>25</v>
      </c>
      <c r="B26" s="20">
        <v>44439</v>
      </c>
    </row>
    <row r="27" spans="1:2" x14ac:dyDescent="0.3">
      <c r="A27" s="13">
        <v>26</v>
      </c>
      <c r="B27" s="20">
        <v>44440</v>
      </c>
    </row>
    <row r="28" spans="1:2" x14ac:dyDescent="0.3">
      <c r="A28" s="13">
        <v>27</v>
      </c>
      <c r="B28" s="20">
        <v>44441</v>
      </c>
    </row>
    <row r="29" spans="1:2" x14ac:dyDescent="0.3">
      <c r="A29" s="13">
        <v>28</v>
      </c>
      <c r="B29" s="20">
        <v>44442</v>
      </c>
    </row>
    <row r="30" spans="1:2" x14ac:dyDescent="0.3">
      <c r="A30" s="13">
        <v>29</v>
      </c>
      <c r="B30" s="20">
        <v>44443</v>
      </c>
    </row>
    <row r="31" spans="1:2" x14ac:dyDescent="0.3">
      <c r="A31" s="13">
        <v>30</v>
      </c>
      <c r="B31" s="20">
        <v>44444</v>
      </c>
    </row>
    <row r="32" spans="1:2" x14ac:dyDescent="0.3">
      <c r="A32" s="13">
        <v>31</v>
      </c>
      <c r="B32" s="20">
        <v>44445</v>
      </c>
    </row>
    <row r="33" spans="1:2" x14ac:dyDescent="0.3">
      <c r="A33" s="13">
        <v>32</v>
      </c>
      <c r="B33" s="20">
        <v>44446</v>
      </c>
    </row>
    <row r="34" spans="1:2" x14ac:dyDescent="0.3">
      <c r="A34" s="13">
        <v>33</v>
      </c>
      <c r="B34" s="20">
        <v>44447</v>
      </c>
    </row>
    <row r="35" spans="1:2" x14ac:dyDescent="0.3">
      <c r="A35" s="13">
        <v>34</v>
      </c>
      <c r="B35" s="20">
        <v>44448</v>
      </c>
    </row>
    <row r="36" spans="1:2" x14ac:dyDescent="0.3">
      <c r="A36" s="13">
        <v>35</v>
      </c>
      <c r="B36" s="20">
        <v>44449</v>
      </c>
    </row>
    <row r="37" spans="1:2" x14ac:dyDescent="0.3">
      <c r="A37" s="13">
        <v>36</v>
      </c>
      <c r="B37" s="20">
        <v>44450</v>
      </c>
    </row>
    <row r="38" spans="1:2" x14ac:dyDescent="0.3">
      <c r="A38" s="13">
        <v>37</v>
      </c>
      <c r="B38" s="20">
        <v>44451</v>
      </c>
    </row>
    <row r="39" spans="1:2" x14ac:dyDescent="0.3">
      <c r="A39" s="13">
        <v>38</v>
      </c>
      <c r="B39" s="20">
        <v>44452</v>
      </c>
    </row>
    <row r="40" spans="1:2" x14ac:dyDescent="0.3">
      <c r="A40" s="13">
        <v>39</v>
      </c>
      <c r="B40" s="20">
        <v>44453</v>
      </c>
    </row>
    <row r="41" spans="1:2" x14ac:dyDescent="0.3">
      <c r="A41" s="13">
        <v>40</v>
      </c>
      <c r="B41" s="20">
        <v>44454</v>
      </c>
    </row>
    <row r="42" spans="1:2" x14ac:dyDescent="0.3">
      <c r="A42" s="13">
        <v>41</v>
      </c>
      <c r="B42" s="20">
        <v>44455</v>
      </c>
    </row>
    <row r="43" spans="1:2" x14ac:dyDescent="0.3">
      <c r="A43" s="13">
        <v>42</v>
      </c>
      <c r="B43" s="20">
        <v>44456</v>
      </c>
    </row>
    <row r="44" spans="1:2" x14ac:dyDescent="0.3">
      <c r="A44" s="13">
        <v>43</v>
      </c>
      <c r="B44" s="20">
        <v>44457</v>
      </c>
    </row>
    <row r="45" spans="1:2" x14ac:dyDescent="0.3">
      <c r="A45" s="13">
        <v>44</v>
      </c>
      <c r="B45" s="20">
        <v>44458</v>
      </c>
    </row>
    <row r="46" spans="1:2" x14ac:dyDescent="0.3">
      <c r="A46" s="13">
        <v>45</v>
      </c>
      <c r="B46" s="20">
        <v>44459</v>
      </c>
    </row>
    <row r="47" spans="1:2" x14ac:dyDescent="0.3">
      <c r="A47" s="13">
        <v>46</v>
      </c>
      <c r="B47" s="20">
        <v>44460</v>
      </c>
    </row>
    <row r="48" spans="1:2" x14ac:dyDescent="0.3">
      <c r="A48" s="13">
        <v>47</v>
      </c>
      <c r="B48" s="20">
        <v>44461</v>
      </c>
    </row>
    <row r="49" spans="1:2" x14ac:dyDescent="0.3">
      <c r="A49" s="13">
        <v>48</v>
      </c>
      <c r="B49" s="20">
        <v>44462</v>
      </c>
    </row>
    <row r="50" spans="1:2" x14ac:dyDescent="0.3">
      <c r="A50" s="13">
        <v>49</v>
      </c>
      <c r="B50" s="20">
        <v>44463</v>
      </c>
    </row>
    <row r="51" spans="1:2" x14ac:dyDescent="0.3">
      <c r="A51" s="13">
        <v>50</v>
      </c>
      <c r="B51" s="20">
        <v>44464</v>
      </c>
    </row>
    <row r="52" spans="1:2" x14ac:dyDescent="0.3">
      <c r="A52" s="13">
        <v>51</v>
      </c>
      <c r="B52" s="20">
        <v>44465</v>
      </c>
    </row>
    <row r="53" spans="1:2" x14ac:dyDescent="0.3">
      <c r="A53" s="13">
        <v>52</v>
      </c>
      <c r="B53" s="20">
        <v>44466</v>
      </c>
    </row>
    <row r="54" spans="1:2" x14ac:dyDescent="0.3">
      <c r="A54" s="13">
        <v>53</v>
      </c>
      <c r="B54" s="20">
        <v>44467</v>
      </c>
    </row>
    <row r="55" spans="1:2" x14ac:dyDescent="0.3">
      <c r="A55" s="13">
        <v>54</v>
      </c>
      <c r="B55" s="20">
        <v>44468</v>
      </c>
    </row>
    <row r="56" spans="1:2" x14ac:dyDescent="0.3">
      <c r="A56" s="13">
        <v>55</v>
      </c>
      <c r="B56" s="20">
        <v>44469</v>
      </c>
    </row>
    <row r="57" spans="1:2" x14ac:dyDescent="0.3">
      <c r="A57" s="13">
        <v>56</v>
      </c>
      <c r="B57" s="20">
        <v>44470</v>
      </c>
    </row>
    <row r="58" spans="1:2" x14ac:dyDescent="0.3">
      <c r="A58" s="13">
        <v>57</v>
      </c>
      <c r="B58" s="20">
        <v>44471</v>
      </c>
    </row>
    <row r="59" spans="1:2" x14ac:dyDescent="0.3">
      <c r="A59" s="13">
        <v>58</v>
      </c>
      <c r="B59" s="20">
        <v>44472</v>
      </c>
    </row>
    <row r="60" spans="1:2" x14ac:dyDescent="0.3">
      <c r="A60" s="13">
        <v>59</v>
      </c>
      <c r="B60" s="20">
        <v>44473</v>
      </c>
    </row>
    <row r="61" spans="1:2" x14ac:dyDescent="0.3">
      <c r="A61" s="13">
        <v>60</v>
      </c>
      <c r="B61" s="20">
        <v>44474</v>
      </c>
    </row>
    <row r="62" spans="1:2" x14ac:dyDescent="0.3">
      <c r="A62" s="13">
        <v>61</v>
      </c>
      <c r="B62" s="20">
        <v>44475</v>
      </c>
    </row>
    <row r="63" spans="1:2" x14ac:dyDescent="0.3">
      <c r="A63" s="13">
        <v>62</v>
      </c>
      <c r="B63" s="20">
        <v>44476</v>
      </c>
    </row>
    <row r="64" spans="1:2" x14ac:dyDescent="0.3">
      <c r="A64" s="13">
        <v>63</v>
      </c>
      <c r="B64" s="20">
        <v>44477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4D3F-23D1-4827-9594-E4928F0F6BF6}">
  <sheetPr codeName="Planilha6"/>
  <dimension ref="A1:I10"/>
  <sheetViews>
    <sheetView workbookViewId="0">
      <selection activeCell="B23" sqref="B23"/>
    </sheetView>
  </sheetViews>
  <sheetFormatPr defaultRowHeight="14.4" x14ac:dyDescent="0.3"/>
  <cols>
    <col min="1" max="1" width="12.33203125" style="10" bestFit="1" customWidth="1"/>
    <col min="2" max="8" width="9.5546875" style="9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4">
        <v>19</v>
      </c>
      <c r="C2" s="14">
        <v>21</v>
      </c>
      <c r="D2" s="14">
        <v>22</v>
      </c>
      <c r="E2" s="14">
        <v>24</v>
      </c>
      <c r="F2" s="14">
        <v>20</v>
      </c>
      <c r="G2" s="14">
        <v>18</v>
      </c>
      <c r="H2" s="14">
        <v>19</v>
      </c>
      <c r="I2" s="14">
        <f>ROUND(AVERAGE(tabela_media[[#This Row],[Dia 1]:[Dia 7]]),0)</f>
        <v>20</v>
      </c>
    </row>
    <row r="3" spans="1:9" x14ac:dyDescent="0.3">
      <c r="A3" s="11" t="s">
        <v>20</v>
      </c>
      <c r="B3" s="14">
        <v>21</v>
      </c>
      <c r="C3" s="14">
        <v>23</v>
      </c>
      <c r="D3" s="14">
        <v>22</v>
      </c>
      <c r="E3" s="14">
        <v>22</v>
      </c>
      <c r="F3" s="14">
        <v>23</v>
      </c>
      <c r="G3" s="14">
        <v>23</v>
      </c>
      <c r="H3" s="14">
        <v>27</v>
      </c>
      <c r="I3" s="14">
        <f>ROUND(AVERAGE(tabela_media[[#This Row],[Dia 1]:[Dia 7]]),0)</f>
        <v>23</v>
      </c>
    </row>
    <row r="4" spans="1:9" x14ac:dyDescent="0.3">
      <c r="A4" s="11" t="s">
        <v>21</v>
      </c>
      <c r="B4" s="14">
        <v>22</v>
      </c>
      <c r="C4" s="14">
        <v>24</v>
      </c>
      <c r="D4" s="14">
        <v>28</v>
      </c>
      <c r="E4" s="14">
        <v>27</v>
      </c>
      <c r="F4" s="14">
        <v>30</v>
      </c>
      <c r="G4" s="14">
        <v>27</v>
      </c>
      <c r="H4" s="14">
        <v>20</v>
      </c>
      <c r="I4" s="14">
        <f>ROUND(AVERAGE(tabela_media[[#This Row],[Dia 1]:[Dia 7]]),0)</f>
        <v>25</v>
      </c>
    </row>
    <row r="5" spans="1:9" x14ac:dyDescent="0.3">
      <c r="A5" s="11" t="s">
        <v>22</v>
      </c>
      <c r="B5" s="14">
        <v>19</v>
      </c>
      <c r="C5" s="14">
        <v>20</v>
      </c>
      <c r="D5" s="14">
        <v>20</v>
      </c>
      <c r="E5" s="14">
        <v>20</v>
      </c>
      <c r="F5" s="14">
        <v>23</v>
      </c>
      <c r="G5" s="14">
        <v>23</v>
      </c>
      <c r="H5" s="14">
        <v>23</v>
      </c>
      <c r="I5" s="14">
        <f>ROUND(AVERAGE(tabela_media[[#This Row],[Dia 1]:[Dia 7]]),0)</f>
        <v>21</v>
      </c>
    </row>
    <row r="6" spans="1:9" x14ac:dyDescent="0.3">
      <c r="A6" s="11" t="s">
        <v>23</v>
      </c>
      <c r="B6" s="14">
        <v>23</v>
      </c>
      <c r="C6" s="14">
        <v>23</v>
      </c>
      <c r="D6" s="14">
        <v>22</v>
      </c>
      <c r="E6" s="14">
        <v>21</v>
      </c>
      <c r="F6" s="14">
        <v>21</v>
      </c>
      <c r="G6" s="14">
        <v>22</v>
      </c>
      <c r="H6" s="14">
        <v>23</v>
      </c>
      <c r="I6" s="14">
        <f>ROUND(AVERAGE(tabela_media[[#This Row],[Dia 1]:[Dia 7]]),0)</f>
        <v>22</v>
      </c>
    </row>
    <row r="7" spans="1:9" x14ac:dyDescent="0.3">
      <c r="A7" s="11" t="s">
        <v>24</v>
      </c>
      <c r="B7" s="14">
        <v>22</v>
      </c>
      <c r="C7" s="14">
        <v>23</v>
      </c>
      <c r="D7" s="14">
        <v>24</v>
      </c>
      <c r="E7" s="14">
        <v>31</v>
      </c>
      <c r="F7" s="14">
        <v>21</v>
      </c>
      <c r="G7" s="14">
        <v>21</v>
      </c>
      <c r="H7" s="14">
        <v>21</v>
      </c>
      <c r="I7" s="14">
        <f>ROUND(AVERAGE(tabela_media[[#This Row],[Dia 1]:[Dia 7]]),0)</f>
        <v>23</v>
      </c>
    </row>
    <row r="8" spans="1:9" x14ac:dyDescent="0.3">
      <c r="A8" s="11" t="s">
        <v>25</v>
      </c>
      <c r="B8" s="14">
        <v>21</v>
      </c>
      <c r="C8" s="14">
        <v>22</v>
      </c>
      <c r="D8" s="14">
        <v>25</v>
      </c>
      <c r="E8" s="14">
        <v>25</v>
      </c>
      <c r="F8" s="14">
        <v>18</v>
      </c>
      <c r="G8" s="14">
        <v>20</v>
      </c>
      <c r="H8" s="14">
        <v>21</v>
      </c>
      <c r="I8" s="14">
        <f>ROUND(AVERAGE(tabela_media[[#This Row],[Dia 1]:[Dia 7]]),0)</f>
        <v>22</v>
      </c>
    </row>
    <row r="9" spans="1:9" x14ac:dyDescent="0.3">
      <c r="A9" s="11" t="s">
        <v>26</v>
      </c>
      <c r="B9" s="14">
        <v>20</v>
      </c>
      <c r="C9" s="14">
        <v>21</v>
      </c>
      <c r="D9" s="14">
        <v>23</v>
      </c>
      <c r="E9" s="14">
        <v>23</v>
      </c>
      <c r="F9" s="14">
        <v>23</v>
      </c>
      <c r="G9" s="14">
        <v>20</v>
      </c>
      <c r="H9" s="14">
        <v>21</v>
      </c>
      <c r="I9" s="14">
        <f>ROUND(AVERAGE(tabela_media[[#This Row],[Dia 1]:[Dia 7]]),0)</f>
        <v>22</v>
      </c>
    </row>
    <row r="10" spans="1:9" x14ac:dyDescent="0.3">
      <c r="A10" s="11" t="s">
        <v>27</v>
      </c>
      <c r="B10" s="14">
        <v>22</v>
      </c>
      <c r="C10" s="14">
        <v>25</v>
      </c>
      <c r="D10" s="14">
        <v>23</v>
      </c>
      <c r="E10" s="14">
        <v>20</v>
      </c>
      <c r="F10" s="14">
        <v>21</v>
      </c>
      <c r="G10" s="14">
        <v>21</v>
      </c>
      <c r="H10" s="14">
        <v>21</v>
      </c>
      <c r="I10" s="14">
        <f>ROUND(AVERAGE(tabela_media[[#This Row],[Dia 1]:[Dia 7]]),0)</f>
        <v>22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06F3-505E-41E4-BDD5-8521A5C6ABE3}">
  <sheetPr codeName="Planilha5"/>
  <dimension ref="A1:I10"/>
  <sheetViews>
    <sheetView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11.6640625" bestFit="1" customWidth="1"/>
    <col min="3" max="8" width="9.5546875" bestFit="1" customWidth="1"/>
    <col min="9" max="9" width="10.6640625" bestFit="1" customWidth="1"/>
    <col min="13" max="13" width="11" bestFit="1" customWidth="1"/>
    <col min="15" max="15" width="14.109375" bestFit="1" customWidth="1"/>
    <col min="17" max="17" width="12.33203125" bestFit="1" customWidth="1"/>
    <col min="18" max="19" width="14.109375" bestFit="1" customWidth="1"/>
    <col min="24" max="24" width="10.6640625" bestFit="1" customWidth="1"/>
    <col min="25" max="25" width="16.8867187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2">
        <v>0</v>
      </c>
      <c r="C2" s="12">
        <v>0</v>
      </c>
      <c r="D2" s="12">
        <v>0</v>
      </c>
      <c r="E2" s="12">
        <v>0</v>
      </c>
      <c r="F2" s="12">
        <v>15</v>
      </c>
      <c r="G2" s="12">
        <v>40</v>
      </c>
      <c r="H2" s="12">
        <v>35</v>
      </c>
      <c r="I2" s="12">
        <f>AVERAGE(tabela_chuva[[#This Row],[Dia 1]:[Dia 7]])</f>
        <v>12.857142857142858</v>
      </c>
    </row>
    <row r="3" spans="1:9" x14ac:dyDescent="0.3">
      <c r="A3" s="11" t="s">
        <v>20</v>
      </c>
      <c r="B3" s="12">
        <v>20</v>
      </c>
      <c r="C3" s="12">
        <v>10</v>
      </c>
      <c r="D3" s="12">
        <v>20</v>
      </c>
      <c r="E3" s="12">
        <v>0</v>
      </c>
      <c r="F3" s="12">
        <v>0</v>
      </c>
      <c r="G3" s="12">
        <v>0</v>
      </c>
      <c r="H3" s="12">
        <v>0</v>
      </c>
      <c r="I3" s="12">
        <f>AVERAGE(tabela_chuva[[#This Row],[Dia 1]:[Dia 7]])</f>
        <v>7.1428571428571432</v>
      </c>
    </row>
    <row r="4" spans="1:9" x14ac:dyDescent="0.3">
      <c r="A4" s="11" t="s">
        <v>21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5</v>
      </c>
      <c r="H4" s="12">
        <v>25</v>
      </c>
      <c r="I4" s="12">
        <f>AVERAGE(tabela_chuva[[#This Row],[Dia 1]:[Dia 7]])</f>
        <v>4.2857142857142856</v>
      </c>
    </row>
    <row r="5" spans="1:9" x14ac:dyDescent="0.3">
      <c r="A5" s="11" t="s">
        <v>22</v>
      </c>
      <c r="B5" s="12">
        <v>35</v>
      </c>
      <c r="C5" s="12">
        <v>30</v>
      </c>
      <c r="D5" s="12">
        <v>15</v>
      </c>
      <c r="E5" s="12">
        <v>5</v>
      </c>
      <c r="F5" s="12">
        <v>0</v>
      </c>
      <c r="G5" s="12">
        <v>0</v>
      </c>
      <c r="H5" s="12">
        <v>0</v>
      </c>
      <c r="I5" s="12">
        <f>AVERAGE(tabela_chuva[[#This Row],[Dia 1]:[Dia 7]])</f>
        <v>12.142857142857142</v>
      </c>
    </row>
    <row r="6" spans="1:9" x14ac:dyDescent="0.3">
      <c r="A6" s="11" t="s">
        <v>23</v>
      </c>
      <c r="B6" s="12">
        <v>0</v>
      </c>
      <c r="C6" s="12">
        <v>2</v>
      </c>
      <c r="D6" s="12">
        <v>2</v>
      </c>
      <c r="E6" s="12">
        <v>2</v>
      </c>
      <c r="F6" s="12">
        <v>0</v>
      </c>
      <c r="G6" s="12">
        <v>15</v>
      </c>
      <c r="H6" s="12">
        <v>30</v>
      </c>
      <c r="I6" s="12">
        <f>AVERAGE(tabela_chuva[[#This Row],[Dia 1]:[Dia 7]])</f>
        <v>7.2857142857142856</v>
      </c>
    </row>
    <row r="7" spans="1:9" x14ac:dyDescent="0.3">
      <c r="A7" s="11" t="s">
        <v>24</v>
      </c>
      <c r="B7" s="12">
        <v>10</v>
      </c>
      <c r="C7" s="12">
        <v>0</v>
      </c>
      <c r="D7" s="12">
        <v>0</v>
      </c>
      <c r="E7" s="12">
        <v>8</v>
      </c>
      <c r="F7" s="12">
        <v>15</v>
      </c>
      <c r="G7" s="12">
        <v>35</v>
      </c>
      <c r="H7" s="12">
        <v>10</v>
      </c>
      <c r="I7" s="12">
        <f>AVERAGE(tabela_chuva[[#This Row],[Dia 1]:[Dia 7]])</f>
        <v>11.142857142857142</v>
      </c>
    </row>
    <row r="8" spans="1:9" x14ac:dyDescent="0.3">
      <c r="A8" s="11" t="s">
        <v>25</v>
      </c>
      <c r="B8" s="12">
        <v>2</v>
      </c>
      <c r="C8" s="12">
        <v>0</v>
      </c>
      <c r="D8" s="12">
        <v>0</v>
      </c>
      <c r="E8" s="12">
        <v>10</v>
      </c>
      <c r="F8" s="12">
        <v>8</v>
      </c>
      <c r="G8" s="12">
        <v>0</v>
      </c>
      <c r="H8" s="12">
        <v>0</v>
      </c>
      <c r="I8" s="12">
        <f>AVERAGE(tabela_chuva[[#This Row],[Dia 1]:[Dia 7]])</f>
        <v>2.8571428571428572</v>
      </c>
    </row>
    <row r="9" spans="1:9" x14ac:dyDescent="0.3">
      <c r="A9" s="11" t="s">
        <v>26</v>
      </c>
      <c r="B9" s="12">
        <v>0</v>
      </c>
      <c r="C9" s="12">
        <v>0</v>
      </c>
      <c r="D9" s="12">
        <v>0</v>
      </c>
      <c r="E9" s="12">
        <v>0</v>
      </c>
      <c r="F9" s="12">
        <v>8</v>
      </c>
      <c r="G9" s="12">
        <v>8</v>
      </c>
      <c r="H9" s="12">
        <v>12</v>
      </c>
      <c r="I9" s="12">
        <f>AVERAGE(tabela_chuva[[#This Row],[Dia 1]:[Dia 7]])</f>
        <v>4</v>
      </c>
    </row>
    <row r="10" spans="1:9" x14ac:dyDescent="0.3">
      <c r="A10" s="11" t="s">
        <v>27</v>
      </c>
      <c r="B10" s="12">
        <v>15</v>
      </c>
      <c r="C10" s="12">
        <v>30</v>
      </c>
      <c r="D10" s="12">
        <v>30</v>
      </c>
      <c r="E10" s="12">
        <v>12</v>
      </c>
      <c r="F10" s="12">
        <v>8</v>
      </c>
      <c r="G10" s="12">
        <v>20</v>
      </c>
      <c r="H10" s="12">
        <v>15</v>
      </c>
      <c r="I10" s="12">
        <f>AVERAGE(tabela_chuva[[#This Row],[Dia 1]:[Dia 7]])</f>
        <v>18.571428571428573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BD01-E11A-48A7-B0C1-AE5B5A01AA8B}">
  <sheetPr codeName="Planilha7"/>
  <dimension ref="A1:I10"/>
  <sheetViews>
    <sheetView workbookViewId="0">
      <selection activeCell="B23" sqref="B23"/>
    </sheetView>
  </sheetViews>
  <sheetFormatPr defaultRowHeight="14.4" x14ac:dyDescent="0.3"/>
  <cols>
    <col min="1" max="1" width="12.33203125" bestFit="1" customWidth="1"/>
    <col min="2" max="8" width="9.5546875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4">
        <v>22</v>
      </c>
      <c r="C2" s="14">
        <v>26</v>
      </c>
      <c r="D2" s="14">
        <v>28</v>
      </c>
      <c r="E2" s="14">
        <v>32</v>
      </c>
      <c r="F2" s="14">
        <v>23</v>
      </c>
      <c r="G2" s="14">
        <v>20</v>
      </c>
      <c r="H2" s="14">
        <v>22</v>
      </c>
      <c r="I2" s="12">
        <f>AVERAGE(tabela_maxima[[#This Row],[Dia 1]:[Dia 7]])</f>
        <v>24.714285714285715</v>
      </c>
    </row>
    <row r="3" spans="1:9" x14ac:dyDescent="0.3">
      <c r="A3" s="11" t="s">
        <v>20</v>
      </c>
      <c r="B3" s="14">
        <v>25</v>
      </c>
      <c r="C3" s="14">
        <v>28</v>
      </c>
      <c r="D3" s="14">
        <v>24</v>
      </c>
      <c r="E3" s="14">
        <v>26</v>
      </c>
      <c r="F3" s="14">
        <v>27</v>
      </c>
      <c r="G3" s="14">
        <v>27</v>
      </c>
      <c r="H3" s="14">
        <v>33</v>
      </c>
      <c r="I3" s="12">
        <f>AVERAGE(tabela_maxima[[#This Row],[Dia 1]:[Dia 7]])</f>
        <v>27.142857142857142</v>
      </c>
    </row>
    <row r="4" spans="1:9" x14ac:dyDescent="0.3">
      <c r="A4" s="11" t="s">
        <v>21</v>
      </c>
      <c r="B4" s="14">
        <v>24</v>
      </c>
      <c r="C4" s="14">
        <v>28</v>
      </c>
      <c r="D4" s="14">
        <v>34</v>
      </c>
      <c r="E4" s="14">
        <v>32</v>
      </c>
      <c r="F4" s="14">
        <v>37</v>
      </c>
      <c r="G4" s="14">
        <v>33</v>
      </c>
      <c r="H4" s="14">
        <v>22</v>
      </c>
      <c r="I4" s="12">
        <f>AVERAGE(tabela_maxima[[#This Row],[Dia 1]:[Dia 7]])</f>
        <v>30</v>
      </c>
    </row>
    <row r="5" spans="1:9" x14ac:dyDescent="0.3">
      <c r="A5" s="11" t="s">
        <v>22</v>
      </c>
      <c r="B5" s="14">
        <v>22</v>
      </c>
      <c r="C5" s="14">
        <v>22</v>
      </c>
      <c r="D5" s="14">
        <v>22</v>
      </c>
      <c r="E5" s="14">
        <v>24</v>
      </c>
      <c r="F5" s="14">
        <v>28</v>
      </c>
      <c r="G5" s="14">
        <v>27</v>
      </c>
      <c r="H5" s="14">
        <v>27</v>
      </c>
      <c r="I5" s="12">
        <f>AVERAGE(tabela_maxima[[#This Row],[Dia 1]:[Dia 7]])</f>
        <v>24.571428571428573</v>
      </c>
    </row>
    <row r="6" spans="1:9" x14ac:dyDescent="0.3">
      <c r="A6" s="11" t="s">
        <v>23</v>
      </c>
      <c r="B6" s="14">
        <v>28</v>
      </c>
      <c r="C6" s="14">
        <v>25</v>
      </c>
      <c r="D6" s="14">
        <v>26</v>
      </c>
      <c r="E6" s="14">
        <v>24</v>
      </c>
      <c r="F6" s="14">
        <v>24</v>
      </c>
      <c r="G6" s="14">
        <v>25</v>
      </c>
      <c r="H6" s="14">
        <v>25</v>
      </c>
      <c r="I6" s="12">
        <f>AVERAGE(tabela_maxima[[#This Row],[Dia 1]:[Dia 7]])</f>
        <v>25.285714285714285</v>
      </c>
    </row>
    <row r="7" spans="1:9" x14ac:dyDescent="0.3">
      <c r="A7" s="11" t="s">
        <v>24</v>
      </c>
      <c r="B7" s="14">
        <v>24</v>
      </c>
      <c r="C7" s="14">
        <v>27</v>
      </c>
      <c r="D7" s="14">
        <v>28</v>
      </c>
      <c r="E7" s="14">
        <v>38</v>
      </c>
      <c r="F7" s="14">
        <v>24</v>
      </c>
      <c r="G7" s="14">
        <v>22</v>
      </c>
      <c r="H7" s="14">
        <v>23</v>
      </c>
      <c r="I7" s="12">
        <f>AVERAGE(tabela_maxima[[#This Row],[Dia 1]:[Dia 7]])</f>
        <v>26.571428571428573</v>
      </c>
    </row>
    <row r="8" spans="1:9" x14ac:dyDescent="0.3">
      <c r="A8" s="11" t="s">
        <v>25</v>
      </c>
      <c r="B8" s="14">
        <v>23</v>
      </c>
      <c r="C8" s="14">
        <v>24</v>
      </c>
      <c r="D8" s="14">
        <v>30</v>
      </c>
      <c r="E8" s="14">
        <v>29</v>
      </c>
      <c r="F8" s="14">
        <v>20</v>
      </c>
      <c r="G8" s="14">
        <v>21</v>
      </c>
      <c r="H8" s="14">
        <v>26</v>
      </c>
      <c r="I8" s="12">
        <f>AVERAGE(tabela_maxima[[#This Row],[Dia 1]:[Dia 7]])</f>
        <v>24.714285714285715</v>
      </c>
    </row>
    <row r="9" spans="1:9" x14ac:dyDescent="0.3">
      <c r="A9" s="11" t="s">
        <v>26</v>
      </c>
      <c r="B9" s="14">
        <v>24</v>
      </c>
      <c r="C9" s="14">
        <v>24</v>
      </c>
      <c r="D9" s="14">
        <v>27</v>
      </c>
      <c r="E9" s="14">
        <v>28</v>
      </c>
      <c r="F9" s="14">
        <v>27</v>
      </c>
      <c r="G9" s="14">
        <v>23</v>
      </c>
      <c r="H9" s="14">
        <v>24</v>
      </c>
      <c r="I9" s="12">
        <f>AVERAGE(tabela_maxima[[#This Row],[Dia 1]:[Dia 7]])</f>
        <v>25.285714285714285</v>
      </c>
    </row>
    <row r="10" spans="1:9" x14ac:dyDescent="0.3">
      <c r="A10" s="11" t="s">
        <v>27</v>
      </c>
      <c r="B10" s="14">
        <v>26</v>
      </c>
      <c r="C10" s="14">
        <v>29</v>
      </c>
      <c r="D10" s="14">
        <v>26</v>
      </c>
      <c r="E10" s="14">
        <v>22</v>
      </c>
      <c r="F10" s="14">
        <v>24</v>
      </c>
      <c r="G10" s="14">
        <v>23</v>
      </c>
      <c r="H10" s="14">
        <v>25</v>
      </c>
      <c r="I10" s="12">
        <f>AVERAGE(tabela_maxima[[#This Row],[Dia 1]:[Dia 7]])</f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21DE-5978-4A78-BBF1-07B07F2838FA}">
  <sheetPr codeName="Planilha8"/>
  <dimension ref="A1:I10"/>
  <sheetViews>
    <sheetView workbookViewId="0">
      <selection activeCell="B23" sqref="B23"/>
    </sheetView>
  </sheetViews>
  <sheetFormatPr defaultRowHeight="14.4" x14ac:dyDescent="0.3"/>
  <cols>
    <col min="1" max="1" width="12.33203125" bestFit="1" customWidth="1"/>
    <col min="2" max="8" width="9.5546875" bestFit="1" customWidth="1"/>
    <col min="9" max="9" width="10.6640625" bestFit="1" customWidth="1"/>
  </cols>
  <sheetData>
    <row r="1" spans="1:9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  <c r="I1" s="13" t="s">
        <v>18</v>
      </c>
    </row>
    <row r="2" spans="1:9" x14ac:dyDescent="0.3">
      <c r="A2" s="11" t="s">
        <v>19</v>
      </c>
      <c r="B2" s="14">
        <v>16</v>
      </c>
      <c r="C2" s="14">
        <v>16</v>
      </c>
      <c r="D2" s="14">
        <v>16</v>
      </c>
      <c r="E2" s="14">
        <v>16</v>
      </c>
      <c r="F2" s="14">
        <v>16</v>
      </c>
      <c r="G2" s="14">
        <v>16</v>
      </c>
      <c r="H2" s="14">
        <v>16</v>
      </c>
      <c r="I2" s="12">
        <f>AVERAGE(tabela_minima[[#This Row],[Dia 1]:[Dia 7]])</f>
        <v>16</v>
      </c>
    </row>
    <row r="3" spans="1:9" x14ac:dyDescent="0.3">
      <c r="A3" s="11" t="s">
        <v>20</v>
      </c>
      <c r="B3" s="14">
        <v>16</v>
      </c>
      <c r="C3" s="14">
        <v>18</v>
      </c>
      <c r="D3" s="14">
        <v>19</v>
      </c>
      <c r="E3" s="14">
        <v>18</v>
      </c>
      <c r="F3" s="14">
        <v>18</v>
      </c>
      <c r="G3" s="14">
        <v>19</v>
      </c>
      <c r="H3" s="14">
        <v>21</v>
      </c>
      <c r="I3" s="12">
        <f>AVERAGE(tabela_minima[[#This Row],[Dia 1]:[Dia 7]])</f>
        <v>18.428571428571427</v>
      </c>
    </row>
    <row r="4" spans="1:9" x14ac:dyDescent="0.3">
      <c r="A4" s="11" t="s">
        <v>21</v>
      </c>
      <c r="B4" s="14">
        <v>20</v>
      </c>
      <c r="C4" s="14">
        <v>20</v>
      </c>
      <c r="D4" s="14">
        <v>21</v>
      </c>
      <c r="E4" s="14">
        <v>22</v>
      </c>
      <c r="F4" s="14">
        <v>23</v>
      </c>
      <c r="G4" s="14">
        <v>20</v>
      </c>
      <c r="H4" s="14">
        <v>18</v>
      </c>
      <c r="I4" s="12">
        <f>AVERAGE(tabela_minima[[#This Row],[Dia 1]:[Dia 7]])</f>
        <v>20.571428571428573</v>
      </c>
    </row>
    <row r="5" spans="1:9" x14ac:dyDescent="0.3">
      <c r="A5" s="11" t="s">
        <v>22</v>
      </c>
      <c r="B5" s="14">
        <v>16</v>
      </c>
      <c r="C5" s="14">
        <v>17</v>
      </c>
      <c r="D5" s="14">
        <v>17</v>
      </c>
      <c r="E5" s="14">
        <v>16</v>
      </c>
      <c r="F5" s="14">
        <v>18</v>
      </c>
      <c r="G5" s="14">
        <v>18</v>
      </c>
      <c r="H5" s="14">
        <v>19</v>
      </c>
      <c r="I5" s="12">
        <f>AVERAGE(tabela_minima[[#This Row],[Dia 1]:[Dia 7]])</f>
        <v>17.285714285714285</v>
      </c>
    </row>
    <row r="6" spans="1:9" x14ac:dyDescent="0.3">
      <c r="A6" s="11" t="s">
        <v>23</v>
      </c>
      <c r="B6" s="14">
        <v>18</v>
      </c>
      <c r="C6" s="14">
        <v>20</v>
      </c>
      <c r="D6" s="14">
        <v>18</v>
      </c>
      <c r="E6" s="14">
        <v>18</v>
      </c>
      <c r="F6" s="14">
        <v>18</v>
      </c>
      <c r="G6" s="14">
        <v>18</v>
      </c>
      <c r="H6" s="14">
        <v>20</v>
      </c>
      <c r="I6" s="12">
        <f>AVERAGE(tabela_minima[[#This Row],[Dia 1]:[Dia 7]])</f>
        <v>18.571428571428573</v>
      </c>
    </row>
    <row r="7" spans="1:9" x14ac:dyDescent="0.3">
      <c r="A7" s="11" t="s">
        <v>24</v>
      </c>
      <c r="B7" s="14">
        <v>19</v>
      </c>
      <c r="C7" s="14">
        <v>18</v>
      </c>
      <c r="D7" s="14">
        <v>20</v>
      </c>
      <c r="E7" s="14">
        <v>23</v>
      </c>
      <c r="F7" s="14">
        <v>18</v>
      </c>
      <c r="G7" s="14">
        <v>19</v>
      </c>
      <c r="H7" s="14">
        <v>18</v>
      </c>
      <c r="I7" s="12">
        <f>AVERAGE(tabela_minima[[#This Row],[Dia 1]:[Dia 7]])</f>
        <v>19.285714285714285</v>
      </c>
    </row>
    <row r="8" spans="1:9" x14ac:dyDescent="0.3">
      <c r="A8" s="11" t="s">
        <v>25</v>
      </c>
      <c r="B8" s="14">
        <v>19</v>
      </c>
      <c r="C8" s="14">
        <v>20</v>
      </c>
      <c r="D8" s="14">
        <v>20</v>
      </c>
      <c r="E8" s="14">
        <v>20</v>
      </c>
      <c r="F8" s="14">
        <v>16</v>
      </c>
      <c r="G8" s="14">
        <v>18</v>
      </c>
      <c r="H8" s="14">
        <v>15</v>
      </c>
      <c r="I8" s="12">
        <f>AVERAGE(tabela_minima[[#This Row],[Dia 1]:[Dia 7]])</f>
        <v>18.285714285714285</v>
      </c>
    </row>
    <row r="9" spans="1:9" x14ac:dyDescent="0.3">
      <c r="A9" s="11" t="s">
        <v>26</v>
      </c>
      <c r="B9" s="14">
        <v>16</v>
      </c>
      <c r="C9" s="14">
        <v>18</v>
      </c>
      <c r="D9" s="14">
        <v>19</v>
      </c>
      <c r="E9" s="14">
        <v>18</v>
      </c>
      <c r="F9" s="14">
        <v>18</v>
      </c>
      <c r="G9" s="14">
        <v>17</v>
      </c>
      <c r="H9" s="14">
        <v>18</v>
      </c>
      <c r="I9" s="12">
        <f>AVERAGE(tabela_minima[[#This Row],[Dia 1]:[Dia 7]])</f>
        <v>17.714285714285715</v>
      </c>
    </row>
    <row r="10" spans="1:9" x14ac:dyDescent="0.3">
      <c r="A10" s="11" t="s">
        <v>27</v>
      </c>
      <c r="B10" s="14">
        <v>18</v>
      </c>
      <c r="C10" s="14">
        <v>20</v>
      </c>
      <c r="D10" s="14">
        <v>19</v>
      </c>
      <c r="E10" s="14">
        <v>18</v>
      </c>
      <c r="F10" s="14">
        <v>18</v>
      </c>
      <c r="G10" s="14">
        <v>18</v>
      </c>
      <c r="H10" s="14">
        <v>17</v>
      </c>
      <c r="I10" s="12">
        <f>AVERAGE(tabela_minima[[#This Row],[Dia 1]:[Dia 7]])</f>
        <v>18.285714285714285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E21-A61B-47A4-A645-2B3900CC0E60}">
  <sheetPr codeName="Planilha3"/>
  <dimension ref="Q10"/>
  <sheetViews>
    <sheetView showGridLines="0" showRowColHeaders="0" tabSelected="1" zoomScale="97" zoomScaleNormal="97" workbookViewId="0"/>
  </sheetViews>
  <sheetFormatPr defaultColWidth="8.88671875" defaultRowHeight="14.4" x14ac:dyDescent="0.3"/>
  <cols>
    <col min="1" max="16384" width="8.88671875" style="42"/>
  </cols>
  <sheetData>
    <row r="10" spans="17:17" x14ac:dyDescent="0.3">
      <c r="Q10" s="42" t="s">
        <v>28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1" r:id="rId3" name="Group Box 25">
              <controlPr defaultSize="0" print="0" autoFill="0" autoPict="0">
                <anchor moveWithCells="1">
                  <from>
                    <xdr:col>0</xdr:col>
                    <xdr:colOff>350520</xdr:colOff>
                    <xdr:row>0</xdr:row>
                    <xdr:rowOff>167640</xdr:rowOff>
                  </from>
                  <to>
                    <xdr:col>23</xdr:col>
                    <xdr:colOff>160020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4" name="Option Button 26">
              <controlPr defaultSize="0" autoFill="0" autoLine="0" autoPict="0">
                <anchor moveWithCells="1">
                  <from>
                    <xdr:col>1</xdr:col>
                    <xdr:colOff>563880</xdr:colOff>
                    <xdr:row>1</xdr:row>
                    <xdr:rowOff>76200</xdr:rowOff>
                  </from>
                  <to>
                    <xdr:col>3</xdr:col>
                    <xdr:colOff>419100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5" name="Option Button 27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76200</xdr:rowOff>
                  </from>
                  <to>
                    <xdr:col>5</xdr:col>
                    <xdr:colOff>586740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6" name="Option Button 29">
              <controlPr defaultSize="0" autoFill="0" autoLine="0" autoPict="0">
                <anchor moveWithCells="1">
                  <from>
                    <xdr:col>8</xdr:col>
                    <xdr:colOff>441960</xdr:colOff>
                    <xdr:row>1</xdr:row>
                    <xdr:rowOff>76200</xdr:rowOff>
                  </from>
                  <to>
                    <xdr:col>10</xdr:col>
                    <xdr:colOff>297180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7" name="Option Button 30">
              <controlPr defaultSize="0" autoFill="0" autoLine="0" autoPict="0">
                <anchor moveWithCells="1">
                  <from>
                    <xdr:col>10</xdr:col>
                    <xdr:colOff>601980</xdr:colOff>
                    <xdr:row>1</xdr:row>
                    <xdr:rowOff>76200</xdr:rowOff>
                  </from>
                  <to>
                    <xdr:col>12</xdr:col>
                    <xdr:colOff>457200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8" name="Option Button 31">
              <controlPr defaultSize="0" autoFill="0" autoLine="0" autoPict="0">
                <anchor moveWithCells="1">
                  <from>
                    <xdr:col>13</xdr:col>
                    <xdr:colOff>152400</xdr:colOff>
                    <xdr:row>1</xdr:row>
                    <xdr:rowOff>76200</xdr:rowOff>
                  </from>
                  <to>
                    <xdr:col>15</xdr:col>
                    <xdr:colOff>7620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9" name="Option Button 32">
              <controlPr defaultSize="0" autoFill="0" autoLine="0" autoPict="0">
                <anchor moveWithCells="1">
                  <from>
                    <xdr:col>15</xdr:col>
                    <xdr:colOff>320040</xdr:colOff>
                    <xdr:row>1</xdr:row>
                    <xdr:rowOff>76200</xdr:rowOff>
                  </from>
                  <to>
                    <xdr:col>17</xdr:col>
                    <xdr:colOff>175260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0" name="Option Button 34">
              <controlPr defaultSize="0" autoFill="0" autoLine="0" autoPict="0">
                <anchor moveWithCells="1">
                  <from>
                    <xdr:col>20</xdr:col>
                    <xdr:colOff>30480</xdr:colOff>
                    <xdr:row>1</xdr:row>
                    <xdr:rowOff>76200</xdr:rowOff>
                  </from>
                  <to>
                    <xdr:col>21</xdr:col>
                    <xdr:colOff>495300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1" name="Option Button 35">
              <controlPr defaultSize="0" autoFill="0" autoLine="0" autoPict="0">
                <anchor moveWithCells="1">
                  <from>
                    <xdr:col>6</xdr:col>
                    <xdr:colOff>281940</xdr:colOff>
                    <xdr:row>1</xdr:row>
                    <xdr:rowOff>76200</xdr:rowOff>
                  </from>
                  <to>
                    <xdr:col>8</xdr:col>
                    <xdr:colOff>137160</xdr:colOff>
                    <xdr:row>2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2" name="Option Button 36">
              <controlPr defaultSize="0" autoFill="0" autoLine="0" autoPict="0">
                <anchor moveWithCells="1">
                  <from>
                    <xdr:col>17</xdr:col>
                    <xdr:colOff>480060</xdr:colOff>
                    <xdr:row>1</xdr:row>
                    <xdr:rowOff>76200</xdr:rowOff>
                  </from>
                  <to>
                    <xdr:col>19</xdr:col>
                    <xdr:colOff>335280</xdr:colOff>
                    <xdr:row>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6901-C7BD-42BD-96D4-A76AD003CDC9}">
  <dimension ref="A1:G12"/>
  <sheetViews>
    <sheetView zoomScaleNormal="100" workbookViewId="0">
      <selection activeCell="D17" sqref="D17"/>
    </sheetView>
  </sheetViews>
  <sheetFormatPr defaultRowHeight="14.4" x14ac:dyDescent="0.3"/>
  <cols>
    <col min="1" max="1" width="10.5546875" customWidth="1"/>
    <col min="2" max="2" width="15" customWidth="1"/>
    <col min="3" max="3" width="15.44140625" customWidth="1"/>
    <col min="4" max="4" width="24.44140625" customWidth="1"/>
    <col min="5" max="5" width="20.88671875" customWidth="1"/>
    <col min="6" max="6" width="35.6640625" customWidth="1"/>
    <col min="7" max="7" width="34.6640625" customWidth="1"/>
  </cols>
  <sheetData>
    <row r="1" spans="1:7" ht="18" x14ac:dyDescent="0.3">
      <c r="A1" s="43" t="s">
        <v>29</v>
      </c>
      <c r="B1" s="43"/>
      <c r="C1" s="43"/>
      <c r="D1" s="43"/>
      <c r="E1" s="43"/>
      <c r="F1" s="43"/>
      <c r="G1" s="43"/>
    </row>
    <row r="2" spans="1:7" x14ac:dyDescent="0.3">
      <c r="A2" s="38" t="s">
        <v>30</v>
      </c>
      <c r="B2" s="38" t="s">
        <v>31</v>
      </c>
      <c r="C2" s="38" t="s">
        <v>32</v>
      </c>
      <c r="D2" s="38" t="s">
        <v>33</v>
      </c>
      <c r="E2" s="38" t="s">
        <v>34</v>
      </c>
      <c r="F2" s="38" t="s">
        <v>35</v>
      </c>
      <c r="G2" s="38" t="s">
        <v>36</v>
      </c>
    </row>
    <row r="3" spans="1:7" x14ac:dyDescent="0.3">
      <c r="A3" s="35" t="s">
        <v>19</v>
      </c>
      <c r="B3" s="25">
        <f>COUNTIF(tabela_chuva!B2:H2,0)</f>
        <v>4</v>
      </c>
      <c r="C3" s="25">
        <f>COUNTIF(tabela_chuva!B2:H2,"&lt;&gt;0")</f>
        <v>3</v>
      </c>
      <c r="D3" s="28" t="str">
        <f>TEXT(_xlfn.CONCAT(LARGE(tabela_maxima!B2:H2,1),"ºC (Dia ",INDEX(tabela_dia!B2:H2,1,MATCH(LARGE(tabela_maxima!B2:H2,1),tabela_maxima!B2:H2,0)),")"),"00ºC;##")</f>
        <v>32ºC (Dia 4)</v>
      </c>
      <c r="E3" s="28" t="str">
        <f>TEXT(_xlfn.CONCAT(SMALL(tabela_minima!C2:I2,1),"ºC (Dia ",INDEX(tabela_dia!C2:I2,1,MATCH(SMALL(tabela_minima!C2:I2,1),tabela_minima!C2:I2,0)),")"),"00;##")</f>
        <v>16ºC (Dia 2)</v>
      </c>
      <c r="F3" s="25">
        <f>COUNTIF(tabela_maxima!B2:H2,"&gt;30")</f>
        <v>1</v>
      </c>
      <c r="G3" s="25">
        <f>COUNTIF(tabela_minima!B2:H2,"&lt;17")</f>
        <v>7</v>
      </c>
    </row>
    <row r="4" spans="1:7" x14ac:dyDescent="0.3">
      <c r="A4" s="36" t="s">
        <v>20</v>
      </c>
      <c r="B4" s="29">
        <f>COUNTIF(tabela_chuva!B3:H3,0)</f>
        <v>4</v>
      </c>
      <c r="C4" s="29">
        <f>COUNTIF(tabela_chuva!B3:H3,"&lt;&gt;0")</f>
        <v>3</v>
      </c>
      <c r="D4" s="32" t="str">
        <f>TEXT(_xlfn.CONCAT(LARGE(tabela_maxima!B3:H3,1),"ºC (Dia ",INDEX(tabela_dia!B3:H3,1,MATCH(LARGE(tabela_maxima!B3:H3,1),tabela_maxima!B3:H3,0)),")"),"00ºC;##")</f>
        <v>33ºC (Dia 14)</v>
      </c>
      <c r="E4" s="32" t="str">
        <f>TEXT(_xlfn.CONCAT(SMALL(tabela_minima!C3:I3,1),"ºC (Dia ",INDEX(tabela_dia!C3:I3,1,MATCH(SMALL(tabela_minima!C3:I3,1),tabela_minima!C3:I3,0)),")"),"00;##")</f>
        <v>18ºC (Dia 9)</v>
      </c>
      <c r="F4" s="29">
        <f>COUNTIF(tabela_maxima!B3:H3,"&gt;30")</f>
        <v>1</v>
      </c>
      <c r="G4" s="29">
        <f>COUNTIF(tabela_minima!B3:H3,"&lt;17")</f>
        <v>1</v>
      </c>
    </row>
    <row r="5" spans="1:7" x14ac:dyDescent="0.3">
      <c r="A5" s="35" t="s">
        <v>21</v>
      </c>
      <c r="B5" s="25">
        <f>COUNTIF(tabela_chuva!B4:H4,0)</f>
        <v>5</v>
      </c>
      <c r="C5" s="25">
        <f>COUNTIF(tabela_chuva!B4:H4,"&lt;&gt;0")</f>
        <v>2</v>
      </c>
      <c r="D5" s="28" t="str">
        <f>TEXT(_xlfn.CONCAT(LARGE(tabela_maxima!B4:H4,1),"ºC (Dia ",INDEX(tabela_dia!B4:H4,1,MATCH(LARGE(tabela_maxima!B4:H4,1),tabela_maxima!B4:H4,0)),")"),"00ºC;##")</f>
        <v>37ºC (Dia 19)</v>
      </c>
      <c r="E5" s="28" t="str">
        <f>TEXT(_xlfn.CONCAT(SMALL(tabela_minima!C4:I4,1),"ºC (Dia ",INDEX(tabela_dia!C4:I4,1,MATCH(SMALL(tabela_minima!C4:I4,1),tabela_minima!C4:I4,0)),")"),"00;##")</f>
        <v>18ºC (Dia 21)</v>
      </c>
      <c r="F5" s="25">
        <f>COUNTIF(tabela_maxima!B4:H4,"&gt;30")</f>
        <v>4</v>
      </c>
      <c r="G5" s="25">
        <f>COUNTIF(tabela_minima!B4:H4,"&lt;17")</f>
        <v>0</v>
      </c>
    </row>
    <row r="6" spans="1:7" x14ac:dyDescent="0.3">
      <c r="A6" s="36" t="s">
        <v>22</v>
      </c>
      <c r="B6" s="29">
        <f>COUNTIF(tabela_chuva!B5:H5,0)</f>
        <v>3</v>
      </c>
      <c r="C6" s="29">
        <f>COUNTIF(tabela_chuva!B5:H5,"&lt;&gt;0")</f>
        <v>4</v>
      </c>
      <c r="D6" s="32" t="str">
        <f>TEXT(_xlfn.CONCAT(LARGE(tabela_maxima!B5:H5,1),"ºC (Dia ",INDEX(tabela_dia!B5:H5,1,MATCH(LARGE(tabela_maxima!B5:H5,1),tabela_maxima!B5:H5,0)),")"),"00ºC;##")</f>
        <v>28ºC (Dia 26)</v>
      </c>
      <c r="E6" s="32" t="str">
        <f>TEXT(_xlfn.CONCAT(SMALL(tabela_minima!C5:I5,1),"ºC (Dia ",INDEX(tabela_dia!C5:I5,1,MATCH(SMALL(tabela_minima!C5:I5,1),tabela_minima!C5:I5,0)),")"),"00;##")</f>
        <v>16ºC (Dia 25)</v>
      </c>
      <c r="F6" s="29">
        <f>COUNTIF(tabela_maxima!B5:H5,"&gt;30")</f>
        <v>0</v>
      </c>
      <c r="G6" s="29">
        <f>COUNTIF(tabela_minima!B5:H5,"&lt;17")</f>
        <v>2</v>
      </c>
    </row>
    <row r="7" spans="1:7" x14ac:dyDescent="0.3">
      <c r="A7" s="35" t="s">
        <v>23</v>
      </c>
      <c r="B7" s="25">
        <f>COUNTIF(tabela_chuva!B6:H6,0)</f>
        <v>2</v>
      </c>
      <c r="C7" s="25">
        <f>COUNTIF(tabela_chuva!B6:H6,"&lt;&gt;0")</f>
        <v>5</v>
      </c>
      <c r="D7" s="28" t="str">
        <f>TEXT(_xlfn.CONCAT(LARGE(tabela_maxima!B6:H6,1),"ºC (Dia ",INDEX(tabela_dia!B6:H6,1,MATCH(LARGE(tabela_maxima!B6:H6,1),tabela_maxima!B6:H6,0)),")"),"00ºC;##")</f>
        <v>28ºC (Dia 29)</v>
      </c>
      <c r="E7" s="28" t="str">
        <f>TEXT(_xlfn.CONCAT(SMALL(tabela_minima!C6:I6,1),"ºC (Dia ",INDEX(tabela_dia!C6:I6,1,MATCH(SMALL(tabela_minima!C6:I6,1),tabela_minima!C6:I6,0)),")"),"00;##")</f>
        <v>18ºC (Dia 31)</v>
      </c>
      <c r="F7" s="25">
        <f>COUNTIF(tabela_maxima!B6:H6,"&gt;30")</f>
        <v>0</v>
      </c>
      <c r="G7" s="25">
        <f>COUNTIF(tabela_minima!B6:H6,"&lt;17")</f>
        <v>0</v>
      </c>
    </row>
    <row r="8" spans="1:7" x14ac:dyDescent="0.3">
      <c r="A8" s="36" t="s">
        <v>24</v>
      </c>
      <c r="B8" s="29">
        <f>COUNTIF(tabela_chuva!B7:H7,0)</f>
        <v>2</v>
      </c>
      <c r="C8" s="29">
        <f>COUNTIF(tabela_chuva!B7:H7,"&lt;&gt;0")</f>
        <v>5</v>
      </c>
      <c r="D8" s="32" t="str">
        <f>TEXT(_xlfn.CONCAT(LARGE(tabela_maxima!B7:H7,1),"ºC (Dia ",INDEX(tabela_dia!B7:H7,1,MATCH(LARGE(tabela_maxima!B7:H7,1),tabela_maxima!B7:H7,0)),")"),"00ºC;##")</f>
        <v>38ºC (Dia 39)</v>
      </c>
      <c r="E8" s="32" t="str">
        <f>TEXT(_xlfn.CONCAT(SMALL(tabela_minima!C7:I7,1),"ºC (Dia ",INDEX(tabela_dia!C7:I7,1,MATCH(SMALL(tabela_minima!C7:I7,1),tabela_minima!C7:I7,0)),")"),"00;##")</f>
        <v>18ºC (Dia 37)</v>
      </c>
      <c r="F8" s="29">
        <f>COUNTIF(tabela_maxima!B7:H7,"&gt;30")</f>
        <v>1</v>
      </c>
      <c r="G8" s="29">
        <f>COUNTIF(tabela_minima!B7:H7,"&lt;17")</f>
        <v>0</v>
      </c>
    </row>
    <row r="9" spans="1:7" x14ac:dyDescent="0.3">
      <c r="A9" s="35" t="s">
        <v>25</v>
      </c>
      <c r="B9" s="25">
        <f>COUNTIF(tabela_chuva!B8:H8,0)</f>
        <v>4</v>
      </c>
      <c r="C9" s="25">
        <f>COUNTIF(tabela_chuva!B8:H8,"&lt;&gt;0")</f>
        <v>3</v>
      </c>
      <c r="D9" s="28" t="str">
        <f>TEXT(_xlfn.CONCAT(LARGE(tabela_maxima!B8:H8,1),"ºC (Dia ",INDEX(tabela_dia!B8:H8,1,MATCH(LARGE(tabela_maxima!B8:H8,1),tabela_maxima!B8:H8,0)),")"),"00ºC;##")</f>
        <v>30ºC (Dia 45)</v>
      </c>
      <c r="E9" s="28" t="str">
        <f>TEXT(_xlfn.CONCAT(SMALL(tabela_minima!C8:I8,1),"ºC (Dia ",INDEX(tabela_dia!C8:I8,1,MATCH(SMALL(tabela_minima!C8:I8,1),tabela_minima!C8:I8,0)),")"),"00;##")</f>
        <v>15ºC (Dia 49)</v>
      </c>
      <c r="F9" s="25">
        <f>COUNTIF(tabela_maxima!B8:H8,"&gt;30")</f>
        <v>0</v>
      </c>
      <c r="G9" s="25">
        <f>COUNTIF(tabela_minima!B8:H8,"&lt;17")</f>
        <v>2</v>
      </c>
    </row>
    <row r="10" spans="1:7" x14ac:dyDescent="0.3">
      <c r="A10" s="36" t="s">
        <v>26</v>
      </c>
      <c r="B10" s="29">
        <f>COUNTIF(tabela_chuva!B9:H9,0)</f>
        <v>4</v>
      </c>
      <c r="C10" s="29">
        <f>COUNTIF(tabela_chuva!B9:H9,"&lt;&gt;0")</f>
        <v>3</v>
      </c>
      <c r="D10" s="32" t="str">
        <f>TEXT(_xlfn.CONCAT(LARGE(tabela_maxima!B9:H9,1),"ºC (Dia ",INDEX(tabela_dia!B9:H9,1,MATCH(LARGE(tabela_maxima!B9:H9,1),tabela_maxima!B9:H9,0)),")"),"00ºC;##")</f>
        <v>28ºC (Dia 53)</v>
      </c>
      <c r="E10" s="32" t="str">
        <f>TEXT(_xlfn.CONCAT(SMALL(tabela_minima!C9:I9,1),"ºC (Dia ",INDEX(tabela_dia!C9:I9,1,MATCH(SMALL(tabela_minima!C9:I9,1),tabela_minima!C9:I9,0)),")"),"00;##")</f>
        <v>17ºC (Dia 55)</v>
      </c>
      <c r="F10" s="29">
        <f>COUNTIF(tabela_maxima!B9:H9,"&gt;30")</f>
        <v>0</v>
      </c>
      <c r="G10" s="29">
        <f>COUNTIF(tabela_minima!B9:H9,"&lt;17")</f>
        <v>1</v>
      </c>
    </row>
    <row r="11" spans="1:7" x14ac:dyDescent="0.3">
      <c r="A11" s="35" t="s">
        <v>27</v>
      </c>
      <c r="B11" s="25">
        <f>COUNTIF(tabela_chuva!B10:H10,0)</f>
        <v>0</v>
      </c>
      <c r="C11" s="25">
        <f>COUNTIF(tabela_chuva!B10:H10,"&lt;&gt;0")</f>
        <v>7</v>
      </c>
      <c r="D11" s="28" t="str">
        <f>TEXT(_xlfn.CONCAT(LARGE(tabela_maxima!B10:H10,1),"ºC (Dia ",INDEX(tabela_dia!B10:H10,1,MATCH(LARGE(tabela_maxima!B10:H10,1),tabela_maxima!B10:H10,0)),")"),"00ºC;##")</f>
        <v>29ºC (Dia 58)</v>
      </c>
      <c r="E11" s="28" t="str">
        <f>TEXT(_xlfn.CONCAT(SMALL(tabela_minima!C10:I10,1),"ºC (Dia ",INDEX(tabela_dia!C10:I10,1,MATCH(SMALL(tabela_minima!C10:I10,1),tabela_minima!C10:I10,0)),")"),"00;##")</f>
        <v>17ºC (Dia 63)</v>
      </c>
      <c r="F11" s="25">
        <f>COUNTIF(tabela_maxima!B10:H10,"&gt;30")</f>
        <v>0</v>
      </c>
      <c r="G11" s="25">
        <f>COUNTIF(tabela_minima!B10:H10,"&lt;17")</f>
        <v>0</v>
      </c>
    </row>
    <row r="12" spans="1:7" x14ac:dyDescent="0.3">
      <c r="A12" s="39" t="s">
        <v>37</v>
      </c>
      <c r="B12" s="40">
        <f>SUM(B3:B11)</f>
        <v>28</v>
      </c>
      <c r="C12" s="40">
        <f>SUM(C3:C11)</f>
        <v>35</v>
      </c>
      <c r="D12" s="41">
        <f>LARGE(tabela_maxima[[Dia 1]:[Dia 7]],1)</f>
        <v>38</v>
      </c>
      <c r="E12" s="41">
        <f>SMALL(tabela_minima[[Dia 1]:[Dia 7]],1)</f>
        <v>15</v>
      </c>
      <c r="F12" s="40">
        <f>SUM(F3:F11)</f>
        <v>7</v>
      </c>
      <c r="G12" s="40">
        <f>SUM(G3:G11)</f>
        <v>13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ignoredErrors>
    <ignoredError sqref="E3:E1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8078-5266-41C8-880C-EBF21D22F190}">
  <sheetPr codeName="Planilha4"/>
  <dimension ref="A1:Q65"/>
  <sheetViews>
    <sheetView zoomScale="74" zoomScaleNormal="74" workbookViewId="0">
      <selection activeCell="I1" sqref="I1:O1"/>
    </sheetView>
  </sheetViews>
  <sheetFormatPr defaultRowHeight="14.4" x14ac:dyDescent="0.3"/>
  <cols>
    <col min="1" max="1" width="8.109375" style="19" bestFit="1" customWidth="1"/>
    <col min="2" max="2" width="11.21875" style="5" bestFit="1" customWidth="1"/>
    <col min="3" max="3" width="27.5546875" style="15" customWidth="1"/>
    <col min="4" max="4" width="27.6640625" style="15" bestFit="1" customWidth="1"/>
    <col min="5" max="5" width="25" style="15" bestFit="1" customWidth="1"/>
    <col min="6" max="6" width="26.109375" style="15" bestFit="1" customWidth="1"/>
    <col min="7" max="7" width="15.88671875" style="16" bestFit="1" customWidth="1"/>
    <col min="9" max="9" width="6.109375" bestFit="1" customWidth="1"/>
    <col min="10" max="10" width="19.6640625" bestFit="1" customWidth="1"/>
    <col min="11" max="11" width="18.33203125" bestFit="1" customWidth="1"/>
    <col min="12" max="12" width="17.88671875" bestFit="1" customWidth="1"/>
    <col min="13" max="13" width="15.88671875" bestFit="1" customWidth="1"/>
    <col min="14" max="14" width="16.6640625" bestFit="1" customWidth="1"/>
    <col min="15" max="15" width="12" bestFit="1" customWidth="1"/>
    <col min="19" max="20" width="13.5546875" bestFit="1" customWidth="1"/>
    <col min="21" max="21" width="13.6640625" bestFit="1" customWidth="1"/>
    <col min="22" max="22" width="22.33203125" bestFit="1" customWidth="1"/>
    <col min="23" max="23" width="19.33203125" bestFit="1" customWidth="1"/>
    <col min="24" max="25" width="32.6640625" bestFit="1" customWidth="1"/>
  </cols>
  <sheetData>
    <row r="1" spans="1:17" ht="18" x14ac:dyDescent="0.3">
      <c r="A1" s="11" t="s">
        <v>0</v>
      </c>
      <c r="B1" s="11" t="s">
        <v>38</v>
      </c>
      <c r="C1" s="11" t="s">
        <v>39</v>
      </c>
      <c r="D1" s="11" t="s">
        <v>40</v>
      </c>
      <c r="E1" s="11" t="s">
        <v>41</v>
      </c>
      <c r="F1" s="11" t="s">
        <v>42</v>
      </c>
      <c r="G1" s="11" t="s">
        <v>43</v>
      </c>
      <c r="I1" s="43" t="str">
        <f>_xlfn.CONCAT(System!$AE$11," - Santos/SP - ",TEXT($J$3,"dd/mm/aaaa;")," até ",TEXT($J$9,"dd/mm/aaaa"))</f>
        <v>Semana 5 - Santos/SP - 04/09/2021 (Sábado) até 10/09/2021 (Sexta)</v>
      </c>
      <c r="J1" s="43"/>
      <c r="K1" s="43"/>
      <c r="L1" s="43"/>
      <c r="M1" s="43"/>
      <c r="N1" s="43"/>
      <c r="O1" s="43"/>
      <c r="P1" s="23"/>
      <c r="Q1" s="23"/>
    </row>
    <row r="2" spans="1:17" x14ac:dyDescent="0.3">
      <c r="A2" s="14">
        <v>1</v>
      </c>
      <c r="B2" s="20">
        <v>44415</v>
      </c>
      <c r="C2" s="21">
        <v>22</v>
      </c>
      <c r="D2" s="21">
        <v>16</v>
      </c>
      <c r="E2" s="21">
        <v>6</v>
      </c>
      <c r="F2" s="21">
        <v>19</v>
      </c>
      <c r="G2" s="22">
        <v>0</v>
      </c>
      <c r="I2" s="24" t="s">
        <v>44</v>
      </c>
      <c r="J2" s="24" t="s">
        <v>45</v>
      </c>
      <c r="K2" s="24" t="s">
        <v>46</v>
      </c>
      <c r="L2" s="24" t="s">
        <v>47</v>
      </c>
      <c r="M2" s="24" t="s">
        <v>48</v>
      </c>
      <c r="N2" s="24" t="s">
        <v>49</v>
      </c>
      <c r="O2" s="24" t="s">
        <v>50</v>
      </c>
      <c r="P2" s="23"/>
      <c r="Q2" s="23"/>
    </row>
    <row r="3" spans="1:17" x14ac:dyDescent="0.3">
      <c r="A3" s="14">
        <v>2</v>
      </c>
      <c r="B3" s="20">
        <v>44416</v>
      </c>
      <c r="C3" s="21">
        <v>26</v>
      </c>
      <c r="D3" s="21">
        <v>16</v>
      </c>
      <c r="E3" s="21">
        <v>10</v>
      </c>
      <c r="F3" s="21">
        <v>21</v>
      </c>
      <c r="G3" s="22">
        <v>0</v>
      </c>
      <c r="I3" s="25">
        <f>System!A11</f>
        <v>29</v>
      </c>
      <c r="J3" s="26" t="str">
        <f>System!B11</f>
        <v>04/09/2021 (Sábado)</v>
      </c>
      <c r="K3" s="27">
        <f>System!C11</f>
        <v>28</v>
      </c>
      <c r="L3" s="27">
        <f>System!D11</f>
        <v>18</v>
      </c>
      <c r="M3" s="27">
        <f>System!E11</f>
        <v>10</v>
      </c>
      <c r="N3" s="27">
        <f>System!F11</f>
        <v>23</v>
      </c>
      <c r="O3" s="28">
        <f>System!G11</f>
        <v>0</v>
      </c>
    </row>
    <row r="4" spans="1:17" x14ac:dyDescent="0.3">
      <c r="A4" s="14">
        <v>3</v>
      </c>
      <c r="B4" s="20">
        <v>44417</v>
      </c>
      <c r="C4" s="21">
        <v>28</v>
      </c>
      <c r="D4" s="21">
        <v>16</v>
      </c>
      <c r="E4" s="21">
        <v>12</v>
      </c>
      <c r="F4" s="21">
        <v>22</v>
      </c>
      <c r="G4" s="22">
        <v>0</v>
      </c>
      <c r="I4" s="29">
        <f>System!A12</f>
        <v>30</v>
      </c>
      <c r="J4" s="30" t="str">
        <f>System!B12</f>
        <v>05/09/2021 (Domingo)</v>
      </c>
      <c r="K4" s="31">
        <f>System!C12</f>
        <v>25</v>
      </c>
      <c r="L4" s="31">
        <f>System!D12</f>
        <v>20</v>
      </c>
      <c r="M4" s="31">
        <f>System!E12</f>
        <v>5</v>
      </c>
      <c r="N4" s="31">
        <f>System!F12</f>
        <v>23</v>
      </c>
      <c r="O4" s="32">
        <f>System!G12</f>
        <v>2</v>
      </c>
    </row>
    <row r="5" spans="1:17" x14ac:dyDescent="0.3">
      <c r="A5" s="14">
        <v>4</v>
      </c>
      <c r="B5" s="20">
        <v>44418</v>
      </c>
      <c r="C5" s="21">
        <v>32</v>
      </c>
      <c r="D5" s="21">
        <v>16</v>
      </c>
      <c r="E5" s="21">
        <v>16</v>
      </c>
      <c r="F5" s="21">
        <v>24</v>
      </c>
      <c r="G5" s="22">
        <v>0</v>
      </c>
      <c r="I5" s="25">
        <f>System!A13</f>
        <v>31</v>
      </c>
      <c r="J5" s="26" t="str">
        <f>System!B13</f>
        <v>06/09/2021 (Segunda)</v>
      </c>
      <c r="K5" s="27">
        <f>System!C13</f>
        <v>26</v>
      </c>
      <c r="L5" s="27">
        <f>System!D13</f>
        <v>18</v>
      </c>
      <c r="M5" s="27">
        <f>System!E13</f>
        <v>8</v>
      </c>
      <c r="N5" s="27">
        <f>System!F13</f>
        <v>22</v>
      </c>
      <c r="O5" s="28">
        <f>System!G13</f>
        <v>2</v>
      </c>
    </row>
    <row r="6" spans="1:17" x14ac:dyDescent="0.3">
      <c r="A6" s="14">
        <v>5</v>
      </c>
      <c r="B6" s="20">
        <v>44419</v>
      </c>
      <c r="C6" s="21">
        <v>23</v>
      </c>
      <c r="D6" s="21">
        <v>16</v>
      </c>
      <c r="E6" s="21">
        <v>7</v>
      </c>
      <c r="F6" s="21">
        <v>20</v>
      </c>
      <c r="G6" s="22">
        <v>15</v>
      </c>
      <c r="I6" s="29">
        <f>System!A14</f>
        <v>32</v>
      </c>
      <c r="J6" s="30" t="str">
        <f>System!B14</f>
        <v>07/09/2021 (Terça)</v>
      </c>
      <c r="K6" s="31">
        <f>System!C14</f>
        <v>24</v>
      </c>
      <c r="L6" s="31">
        <f>System!D14</f>
        <v>18</v>
      </c>
      <c r="M6" s="31">
        <f>System!E14</f>
        <v>6</v>
      </c>
      <c r="N6" s="31">
        <f>System!F14</f>
        <v>21</v>
      </c>
      <c r="O6" s="32">
        <f>System!G14</f>
        <v>2</v>
      </c>
    </row>
    <row r="7" spans="1:17" x14ac:dyDescent="0.3">
      <c r="A7" s="14">
        <v>6</v>
      </c>
      <c r="B7" s="20">
        <v>44420</v>
      </c>
      <c r="C7" s="21">
        <v>20</v>
      </c>
      <c r="D7" s="21">
        <v>16</v>
      </c>
      <c r="E7" s="21">
        <v>4</v>
      </c>
      <c r="F7" s="21">
        <v>18</v>
      </c>
      <c r="G7" s="22">
        <v>40</v>
      </c>
      <c r="I7" s="25">
        <f>System!A15</f>
        <v>33</v>
      </c>
      <c r="J7" s="26" t="str">
        <f>System!B15</f>
        <v>08/09/2021 (Quarta)</v>
      </c>
      <c r="K7" s="27">
        <f>System!C15</f>
        <v>24</v>
      </c>
      <c r="L7" s="27">
        <f>System!D15</f>
        <v>18</v>
      </c>
      <c r="M7" s="27">
        <f>System!E15</f>
        <v>6</v>
      </c>
      <c r="N7" s="27">
        <f>System!F15</f>
        <v>21</v>
      </c>
      <c r="O7" s="28">
        <f>System!G15</f>
        <v>0</v>
      </c>
    </row>
    <row r="8" spans="1:17" x14ac:dyDescent="0.3">
      <c r="A8" s="14">
        <v>7</v>
      </c>
      <c r="B8" s="20">
        <v>44421</v>
      </c>
      <c r="C8" s="21">
        <v>22</v>
      </c>
      <c r="D8" s="21">
        <v>16</v>
      </c>
      <c r="E8" s="21">
        <v>6</v>
      </c>
      <c r="F8" s="21">
        <v>19</v>
      </c>
      <c r="G8" s="22">
        <v>35</v>
      </c>
      <c r="I8" s="29">
        <f>System!A16</f>
        <v>34</v>
      </c>
      <c r="J8" s="30" t="str">
        <f>System!B16</f>
        <v>09/09/2021 (Quinta)</v>
      </c>
      <c r="K8" s="31">
        <f>System!C16</f>
        <v>25</v>
      </c>
      <c r="L8" s="31">
        <f>System!D16</f>
        <v>18</v>
      </c>
      <c r="M8" s="31">
        <f>System!E16</f>
        <v>7</v>
      </c>
      <c r="N8" s="31">
        <f>System!F16</f>
        <v>22</v>
      </c>
      <c r="O8" s="32">
        <f>System!G16</f>
        <v>15</v>
      </c>
    </row>
    <row r="9" spans="1:17" collapsed="1" x14ac:dyDescent="0.3">
      <c r="A9" s="14">
        <v>8</v>
      </c>
      <c r="B9" s="20">
        <v>44422</v>
      </c>
      <c r="C9" s="21">
        <v>25</v>
      </c>
      <c r="D9" s="21">
        <v>16</v>
      </c>
      <c r="E9" s="21">
        <v>9</v>
      </c>
      <c r="F9" s="21">
        <v>21</v>
      </c>
      <c r="G9" s="22">
        <v>20</v>
      </c>
      <c r="I9" s="25">
        <f>System!A17</f>
        <v>35</v>
      </c>
      <c r="J9" s="26" t="str">
        <f>System!B17</f>
        <v>10/09/2021 (Sexta)</v>
      </c>
      <c r="K9" s="27">
        <f>System!C17</f>
        <v>25</v>
      </c>
      <c r="L9" s="27">
        <f>System!D17</f>
        <v>20</v>
      </c>
      <c r="M9" s="27">
        <f>System!E17</f>
        <v>5</v>
      </c>
      <c r="N9" s="27">
        <f>System!F17</f>
        <v>23</v>
      </c>
      <c r="O9" s="28">
        <f>System!G17</f>
        <v>30</v>
      </c>
    </row>
    <row r="10" spans="1:17" x14ac:dyDescent="0.3">
      <c r="A10" s="14">
        <v>9</v>
      </c>
      <c r="B10" s="20">
        <v>44423</v>
      </c>
      <c r="C10" s="21">
        <v>28</v>
      </c>
      <c r="D10" s="21">
        <v>18</v>
      </c>
      <c r="E10" s="21">
        <v>10</v>
      </c>
      <c r="F10" s="21">
        <v>23</v>
      </c>
      <c r="G10" s="22">
        <v>10</v>
      </c>
      <c r="I10" s="44" t="s">
        <v>51</v>
      </c>
      <c r="J10" s="44"/>
      <c r="K10" s="33">
        <f>ROUND(AVERAGE(K3:K9),0)</f>
        <v>25</v>
      </c>
      <c r="L10" s="33">
        <f t="shared" ref="L10:N10" si="0">ROUND(AVERAGE(L3:L9),0)</f>
        <v>19</v>
      </c>
      <c r="M10" s="33">
        <f t="shared" si="0"/>
        <v>7</v>
      </c>
      <c r="N10" s="33">
        <f t="shared" si="0"/>
        <v>22</v>
      </c>
      <c r="O10" s="34">
        <f>ROUND(SUM(O3:O9),0)</f>
        <v>51</v>
      </c>
    </row>
    <row r="11" spans="1:17" x14ac:dyDescent="0.3">
      <c r="A11" s="14">
        <v>10</v>
      </c>
      <c r="B11" s="20">
        <v>44424</v>
      </c>
      <c r="C11" s="21">
        <v>24</v>
      </c>
      <c r="D11" s="21">
        <v>19</v>
      </c>
      <c r="E11" s="21">
        <v>5</v>
      </c>
      <c r="F11" s="21">
        <v>22</v>
      </c>
      <c r="G11" s="22">
        <v>20</v>
      </c>
    </row>
    <row r="12" spans="1:17" x14ac:dyDescent="0.3">
      <c r="A12" s="14">
        <v>11</v>
      </c>
      <c r="B12" s="20">
        <v>44425</v>
      </c>
      <c r="C12" s="21">
        <v>26</v>
      </c>
      <c r="D12" s="21">
        <v>18</v>
      </c>
      <c r="E12" s="21">
        <v>8</v>
      </c>
      <c r="F12" s="21">
        <v>22</v>
      </c>
      <c r="G12" s="22">
        <v>0</v>
      </c>
    </row>
    <row r="13" spans="1:17" x14ac:dyDescent="0.3">
      <c r="A13" s="14">
        <v>12</v>
      </c>
      <c r="B13" s="20">
        <v>44426</v>
      </c>
      <c r="C13" s="21">
        <v>27</v>
      </c>
      <c r="D13" s="21">
        <v>18</v>
      </c>
      <c r="E13" s="21">
        <v>9</v>
      </c>
      <c r="F13" s="21">
        <v>23</v>
      </c>
      <c r="G13" s="22">
        <v>0</v>
      </c>
    </row>
    <row r="14" spans="1:17" x14ac:dyDescent="0.3">
      <c r="A14" s="14">
        <v>13</v>
      </c>
      <c r="B14" s="20">
        <v>44427</v>
      </c>
      <c r="C14" s="21">
        <v>27</v>
      </c>
      <c r="D14" s="21">
        <v>19</v>
      </c>
      <c r="E14" s="21">
        <v>8</v>
      </c>
      <c r="F14" s="21">
        <v>23</v>
      </c>
      <c r="G14" s="22">
        <v>0</v>
      </c>
    </row>
    <row r="15" spans="1:17" x14ac:dyDescent="0.3">
      <c r="A15" s="14">
        <v>14</v>
      </c>
      <c r="B15" s="20">
        <v>44428</v>
      </c>
      <c r="C15" s="21">
        <v>33</v>
      </c>
      <c r="D15" s="21">
        <v>21</v>
      </c>
      <c r="E15" s="21">
        <v>12</v>
      </c>
      <c r="F15" s="21">
        <v>27</v>
      </c>
      <c r="G15" s="22">
        <v>0</v>
      </c>
    </row>
    <row r="16" spans="1:17" x14ac:dyDescent="0.3">
      <c r="A16" s="14">
        <v>15</v>
      </c>
      <c r="B16" s="20">
        <v>44429</v>
      </c>
      <c r="C16" s="21">
        <v>24</v>
      </c>
      <c r="D16" s="21">
        <v>20</v>
      </c>
      <c r="E16" s="21">
        <v>4</v>
      </c>
      <c r="F16" s="21">
        <v>22</v>
      </c>
      <c r="G16" s="22">
        <v>0</v>
      </c>
    </row>
    <row r="17" spans="1:7" x14ac:dyDescent="0.3">
      <c r="A17" s="14">
        <v>16</v>
      </c>
      <c r="B17" s="20">
        <v>44430</v>
      </c>
      <c r="C17" s="21">
        <v>28</v>
      </c>
      <c r="D17" s="21">
        <v>20</v>
      </c>
      <c r="E17" s="21">
        <v>8</v>
      </c>
      <c r="F17" s="21">
        <v>24</v>
      </c>
      <c r="G17" s="22">
        <v>0</v>
      </c>
    </row>
    <row r="18" spans="1:7" x14ac:dyDescent="0.3">
      <c r="A18" s="14">
        <v>17</v>
      </c>
      <c r="B18" s="20">
        <v>44431</v>
      </c>
      <c r="C18" s="21">
        <v>34</v>
      </c>
      <c r="D18" s="21">
        <v>21</v>
      </c>
      <c r="E18" s="21">
        <v>13</v>
      </c>
      <c r="F18" s="21">
        <v>28</v>
      </c>
      <c r="G18" s="22">
        <v>0</v>
      </c>
    </row>
    <row r="19" spans="1:7" x14ac:dyDescent="0.3">
      <c r="A19" s="14">
        <v>18</v>
      </c>
      <c r="B19" s="20">
        <v>44432</v>
      </c>
      <c r="C19" s="21">
        <v>32</v>
      </c>
      <c r="D19" s="21">
        <v>22</v>
      </c>
      <c r="E19" s="21">
        <v>10</v>
      </c>
      <c r="F19" s="21">
        <v>27</v>
      </c>
      <c r="G19" s="22">
        <v>0</v>
      </c>
    </row>
    <row r="20" spans="1:7" x14ac:dyDescent="0.3">
      <c r="A20" s="14">
        <v>19</v>
      </c>
      <c r="B20" s="20">
        <v>44433</v>
      </c>
      <c r="C20" s="21">
        <v>37</v>
      </c>
      <c r="D20" s="21">
        <v>23</v>
      </c>
      <c r="E20" s="21">
        <v>14</v>
      </c>
      <c r="F20" s="21">
        <v>30</v>
      </c>
      <c r="G20" s="22">
        <v>0</v>
      </c>
    </row>
    <row r="21" spans="1:7" x14ac:dyDescent="0.3">
      <c r="A21" s="14">
        <v>20</v>
      </c>
      <c r="B21" s="20">
        <v>44434</v>
      </c>
      <c r="C21" s="21">
        <v>33</v>
      </c>
      <c r="D21" s="21">
        <v>20</v>
      </c>
      <c r="E21" s="21">
        <v>13</v>
      </c>
      <c r="F21" s="21">
        <v>27</v>
      </c>
      <c r="G21" s="22">
        <v>5</v>
      </c>
    </row>
    <row r="22" spans="1:7" x14ac:dyDescent="0.3">
      <c r="A22" s="14">
        <v>21</v>
      </c>
      <c r="B22" s="20">
        <v>44435</v>
      </c>
      <c r="C22" s="21">
        <v>22</v>
      </c>
      <c r="D22" s="21">
        <v>18</v>
      </c>
      <c r="E22" s="21">
        <v>4</v>
      </c>
      <c r="F22" s="21">
        <v>20</v>
      </c>
      <c r="G22" s="22">
        <v>25</v>
      </c>
    </row>
    <row r="23" spans="1:7" x14ac:dyDescent="0.3">
      <c r="A23" s="14">
        <v>22</v>
      </c>
      <c r="B23" s="20">
        <v>44436</v>
      </c>
      <c r="C23" s="21">
        <v>22</v>
      </c>
      <c r="D23" s="21">
        <v>16</v>
      </c>
      <c r="E23" s="21">
        <v>6</v>
      </c>
      <c r="F23" s="21">
        <v>19</v>
      </c>
      <c r="G23" s="22">
        <v>35</v>
      </c>
    </row>
    <row r="24" spans="1:7" x14ac:dyDescent="0.3">
      <c r="A24" s="14">
        <v>23</v>
      </c>
      <c r="B24" s="20">
        <v>44437</v>
      </c>
      <c r="C24" s="21">
        <v>22</v>
      </c>
      <c r="D24" s="21">
        <v>17</v>
      </c>
      <c r="E24" s="21">
        <v>5</v>
      </c>
      <c r="F24" s="21">
        <v>20</v>
      </c>
      <c r="G24" s="22">
        <v>30</v>
      </c>
    </row>
    <row r="25" spans="1:7" x14ac:dyDescent="0.3">
      <c r="A25" s="14">
        <v>24</v>
      </c>
      <c r="B25" s="20">
        <v>44438</v>
      </c>
      <c r="C25" s="21">
        <v>22</v>
      </c>
      <c r="D25" s="21">
        <v>17</v>
      </c>
      <c r="E25" s="21">
        <v>5</v>
      </c>
      <c r="F25" s="21">
        <v>20</v>
      </c>
      <c r="G25" s="22">
        <v>15</v>
      </c>
    </row>
    <row r="26" spans="1:7" x14ac:dyDescent="0.3">
      <c r="A26" s="14">
        <v>25</v>
      </c>
      <c r="B26" s="20">
        <v>44439</v>
      </c>
      <c r="C26" s="21">
        <v>24</v>
      </c>
      <c r="D26" s="21">
        <v>16</v>
      </c>
      <c r="E26" s="21">
        <v>8</v>
      </c>
      <c r="F26" s="21">
        <v>20</v>
      </c>
      <c r="G26" s="22">
        <v>5</v>
      </c>
    </row>
    <row r="27" spans="1:7" x14ac:dyDescent="0.3">
      <c r="A27" s="14">
        <v>26</v>
      </c>
      <c r="B27" s="20">
        <v>44440</v>
      </c>
      <c r="C27" s="21">
        <v>28</v>
      </c>
      <c r="D27" s="21">
        <v>18</v>
      </c>
      <c r="E27" s="21">
        <v>10</v>
      </c>
      <c r="F27" s="21">
        <v>23</v>
      </c>
      <c r="G27" s="22">
        <v>0</v>
      </c>
    </row>
    <row r="28" spans="1:7" x14ac:dyDescent="0.3">
      <c r="A28" s="14">
        <v>27</v>
      </c>
      <c r="B28" s="20">
        <v>44441</v>
      </c>
      <c r="C28" s="21">
        <v>27</v>
      </c>
      <c r="D28" s="21">
        <v>18</v>
      </c>
      <c r="E28" s="21">
        <v>9</v>
      </c>
      <c r="F28" s="21">
        <v>23</v>
      </c>
      <c r="G28" s="22">
        <v>0</v>
      </c>
    </row>
    <row r="29" spans="1:7" x14ac:dyDescent="0.3">
      <c r="A29" s="14">
        <v>28</v>
      </c>
      <c r="B29" s="20">
        <v>44442</v>
      </c>
      <c r="C29" s="21">
        <v>27</v>
      </c>
      <c r="D29" s="21">
        <v>19</v>
      </c>
      <c r="E29" s="21">
        <v>8</v>
      </c>
      <c r="F29" s="21">
        <v>23</v>
      </c>
      <c r="G29" s="22">
        <v>0</v>
      </c>
    </row>
    <row r="30" spans="1:7" x14ac:dyDescent="0.3">
      <c r="A30" s="14">
        <v>29</v>
      </c>
      <c r="B30" s="20">
        <v>44443</v>
      </c>
      <c r="C30" s="21">
        <v>28</v>
      </c>
      <c r="D30" s="21">
        <v>18</v>
      </c>
      <c r="E30" s="21">
        <v>10</v>
      </c>
      <c r="F30" s="21">
        <v>23</v>
      </c>
      <c r="G30" s="22">
        <v>0</v>
      </c>
    </row>
    <row r="31" spans="1:7" x14ac:dyDescent="0.3">
      <c r="A31" s="14">
        <v>30</v>
      </c>
      <c r="B31" s="20">
        <v>44444</v>
      </c>
      <c r="C31" s="21">
        <v>25</v>
      </c>
      <c r="D31" s="21">
        <v>20</v>
      </c>
      <c r="E31" s="21">
        <v>5</v>
      </c>
      <c r="F31" s="21">
        <v>23</v>
      </c>
      <c r="G31" s="22">
        <v>2</v>
      </c>
    </row>
    <row r="32" spans="1:7" x14ac:dyDescent="0.3">
      <c r="A32" s="14">
        <v>31</v>
      </c>
      <c r="B32" s="20">
        <v>44445</v>
      </c>
      <c r="C32" s="21">
        <v>26</v>
      </c>
      <c r="D32" s="21">
        <v>18</v>
      </c>
      <c r="E32" s="21">
        <v>8</v>
      </c>
      <c r="F32" s="21">
        <v>22</v>
      </c>
      <c r="G32" s="22">
        <v>2</v>
      </c>
    </row>
    <row r="33" spans="1:7" x14ac:dyDescent="0.3">
      <c r="A33" s="14">
        <v>32</v>
      </c>
      <c r="B33" s="20">
        <v>44446</v>
      </c>
      <c r="C33" s="21">
        <v>24</v>
      </c>
      <c r="D33" s="21">
        <v>18</v>
      </c>
      <c r="E33" s="21">
        <v>6</v>
      </c>
      <c r="F33" s="21">
        <v>21</v>
      </c>
      <c r="G33" s="22">
        <v>2</v>
      </c>
    </row>
    <row r="34" spans="1:7" x14ac:dyDescent="0.3">
      <c r="A34" s="14">
        <v>33</v>
      </c>
      <c r="B34" s="20">
        <v>44447</v>
      </c>
      <c r="C34" s="21">
        <v>24</v>
      </c>
      <c r="D34" s="21">
        <v>18</v>
      </c>
      <c r="E34" s="21">
        <v>6</v>
      </c>
      <c r="F34" s="21">
        <v>21</v>
      </c>
      <c r="G34" s="22">
        <v>0</v>
      </c>
    </row>
    <row r="35" spans="1:7" x14ac:dyDescent="0.3">
      <c r="A35" s="14">
        <v>34</v>
      </c>
      <c r="B35" s="20">
        <v>44448</v>
      </c>
      <c r="C35" s="21">
        <v>25</v>
      </c>
      <c r="D35" s="21">
        <v>18</v>
      </c>
      <c r="E35" s="21">
        <v>7</v>
      </c>
      <c r="F35" s="21">
        <v>22</v>
      </c>
      <c r="G35" s="22">
        <v>15</v>
      </c>
    </row>
    <row r="36" spans="1:7" x14ac:dyDescent="0.3">
      <c r="A36" s="14">
        <v>35</v>
      </c>
      <c r="B36" s="20">
        <v>44449</v>
      </c>
      <c r="C36" s="21">
        <v>25</v>
      </c>
      <c r="D36" s="21">
        <v>20</v>
      </c>
      <c r="E36" s="21">
        <v>5</v>
      </c>
      <c r="F36" s="21">
        <v>23</v>
      </c>
      <c r="G36" s="22">
        <v>30</v>
      </c>
    </row>
    <row r="37" spans="1:7" x14ac:dyDescent="0.3">
      <c r="A37" s="14">
        <v>36</v>
      </c>
      <c r="B37" s="20">
        <v>44450</v>
      </c>
      <c r="C37" s="21">
        <v>24</v>
      </c>
      <c r="D37" s="21">
        <v>19</v>
      </c>
      <c r="E37" s="21">
        <v>5</v>
      </c>
      <c r="F37" s="21">
        <v>22</v>
      </c>
      <c r="G37" s="22">
        <v>10</v>
      </c>
    </row>
    <row r="38" spans="1:7" x14ac:dyDescent="0.3">
      <c r="A38" s="14">
        <v>37</v>
      </c>
      <c r="B38" s="20">
        <v>44451</v>
      </c>
      <c r="C38" s="21">
        <v>27</v>
      </c>
      <c r="D38" s="21">
        <v>18</v>
      </c>
      <c r="E38" s="21">
        <v>9</v>
      </c>
      <c r="F38" s="21">
        <v>23</v>
      </c>
      <c r="G38" s="22">
        <v>0</v>
      </c>
    </row>
    <row r="39" spans="1:7" x14ac:dyDescent="0.3">
      <c r="A39" s="14">
        <v>38</v>
      </c>
      <c r="B39" s="20">
        <v>44452</v>
      </c>
      <c r="C39" s="21">
        <v>28</v>
      </c>
      <c r="D39" s="21">
        <v>20</v>
      </c>
      <c r="E39" s="21">
        <v>8</v>
      </c>
      <c r="F39" s="21">
        <v>24</v>
      </c>
      <c r="G39" s="22">
        <v>0</v>
      </c>
    </row>
    <row r="40" spans="1:7" x14ac:dyDescent="0.3">
      <c r="A40" s="14">
        <v>39</v>
      </c>
      <c r="B40" s="20">
        <v>44453</v>
      </c>
      <c r="C40" s="21">
        <v>38</v>
      </c>
      <c r="D40" s="21">
        <v>23</v>
      </c>
      <c r="E40" s="21">
        <v>15</v>
      </c>
      <c r="F40" s="21">
        <v>31</v>
      </c>
      <c r="G40" s="22">
        <v>8</v>
      </c>
    </row>
    <row r="41" spans="1:7" x14ac:dyDescent="0.3">
      <c r="A41" s="14">
        <v>40</v>
      </c>
      <c r="B41" s="20">
        <v>44454</v>
      </c>
      <c r="C41" s="21">
        <v>24</v>
      </c>
      <c r="D41" s="21">
        <v>18</v>
      </c>
      <c r="E41" s="21">
        <v>6</v>
      </c>
      <c r="F41" s="21">
        <v>21</v>
      </c>
      <c r="G41" s="22">
        <v>15</v>
      </c>
    </row>
    <row r="42" spans="1:7" x14ac:dyDescent="0.3">
      <c r="A42" s="14">
        <v>41</v>
      </c>
      <c r="B42" s="20">
        <v>44455</v>
      </c>
      <c r="C42" s="21">
        <v>22</v>
      </c>
      <c r="D42" s="21">
        <v>19</v>
      </c>
      <c r="E42" s="21">
        <v>3</v>
      </c>
      <c r="F42" s="21">
        <v>21</v>
      </c>
      <c r="G42" s="22">
        <v>35</v>
      </c>
    </row>
    <row r="43" spans="1:7" x14ac:dyDescent="0.3">
      <c r="A43" s="14">
        <v>42</v>
      </c>
      <c r="B43" s="20">
        <v>44456</v>
      </c>
      <c r="C43" s="21">
        <v>23</v>
      </c>
      <c r="D43" s="21">
        <v>18</v>
      </c>
      <c r="E43" s="21">
        <v>5</v>
      </c>
      <c r="F43" s="21">
        <v>21</v>
      </c>
      <c r="G43" s="22">
        <v>10</v>
      </c>
    </row>
    <row r="44" spans="1:7" x14ac:dyDescent="0.3">
      <c r="A44" s="14">
        <v>43</v>
      </c>
      <c r="B44" s="20">
        <v>44457</v>
      </c>
      <c r="C44" s="21">
        <v>23</v>
      </c>
      <c r="D44" s="21">
        <v>19</v>
      </c>
      <c r="E44" s="21">
        <v>4</v>
      </c>
      <c r="F44" s="21">
        <v>21</v>
      </c>
      <c r="G44" s="22">
        <v>2</v>
      </c>
    </row>
    <row r="45" spans="1:7" x14ac:dyDescent="0.3">
      <c r="A45" s="14">
        <v>44</v>
      </c>
      <c r="B45" s="20">
        <v>44458</v>
      </c>
      <c r="C45" s="21">
        <v>24</v>
      </c>
      <c r="D45" s="21">
        <v>20</v>
      </c>
      <c r="E45" s="21">
        <v>4</v>
      </c>
      <c r="F45" s="21">
        <v>22</v>
      </c>
      <c r="G45" s="22">
        <v>0</v>
      </c>
    </row>
    <row r="46" spans="1:7" x14ac:dyDescent="0.3">
      <c r="A46" s="14">
        <v>45</v>
      </c>
      <c r="B46" s="20">
        <v>44459</v>
      </c>
      <c r="C46" s="21">
        <v>30</v>
      </c>
      <c r="D46" s="21">
        <v>20</v>
      </c>
      <c r="E46" s="21">
        <v>10</v>
      </c>
      <c r="F46" s="21">
        <v>25</v>
      </c>
      <c r="G46" s="22">
        <v>0</v>
      </c>
    </row>
    <row r="47" spans="1:7" x14ac:dyDescent="0.3">
      <c r="A47" s="14">
        <v>46</v>
      </c>
      <c r="B47" s="20">
        <v>44460</v>
      </c>
      <c r="C47" s="21">
        <v>29</v>
      </c>
      <c r="D47" s="21">
        <v>20</v>
      </c>
      <c r="E47" s="21">
        <v>9</v>
      </c>
      <c r="F47" s="21">
        <v>25</v>
      </c>
      <c r="G47" s="22">
        <v>10</v>
      </c>
    </row>
    <row r="48" spans="1:7" x14ac:dyDescent="0.3">
      <c r="A48" s="14">
        <v>47</v>
      </c>
      <c r="B48" s="20">
        <v>44461</v>
      </c>
      <c r="C48" s="21">
        <v>20</v>
      </c>
      <c r="D48" s="21">
        <v>16</v>
      </c>
      <c r="E48" s="21">
        <v>4</v>
      </c>
      <c r="F48" s="21">
        <v>18</v>
      </c>
      <c r="G48" s="22">
        <v>8</v>
      </c>
    </row>
    <row r="49" spans="1:7" x14ac:dyDescent="0.3">
      <c r="A49" s="14">
        <v>48</v>
      </c>
      <c r="B49" s="20">
        <v>44462</v>
      </c>
      <c r="C49" s="21">
        <v>21</v>
      </c>
      <c r="D49" s="21">
        <v>18</v>
      </c>
      <c r="E49" s="21">
        <v>3</v>
      </c>
      <c r="F49" s="21">
        <v>20</v>
      </c>
      <c r="G49" s="22">
        <v>0</v>
      </c>
    </row>
    <row r="50" spans="1:7" x14ac:dyDescent="0.3">
      <c r="A50" s="14">
        <v>49</v>
      </c>
      <c r="B50" s="20">
        <v>44463</v>
      </c>
      <c r="C50" s="21">
        <v>26</v>
      </c>
      <c r="D50" s="21">
        <v>15</v>
      </c>
      <c r="E50" s="21">
        <v>11</v>
      </c>
      <c r="F50" s="21">
        <v>21</v>
      </c>
      <c r="G50" s="22">
        <v>0</v>
      </c>
    </row>
    <row r="51" spans="1:7" x14ac:dyDescent="0.3">
      <c r="A51" s="14">
        <v>50</v>
      </c>
      <c r="B51" s="20">
        <v>44464</v>
      </c>
      <c r="C51" s="21">
        <v>24</v>
      </c>
      <c r="D51" s="21">
        <v>16</v>
      </c>
      <c r="E51" s="21">
        <v>8</v>
      </c>
      <c r="F51" s="21">
        <v>20</v>
      </c>
      <c r="G51" s="22">
        <v>0</v>
      </c>
    </row>
    <row r="52" spans="1:7" x14ac:dyDescent="0.3">
      <c r="A52" s="14">
        <v>51</v>
      </c>
      <c r="B52" s="20">
        <v>44465</v>
      </c>
      <c r="C52" s="21">
        <v>24</v>
      </c>
      <c r="D52" s="21">
        <v>18</v>
      </c>
      <c r="E52" s="21">
        <v>6</v>
      </c>
      <c r="F52" s="21">
        <v>21</v>
      </c>
      <c r="G52" s="22">
        <v>0</v>
      </c>
    </row>
    <row r="53" spans="1:7" x14ac:dyDescent="0.3">
      <c r="A53" s="14">
        <v>52</v>
      </c>
      <c r="B53" s="20">
        <v>44466</v>
      </c>
      <c r="C53" s="21">
        <v>27</v>
      </c>
      <c r="D53" s="21">
        <v>19</v>
      </c>
      <c r="E53" s="21">
        <v>8</v>
      </c>
      <c r="F53" s="21">
        <v>23</v>
      </c>
      <c r="G53" s="22">
        <v>0</v>
      </c>
    </row>
    <row r="54" spans="1:7" x14ac:dyDescent="0.3">
      <c r="A54" s="14">
        <v>53</v>
      </c>
      <c r="B54" s="20">
        <v>44467</v>
      </c>
      <c r="C54" s="21">
        <v>28</v>
      </c>
      <c r="D54" s="21">
        <v>18</v>
      </c>
      <c r="E54" s="21">
        <v>10</v>
      </c>
      <c r="F54" s="21">
        <v>23</v>
      </c>
      <c r="G54" s="22">
        <v>0</v>
      </c>
    </row>
    <row r="55" spans="1:7" x14ac:dyDescent="0.3">
      <c r="A55" s="14">
        <v>54</v>
      </c>
      <c r="B55" s="20">
        <v>44468</v>
      </c>
      <c r="C55" s="21">
        <v>27</v>
      </c>
      <c r="D55" s="21">
        <v>18</v>
      </c>
      <c r="E55" s="21">
        <v>9</v>
      </c>
      <c r="F55" s="21">
        <v>23</v>
      </c>
      <c r="G55" s="22">
        <v>8</v>
      </c>
    </row>
    <row r="56" spans="1:7" x14ac:dyDescent="0.3">
      <c r="A56" s="14">
        <v>55</v>
      </c>
      <c r="B56" s="20">
        <v>44469</v>
      </c>
      <c r="C56" s="21">
        <v>23</v>
      </c>
      <c r="D56" s="21">
        <v>17</v>
      </c>
      <c r="E56" s="21">
        <v>6</v>
      </c>
      <c r="F56" s="21">
        <v>20</v>
      </c>
      <c r="G56" s="22">
        <v>8</v>
      </c>
    </row>
    <row r="57" spans="1:7" x14ac:dyDescent="0.3">
      <c r="A57" s="14">
        <v>56</v>
      </c>
      <c r="B57" s="20">
        <v>44470</v>
      </c>
      <c r="C57" s="21">
        <v>24</v>
      </c>
      <c r="D57" s="21">
        <v>18</v>
      </c>
      <c r="E57" s="21">
        <v>6</v>
      </c>
      <c r="F57" s="21">
        <v>21</v>
      </c>
      <c r="G57" s="22">
        <v>12</v>
      </c>
    </row>
    <row r="58" spans="1:7" x14ac:dyDescent="0.3">
      <c r="A58" s="14">
        <v>57</v>
      </c>
      <c r="B58" s="20">
        <v>44471</v>
      </c>
      <c r="C58" s="21">
        <v>26</v>
      </c>
      <c r="D58" s="21">
        <v>18</v>
      </c>
      <c r="E58" s="21">
        <v>8</v>
      </c>
      <c r="F58" s="21">
        <v>22</v>
      </c>
      <c r="G58" s="22">
        <v>15</v>
      </c>
    </row>
    <row r="59" spans="1:7" x14ac:dyDescent="0.3">
      <c r="A59" s="14">
        <v>58</v>
      </c>
      <c r="B59" s="20">
        <v>44472</v>
      </c>
      <c r="C59" s="21">
        <v>29</v>
      </c>
      <c r="D59" s="21">
        <v>20</v>
      </c>
      <c r="E59" s="21">
        <v>9</v>
      </c>
      <c r="F59" s="21">
        <v>25</v>
      </c>
      <c r="G59" s="22">
        <v>30</v>
      </c>
    </row>
    <row r="60" spans="1:7" x14ac:dyDescent="0.3">
      <c r="A60" s="14">
        <v>59</v>
      </c>
      <c r="B60" s="20">
        <v>44473</v>
      </c>
      <c r="C60" s="21">
        <v>26</v>
      </c>
      <c r="D60" s="21">
        <v>19</v>
      </c>
      <c r="E60" s="21">
        <v>7</v>
      </c>
      <c r="F60" s="21">
        <v>23</v>
      </c>
      <c r="G60" s="22">
        <v>30</v>
      </c>
    </row>
    <row r="61" spans="1:7" x14ac:dyDescent="0.3">
      <c r="A61" s="14">
        <v>60</v>
      </c>
      <c r="B61" s="20">
        <v>44474</v>
      </c>
      <c r="C61" s="21">
        <v>22</v>
      </c>
      <c r="D61" s="21">
        <v>18</v>
      </c>
      <c r="E61" s="21">
        <v>4</v>
      </c>
      <c r="F61" s="21">
        <v>20</v>
      </c>
      <c r="G61" s="22">
        <v>12</v>
      </c>
    </row>
    <row r="62" spans="1:7" x14ac:dyDescent="0.3">
      <c r="A62" s="14">
        <v>61</v>
      </c>
      <c r="B62" s="20">
        <v>44475</v>
      </c>
      <c r="C62" s="21">
        <v>24</v>
      </c>
      <c r="D62" s="21">
        <v>18</v>
      </c>
      <c r="E62" s="21">
        <v>6</v>
      </c>
      <c r="F62" s="21">
        <v>21</v>
      </c>
      <c r="G62" s="22">
        <v>8</v>
      </c>
    </row>
    <row r="63" spans="1:7" x14ac:dyDescent="0.3">
      <c r="A63" s="14">
        <v>62</v>
      </c>
      <c r="B63" s="20">
        <v>44476</v>
      </c>
      <c r="C63" s="21">
        <v>23</v>
      </c>
      <c r="D63" s="21">
        <v>18</v>
      </c>
      <c r="E63" s="21">
        <v>5</v>
      </c>
      <c r="F63" s="21">
        <v>21</v>
      </c>
      <c r="G63" s="22">
        <v>20</v>
      </c>
    </row>
    <row r="64" spans="1:7" x14ac:dyDescent="0.3">
      <c r="A64" s="14">
        <v>63</v>
      </c>
      <c r="B64" s="20">
        <v>44477</v>
      </c>
      <c r="C64" s="21">
        <v>25</v>
      </c>
      <c r="D64" s="21">
        <v>17</v>
      </c>
      <c r="E64" s="21">
        <v>8</v>
      </c>
      <c r="F64" s="21">
        <v>21</v>
      </c>
      <c r="G64" s="22">
        <v>15</v>
      </c>
    </row>
    <row r="65" spans="1:7" x14ac:dyDescent="0.3">
      <c r="A65" s="14" t="s">
        <v>37</v>
      </c>
      <c r="B65" s="20"/>
      <c r="C65" s="21">
        <f>SUBTOTAL(101,tabela_query[Temperatura máxima (Cº)])</f>
        <v>25.920634920634921</v>
      </c>
      <c r="D65" s="21">
        <f>SUBTOTAL(101,tabela_query[Temperatura mímima (Cº)])</f>
        <v>18.269841269841269</v>
      </c>
      <c r="E65" s="21">
        <f>SUBTOTAL(101,tabela_query[Amplitude térmica (Cº)])</f>
        <v>7.6507936507936511</v>
      </c>
      <c r="F65" s="21">
        <f>SUBTOTAL(101,tabela_query[Temperatura média (Cº)])</f>
        <v>22.285714285714285</v>
      </c>
      <c r="G65" s="22">
        <f>SUBTOTAL(109,tabela_query[Chuva (mm)])</f>
        <v>562</v>
      </c>
    </row>
  </sheetData>
  <mergeCells count="2">
    <mergeCell ref="I1:O1"/>
    <mergeCell ref="I10:J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Drop Down 2">
              <controlPr defaultSize="0" autoLine="0" autoPict="0">
                <anchor moveWithCells="1">
                  <from>
                    <xdr:col>15</xdr:col>
                    <xdr:colOff>152400</xdr:colOff>
                    <xdr:row>0</xdr:row>
                    <xdr:rowOff>99060</xdr:rowOff>
                  </from>
                  <to>
                    <xdr:col>16</xdr:col>
                    <xdr:colOff>480060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99AD-956F-450C-9324-1F79863B9126}">
  <dimension ref="A1:H10"/>
  <sheetViews>
    <sheetView workbookViewId="0">
      <selection activeCell="B23" sqref="B23"/>
    </sheetView>
  </sheetViews>
  <sheetFormatPr defaultRowHeight="14.4" x14ac:dyDescent="0.3"/>
  <cols>
    <col min="1" max="1" width="12.33203125" bestFit="1" customWidth="1"/>
    <col min="2" max="8" width="9.5546875" bestFit="1" customWidth="1"/>
  </cols>
  <sheetData>
    <row r="1" spans="1:8" x14ac:dyDescent="0.3">
      <c r="A1" s="11" t="s">
        <v>17</v>
      </c>
      <c r="B1" s="12" t="s">
        <v>3</v>
      </c>
      <c r="C1" s="12" t="s">
        <v>5</v>
      </c>
      <c r="D1" s="12" t="s">
        <v>7</v>
      </c>
      <c r="E1" s="12" t="s">
        <v>9</v>
      </c>
      <c r="F1" s="12" t="s">
        <v>11</v>
      </c>
      <c r="G1" s="12" t="s">
        <v>13</v>
      </c>
      <c r="H1" s="12" t="s">
        <v>15</v>
      </c>
    </row>
    <row r="2" spans="1:8" x14ac:dyDescent="0.3">
      <c r="A2" s="11" t="s">
        <v>19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</row>
    <row r="3" spans="1:8" x14ac:dyDescent="0.3">
      <c r="A3" s="11" t="s">
        <v>20</v>
      </c>
      <c r="B3" s="14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</row>
    <row r="4" spans="1:8" x14ac:dyDescent="0.3">
      <c r="A4" s="11" t="s">
        <v>21</v>
      </c>
      <c r="B4" s="14">
        <v>15</v>
      </c>
      <c r="C4" s="14">
        <v>16</v>
      </c>
      <c r="D4" s="14">
        <v>17</v>
      </c>
      <c r="E4" s="14">
        <v>18</v>
      </c>
      <c r="F4" s="14">
        <v>19</v>
      </c>
      <c r="G4" s="14">
        <v>20</v>
      </c>
      <c r="H4" s="14">
        <v>21</v>
      </c>
    </row>
    <row r="5" spans="1:8" x14ac:dyDescent="0.3">
      <c r="A5" s="11" t="s">
        <v>22</v>
      </c>
      <c r="B5" s="14">
        <v>22</v>
      </c>
      <c r="C5" s="14">
        <v>23</v>
      </c>
      <c r="D5" s="14">
        <v>24</v>
      </c>
      <c r="E5" s="14">
        <v>25</v>
      </c>
      <c r="F5" s="14">
        <v>26</v>
      </c>
      <c r="G5" s="14">
        <v>27</v>
      </c>
      <c r="H5" s="14">
        <v>28</v>
      </c>
    </row>
    <row r="6" spans="1:8" x14ac:dyDescent="0.3">
      <c r="A6" s="11" t="s">
        <v>23</v>
      </c>
      <c r="B6" s="14">
        <v>29</v>
      </c>
      <c r="C6" s="14">
        <v>30</v>
      </c>
      <c r="D6" s="14">
        <v>31</v>
      </c>
      <c r="E6" s="14">
        <v>32</v>
      </c>
      <c r="F6" s="14">
        <v>33</v>
      </c>
      <c r="G6" s="14">
        <v>34</v>
      </c>
      <c r="H6" s="14">
        <v>35</v>
      </c>
    </row>
    <row r="7" spans="1:8" x14ac:dyDescent="0.3">
      <c r="A7" s="11" t="s">
        <v>24</v>
      </c>
      <c r="B7" s="14">
        <v>36</v>
      </c>
      <c r="C7" s="14">
        <v>37</v>
      </c>
      <c r="D7" s="14">
        <v>38</v>
      </c>
      <c r="E7" s="14">
        <v>39</v>
      </c>
      <c r="F7" s="14">
        <v>40</v>
      </c>
      <c r="G7" s="14">
        <v>41</v>
      </c>
      <c r="H7" s="14">
        <v>42</v>
      </c>
    </row>
    <row r="8" spans="1:8" x14ac:dyDescent="0.3">
      <c r="A8" s="11" t="s">
        <v>25</v>
      </c>
      <c r="B8" s="14">
        <v>43</v>
      </c>
      <c r="C8" s="14">
        <v>44</v>
      </c>
      <c r="D8" s="14">
        <v>45</v>
      </c>
      <c r="E8" s="14">
        <v>46</v>
      </c>
      <c r="F8" s="14">
        <v>47</v>
      </c>
      <c r="G8" s="14">
        <v>48</v>
      </c>
      <c r="H8" s="14">
        <v>49</v>
      </c>
    </row>
    <row r="9" spans="1:8" x14ac:dyDescent="0.3">
      <c r="A9" s="11" t="s">
        <v>26</v>
      </c>
      <c r="B9" s="14">
        <v>50</v>
      </c>
      <c r="C9" s="14">
        <v>51</v>
      </c>
      <c r="D9" s="14">
        <v>52</v>
      </c>
      <c r="E9" s="14">
        <v>53</v>
      </c>
      <c r="F9" s="14">
        <v>54</v>
      </c>
      <c r="G9" s="14">
        <v>55</v>
      </c>
      <c r="H9" s="14">
        <v>56</v>
      </c>
    </row>
    <row r="10" spans="1:8" x14ac:dyDescent="0.3">
      <c r="A10" s="11" t="s">
        <v>27</v>
      </c>
      <c r="B10" s="14">
        <v>57</v>
      </c>
      <c r="C10" s="14">
        <v>58</v>
      </c>
      <c r="D10" s="14">
        <v>59</v>
      </c>
      <c r="E10" s="14">
        <v>60</v>
      </c>
      <c r="F10" s="14">
        <v>61</v>
      </c>
      <c r="G10" s="14">
        <v>62</v>
      </c>
      <c r="H10" s="14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9EB473549D042A35013002F15D695" ma:contentTypeVersion="12" ma:contentTypeDescription="Create a new document." ma:contentTypeScope="" ma:versionID="407f5a05eb629a285ed4ee4d0b105e67">
  <xsd:schema xmlns:xsd="http://www.w3.org/2001/XMLSchema" xmlns:xs="http://www.w3.org/2001/XMLSchema" xmlns:p="http://schemas.microsoft.com/office/2006/metadata/properties" xmlns:ns3="7dd21995-0bd6-489d-aa9e-1ee4467353c6" xmlns:ns4="a8a50628-83b1-4679-9d6b-c517787d0ac5" targetNamespace="http://schemas.microsoft.com/office/2006/metadata/properties" ma:root="true" ma:fieldsID="f5e5a86b08918763e9f6459f7e606769" ns3:_="" ns4:_="">
    <xsd:import namespace="7dd21995-0bd6-489d-aa9e-1ee4467353c6"/>
    <xsd:import namespace="a8a50628-83b1-4679-9d6b-c517787d0a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21995-0bd6-489d-aa9e-1ee446735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50628-83b1-4679-9d6b-c517787d0a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c d 0 7 0 4 a 9 - 6 1 6 3 - 4 6 7 f - 8 9 1 0 - a b 1 3 7 7 4 0 e e 2 e "   x m l n s = " h t t p : / / s c h e m a s . m i c r o s o f t . c o m / D a t a M a s h u p " > A A A A A M M E A A B Q S w M E F A A C A A g A e n V D U w + l N w W l A A A A 9 Q A A A B I A H A B D b 2 5 m a W c v U G F j a 2 F n Z S 5 4 b W w g o h g A K K A U A A A A A A A A A A A A A A A A A A A A A A A A A A A A h Y 9 B D o I w F E S v Q r q n L d U Y J J + S 6 F Y S o 4 l x 2 0 C F R i i E F s v d X H g k r y B G U X c u 5 8 1 M M n O / 3 i A Z 6 s q 7 y M 6 o R s c o w B R 5 U m d N r n Q R o 9 6 e / B A l H L Y i O 4 t C e m N Y m 2 g w K k a l t W 1 E i H M O u x l u u o I w S g N y T D f 7 r J S 1 8 J U 2 V u h M o k 8 r / 9 9 C H A 6 v M Z z h 5 Q K H c 4 Y p k I l B q v T X Z + P c p / s D Y d 1 X t u 8 k b 6 2 / 2 g G Z J J D 3 B f 4 A U E s D B B Q A A g A I A H p 1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U N T 1 f v G s 7 w B A A A A B g A A E w A c A E Z v c m 1 1 b G F z L 1 N l Y 3 R p b 2 4 x L m 0 g o h g A K K A U A A A A A A A A A A A A A A A A A A A A A A A A A A A A r Z T B a g I x E I b v g u 8 Q 1 s s K W 8 F S e h E P s r b Q S y n t Q g / i Y d x M a 3 C T S J I V W / F h S g / F Q 1 + g x / p i z a p 1 d d U o t H t Z k p n M / P P N J B p j w 6 Q g D 8 t / v V E u l U u 6 D w o p i a C H C d R J k y R o y i V i v 2 s p D N q N q 3 G M S S 1 M l U J h H q U a 9 K Q c + N V J 5 x Y 4 N r 3 V S a 8 7 7 Y T Z C W G 6 w T J A x Y v Y U J J W Y l A B l Z 6 N Z Z 0 T r E U K h H 6 S i o c y S b m I X o a o / U W 6 Y D L x 2 g y 8 g N w I c 3 l R y 0 z T g E y 8 s J + O g P i c V 3 d t E f K h z W B S B Y T P 3 8 a M W 8 / w + + u o 6 y c / 2 X V G 2 U H P N p h M s b F r Q s G g Y T w 3 E I p E 4 T P T R s k d p 2 l 1 j S p D I U C T e + R y x C j o H N d i C 5 e s t F + k G u z J s z e u V B Q F F C J n m y o P v a s i + G 2 I E 7 M T 7 H b z D o P d U H 2 H S k s B C X u F + c f 8 3 Z Z L W W x n 1 s r P 1 b c o X S r 3 9 5 d p c 2 3 E U X a N E P d J p + I o p X u 2 Y 9 4 s p r s P r J A c i 1 y F v R s 5 V l c 5 2 c g X Z H o t P k y Y S W 1 L z X y m O I v X i N y d r Z / U 2 r X e v L e r E f 5 D j x 3 X 5 X A 5 2 7 O x U d v W i N e P v B w H U C z e k s L V P M L v 3 M G v I O k / 2 b n 4 u L h u s S u X m H C W 1 v g B U E s B A i 0 A F A A C A A g A e n V D U w + l N w W l A A A A 9 Q A A A B I A A A A A A A A A A A A A A A A A A A A A A E N v b m Z p Z y 9 Q Y W N r Y W d l L n h t b F B L A Q I t A B Q A A g A I A H p 1 Q 1 M P y u m r p A A A A O k A A A A T A A A A A A A A A A A A A A A A A P E A A A B b Q 2 9 u d G V u d F 9 U e X B l c 1 0 u e G 1 s U E s B A i 0 A F A A C A A g A e n V D U 9 X 7 x r O 8 A Q A A A A Y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A A A A A A A A C y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Z W x h X 3 F 1 Z X J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w L T A z V D E 3 O j Q z O j U y L j M w N D I z M T d a I i A v P j x F b n R y e S B U e X B l P S J G a W x s Q 2 9 s d W 1 u V H l w Z X M i I F Z h b H V l P S J z Q X d r R E F 3 Q U R B d z 0 9 I i A v P j x F b n R y e S B U e X B l P S J G a W x s Q 2 9 s d W 1 u T m F t Z X M i I F Z h b H V l P S J z W y Z x d W 9 0 O 0 R p Y S Z x d W 9 0 O y w m c X V v d D t E Y X R h J n F 1 b 3 Q 7 L C Z x d W 9 0 O 1 R l b X B l c m F 0 d X J h I G 3 D o X h p b W E g K E P C u i k m c X V v d D s s J n F 1 b 3 Q 7 V G V t c G V y Y X R 1 c m E g b c O t b W l t Y S A o Q 8 K 6 K S Z x d W 9 0 O y w m c X V v d D t B b X B s a X R 1 Z G U g d M O p c m 1 p Y 2 E g K E P C u i k m c X V v d D s s J n F 1 b 3 Q 7 V G V t c G V y Y X R 1 c m E g b c O p Z G l h I C h D w r o p J n F 1 b 3 Q 7 L C Z x d W 9 0 O 0 N o d X Z h I C h t b S k m c X V v d D t d I i A v P j x F b n R y e S B U e X B l P S J R d W V y e U l E I i B W Y W x 1 Z T 0 i c z g z Y 2 J m M W N l L W U z Z W Q t N G U 1 M y 1 i Y z B j L T N i Z D Q z Y m N j N W F h O C I g L z 4 8 R W 5 0 c n k g V H l w Z T 0 i R m l s b E V y c m 9 y Q 2 9 1 b n Q i I F Z h b H V l P S J s M y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R p Y S w w f S Z x d W 9 0 O y w m c X V v d D t T Z W N 0 a W 9 u M S 9 U Y W J l b G E x L 0 F 1 d G 9 S Z W 1 v d m V k Q 2 9 s d W 1 u c z E u e 0 R h d G E s M X 0 m c X V v d D s s J n F 1 b 3 Q 7 U 2 V j d G l v b j E v V G F i Z W x h M S 9 B d X R v U m V t b 3 Z l Z E N v b H V t b n M x L n t U Z W 1 w Z X J h d H V y Y S B t w 6 F 4 a W 1 h I C h D w r o p L D J 9 J n F 1 b 3 Q 7 L C Z x d W 9 0 O 1 N l Y 3 R p b 2 4 x L 1 R h Y m V s Y T E v Q X V 0 b 1 J l b W 9 2 Z W R D b 2 x 1 b W 5 z M S 5 7 V G V t c G V y Y X R 1 c m E g b c O t b W l t Y S A o Q 8 K 6 K S w z f S Z x d W 9 0 O y w m c X V v d D t T Z W N 0 a W 9 u M S 9 U Y W J l b G E x L 0 F 1 d G 9 S Z W 1 v d m V k Q 2 9 s d W 1 u c z E u e 0 F t c G x p d H V k Z S B 0 w 6 l y b W l j Y S A o Q 8 K 6 K S w 0 f S Z x d W 9 0 O y w m c X V v d D t T Z W N 0 a W 9 u M S 9 U Y W J l b G E x L 0 F 1 d G 9 S Z W 1 v d m V k Q 2 9 s d W 1 u c z E u e 1 R l b X B l c m F 0 d X J h I G 3 D q W R p Y S A o Q 8 K 6 K S w 1 f S Z x d W 9 0 O y w m c X V v d D t T Z W N 0 a W 9 u M S 9 U Y W J l b G E x L 0 F 1 d G 9 S Z W 1 v d m V k Q 2 9 s d W 1 u c z E u e 0 N o d X Z h I C h t b S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E a W E s M H 0 m c X V v d D s s J n F 1 b 3 Q 7 U 2 V j d G l v b j E v V G F i Z W x h M S 9 B d X R v U m V t b 3 Z l Z E N v b H V t b n M x L n t E Y X R h L D F 9 J n F 1 b 3 Q 7 L C Z x d W 9 0 O 1 N l Y 3 R p b 2 4 x L 1 R h Y m V s Y T E v Q X V 0 b 1 J l b W 9 2 Z W R D b 2 x 1 b W 5 z M S 5 7 V G V t c G V y Y X R 1 c m E g b c O h e G l t Y S A o Q 8 K 6 K S w y f S Z x d W 9 0 O y w m c X V v d D t T Z W N 0 a W 9 u M S 9 U Y W J l b G E x L 0 F 1 d G 9 S Z W 1 v d m V k Q 2 9 s d W 1 u c z E u e 1 R l b X B l c m F 0 d X J h I G 3 D r W 1 p b W E g K E P C u i k s M 3 0 m c X V v d D s s J n F 1 b 3 Q 7 U 2 V j d G l v b j E v V G F i Z W x h M S 9 B d X R v U m V t b 3 Z l Z E N v b H V t b n M x L n t B b X B s a X R 1 Z G U g d M O p c m 1 p Y 2 E g K E P C u i k s N H 0 m c X V v d D s s J n F 1 b 3 Q 7 U 2 V j d G l v b j E v V G F i Z W x h M S 9 B d X R v U m V t b 3 Z l Z E N v b H V t b n M x L n t U Z W 1 w Z X J h d H V y Y S B t w 6 l k a W E g K E P C u i k s N X 0 m c X V v d D s s J n F 1 b 3 Q 7 U 2 V j d G l v b j E v V G F i Z W x h M S 9 B d X R v U m V t b 3 Z l Z E N v b H V t b n M x L n t D a H V 2 Y S A o b W 0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H F e q z N Z w T 5 q R 4 3 7 3 I a q c A A A A A A I A A A A A A B B m A A A A A Q A A I A A A A F c + + 1 l f x + v f m a g F g H 3 v O b r A F 1 v P 3 7 T R t c K c F l M p 9 Y Y y A A A A A A 6 A A A A A A g A A I A A A A A R K w o P Y B R H 3 7 y D 7 v T b c 2 Y s p j Q U f 5 V i 0 9 / I I x x 1 z z I h Q U A A A A L 7 e D 3 o X V A b k g 1 F o g 3 K t i K Y i u r g S 0 D V 8 + b p v 1 Y 8 N V Y P 4 y j e 3 K P 1 t z n j Y U G q P w u K D Y x 7 a N Z x n n K D i v p w E A x C W H M r 3 h U J v A F P b J B Y Z X L z k e k O U Q A A A A L x k q y Z 7 5 T k A 3 V 4 m h F q 1 e h B C U i Q x 7 v W w y a i W 8 a 4 e 4 A h e C I r b G g g S / + 9 Z T b O 4 G Z v s H x E 0 k Y H + z T 6 0 i U 9 G r z s G W 9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81E703-1360-4015-A8D5-B14673528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0550E-57C7-4EF3-BEB3-A5A8F11DA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d21995-0bd6-489d-aa9e-1ee4467353c6"/>
    <ds:schemaRef ds:uri="a8a50628-83b1-4679-9d6b-c517787d0a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7F202-02FE-4A0E-A321-DED0FF62B83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1F2C74-7D6F-4BBE-849E-D9C671D30700}">
  <ds:schemaRefs>
    <ds:schemaRef ds:uri="7dd21995-0bd6-489d-aa9e-1ee4467353c6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a8a50628-83b1-4679-9d6b-c517787d0ac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System</vt:lpstr>
      <vt:lpstr>tabela_media</vt:lpstr>
      <vt:lpstr>tabela_chuva</vt:lpstr>
      <vt:lpstr>tabela_maxima</vt:lpstr>
      <vt:lpstr>tabela_minima</vt:lpstr>
      <vt:lpstr>dashboard</vt:lpstr>
      <vt:lpstr>análise</vt:lpstr>
      <vt:lpstr>tabela</vt:lpstr>
      <vt:lpstr>tabela_dia</vt:lpstr>
      <vt:lpstr>Climograma Santos - SP</vt:lpstr>
      <vt:lpstr>Tabela de registros climaticos</vt:lpstr>
      <vt:lpstr>Fonte</vt:lpstr>
      <vt:lpstr>tabrla_query</vt:lpstr>
      <vt:lpstr>temperatura_media</vt:lpstr>
      <vt:lpstr>temperaturaMedia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Funchal</dc:creator>
  <cp:keywords/>
  <dc:description/>
  <cp:lastModifiedBy>Rafael Funchal</cp:lastModifiedBy>
  <cp:revision/>
  <dcterms:created xsi:type="dcterms:W3CDTF">2021-08-08T15:20:46Z</dcterms:created>
  <dcterms:modified xsi:type="dcterms:W3CDTF">2022-05-09T21:09:54Z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0x010100CF49EB473549D042A35013002F15D695</vt:lpwstr>
  </property>
</Properties>
</file>