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Format\"/>
    </mc:Choice>
  </mc:AlternateContent>
  <xr:revisionPtr revIDLastSave="0" documentId="13_ncr:1_{4EF80A30-47BD-440E-8334-C052D47D20FB}" xr6:coauthVersionLast="47" xr6:coauthVersionMax="47" xr10:uidLastSave="{00000000-0000-0000-0000-000000000000}"/>
  <bookViews>
    <workbookView xWindow="-108" yWindow="-108" windowWidth="23256" windowHeight="12456" xr2:uid="{65190397-6A54-4C74-84CC-B57F85EB6797}"/>
  </bookViews>
  <sheets>
    <sheet name="Proforma Invoice" sheetId="1" r:id="rId1"/>
    <sheet name="Data" sheetId="2" r:id="rId2"/>
    <sheet name="Prices" sheetId="3" r:id="rId3"/>
  </sheets>
  <definedNames>
    <definedName name="_xlnm._FilterDatabase" localSheetId="2" hidden="1">Prices!$A$2:$AU$178</definedName>
    <definedName name="Alcazar">Data!$R$2:$R$24</definedName>
    <definedName name="AlcazarDieselPlatinum7STRc">Data!$AF$65:$AF$69</definedName>
    <definedName name="AlcazarDieselPlatinumAE7STRc">Data!$AF$81:$AF$84</definedName>
    <definedName name="AlcazarDieselPlatinumOAT6STRc">Data!$AF$65:$AF$69</definedName>
    <definedName name="AlcazarDieselPlatinumOAT7STRc">Data!$AF$65:$AF$69</definedName>
    <definedName name="AlcazarDieselPrestige7STRc">Data!$AF$65:$AF$69</definedName>
    <definedName name="AlcazarDieselPrestigeOAT7STRc">Data!$AF$65:$AF$69</definedName>
    <definedName name="AlcazarDieselSignature6STRc">Data!$AF$65:$AF$69</definedName>
    <definedName name="AlcazarDieselSignature6STRDTc">Data!$AF$92:$AF$93</definedName>
    <definedName name="AlcazarDieselSignatureOAT6STRc">Data!$AF$65:$AF$69</definedName>
    <definedName name="AlcazarDieselSignatureOAT6STRDTc">Data!$AF$92:$AF$93</definedName>
    <definedName name="AlcazarDieselSignatureOAT7STRc">Data!$AF$65:$AF$69</definedName>
    <definedName name="AlcazarDieselSignatureOATAE7STRc">Data!$AF$81:$AF$84</definedName>
    <definedName name="AlcazarDieselSignatureOATAE7STRDTc">Data!$AF$87:$AF$89</definedName>
    <definedName name="AlcazarPetrolPlatinum7STRc">Data!$AF$65:$AF$69</definedName>
    <definedName name="AlcazarPetrolPlatinumAE7STRc">Data!$AF$81:$AF$84</definedName>
    <definedName name="AlcazarPetrolPlatinumODCT6STRc">Data!$AF$65:$AF$69</definedName>
    <definedName name="AlcazarPetrolPlatinumODCT7STRc">Data!$AF$65:$AF$69</definedName>
    <definedName name="AlcazarPetrolPrestige7STRc">Data!$AF$65:$AF$69</definedName>
    <definedName name="AlcazarPetrolSignatureODCT6STRc">Data!$AF$65:$AF$69</definedName>
    <definedName name="AlcazarPetrolSignatureODCT6STRDTc">Data!$AF$92:$AF$93</definedName>
    <definedName name="AlcazarPetrolSignatureODCT7STRc">Data!$AF$65:$AF$69</definedName>
    <definedName name="AlcazarPetrolSignatureODCTAE7STRc">Data!$AF$81:$AF$84</definedName>
    <definedName name="AlcazarPetrolSignatureODCTAE7STRDTc">Data!$AF$87:$AF$89</definedName>
    <definedName name="Aura">Data!$L$2:$L$8</definedName>
    <definedName name="AuraEc">Data!$AF$25:$AF$30</definedName>
    <definedName name="AuraSc">Data!$AF$25:$AF$30</definedName>
    <definedName name="AuraSCNGc">Data!$AF$25:$AF$30</definedName>
    <definedName name="AuraSXc">Data!$AF$25:$AF$30</definedName>
    <definedName name="AuraSXCNGc">Data!$AF$25:$AF$30</definedName>
    <definedName name="AuraSXOc">Data!$AF$25:$AF$30</definedName>
    <definedName name="AuraSXPlusAMTc">Data!$AF$25:$AF$30</definedName>
    <definedName name="BG_NAMES">Data!$G$50:$G$66</definedName>
    <definedName name="Creta">Data!$O$2:$O$29</definedName>
    <definedName name="Creta1.5CRDiATSOc">Data!$AA$84:$AA$87</definedName>
    <definedName name="Creta1.5CRDiATSXOc">Data!$AA$84:$AA$87</definedName>
    <definedName name="Creta1.5CRDiATSXODTc">Data!$AA$105:$AA$106</definedName>
    <definedName name="Creta1.5CRDiMTEc">Data!$AA$84:$AA$87</definedName>
    <definedName name="Creta1.5CRDiMTEXc">Data!$AA$84:$AA$87</definedName>
    <definedName name="Creta1.5CRDiMTSc">Data!$AA$84:$AA$87</definedName>
    <definedName name="Creta1.5CRDiMTSOc">Data!$AA$84:$AA$87</definedName>
    <definedName name="Creta1.5CRDiMTSXOc">Data!$AA$84:$AA$87</definedName>
    <definedName name="Creta1.5CRDiMTSXODTc">Data!$AA$105:$AA$106</definedName>
    <definedName name="Creta1.5CRDiMTSXTechc">Data!$AA$84:$AA$87</definedName>
    <definedName name="Creta1.5CRDiMTSXTechDTc">Data!$AA$105:$AA$106</definedName>
    <definedName name="Creta1.5MPiIVTSOc">Data!$AA$84:$AA$87</definedName>
    <definedName name="Creta1.5MPiIVTSXOc">Data!$AA$84:$AA$87</definedName>
    <definedName name="Creta1.5MPiIVTSXODTc">Data!$AA$105:$AA$106</definedName>
    <definedName name="Creta1.5MPiIVTSXTechc">Data!$AA$84:$AA$87</definedName>
    <definedName name="Creta1.5MPiIVTSXTechDTc">Data!$AA$105:$AA$106</definedName>
    <definedName name="Creta1.5MPiMTEc">Data!$AA$84:$AA$87</definedName>
    <definedName name="Creta1.5MPiMTEXc">Data!$AA$84:$AA$87</definedName>
    <definedName name="Creta1.5MPiMTSc">Data!$AA$84:$AA$87</definedName>
    <definedName name="Creta1.5MPiMTSOc">Data!$AA$84:$AA$87</definedName>
    <definedName name="Creta1.5MPiMTSXc">Data!$AA$84:$AA$87</definedName>
    <definedName name="Creta1.5MPiMTSXDTc">Data!$AA$105:$AA$106</definedName>
    <definedName name="Creta1.5MPiMTSXOc">Data!$AA$84:$AA$87</definedName>
    <definedName name="Creta1.5MPiMTSXODTc">Data!$AA$105:$AA$106</definedName>
    <definedName name="Creta1.5MPiMTSXTechc">Data!$AA$84:$AA$87</definedName>
    <definedName name="Creta1.5MPiMTSXTechDTc">Data!$AA$105:$AA$106</definedName>
    <definedName name="Creta1.5TurboDCTSXOc">Data!$AA$84:$AA$87</definedName>
    <definedName name="Creta1.5TurboDCTSXODTc">Data!$AA$105:$AA$106</definedName>
    <definedName name="CretaNLine">Data!$P$2:$P$13</definedName>
    <definedName name="CretaNLineN101.5TurboDCTc">Data!$AA$122:$AA$124</definedName>
    <definedName name="CretaNLineN101.5TurboDCTDTc">Data!$AA$116:$AA$118</definedName>
    <definedName name="CretaNLineN101.5TurboDCTRGMc">Data!$AA$128</definedName>
    <definedName name="CretaNLineN101.5TurboMTc">Data!$AA$122:$AA$124</definedName>
    <definedName name="CretaNLineN101.5TurboMTDTc">Data!$AA$116:$AA$118</definedName>
    <definedName name="CretaNLineN101.5TurboMTRGMc">Data!$AA$128</definedName>
    <definedName name="CretaNLineN81.5TurboDCTc">Data!$AA$122:$AA$124</definedName>
    <definedName name="CretaNLineN81.5TurboDCTDTc">Data!$AA$116:$AA$118</definedName>
    <definedName name="CretaNLineN81.5TurboDCTRGMc">Data!$AA$128</definedName>
    <definedName name="CretaNLineN81.5TurboMTc">Data!$AA$122:$AA$124</definedName>
    <definedName name="CretaNLineN81.5TurboMTDTc">Data!$AA$116:$AA$118</definedName>
    <definedName name="CretaNLineN81.5TurboMTRGMc">Data!$AA$128</definedName>
    <definedName name="CSD_Models">#REF!</definedName>
    <definedName name="CSD_Names">Data!$E$50:$E$55</definedName>
    <definedName name="EMP_NAMES">Data!$B$50:$B$83</definedName>
    <definedName name="EW">Data!$D$149:$D$155</definedName>
    <definedName name="EXTER">Data!$J$2:$J$18</definedName>
    <definedName name="EXTEREXc">Data!$AF$2</definedName>
    <definedName name="EXTEREXOc">Data!$AF$5:$AF$10</definedName>
    <definedName name="EXTERSAMTc">Data!$AF$5:$AF$10</definedName>
    <definedName name="EXTERSc">Data!$AF$5:$AF$10</definedName>
    <definedName name="EXTERSCNGc">Data!$AF$5:$AF$10</definedName>
    <definedName name="EXTERSOc">Data!$AF$5:$AF$10</definedName>
    <definedName name="EXTERSXAMTc">Data!$AF$5:$AF$10</definedName>
    <definedName name="EXTERSXAMTDTc">Data!$AF$19:$AF$21</definedName>
    <definedName name="EXTERSXc">Data!$AF$5:$AF$10</definedName>
    <definedName name="EXTERSXCNGc">Data!$AF$5:$AF$10</definedName>
    <definedName name="EXTERSXDTc">Data!$AF$19:$AF$21</definedName>
    <definedName name="EXTERSXOAMTc">Data!$AF$5:$AF$10</definedName>
    <definedName name="EXTERSXOc">Data!$AF$5:$AF$10</definedName>
    <definedName name="EXTERSXOCONNECTAMTc">Data!$AF$5:$AF$10</definedName>
    <definedName name="EXTERSXOCONNECTAMTDTc">Data!$AF$19:$AF$21</definedName>
    <definedName name="EXTERSXOCONNECTc">Data!$AF$5:$AF$10</definedName>
    <definedName name="EXTERSXOCONNECTDTc">Data!$AF$19:$AF$21</definedName>
    <definedName name="FBD_NAMES">#REF!</definedName>
    <definedName name="i20Nline">Data!$S$2:$S$9</definedName>
    <definedName name="i20NlineN6DCTc">Data!$AA$41:$AA$45</definedName>
    <definedName name="i20NlineN6DCTDTc">Data!$AA$48:$AA$49</definedName>
    <definedName name="i20NlineN6MTc">Data!$AA$41:$AA$45</definedName>
    <definedName name="i20NlineN6MTDTc">Data!$AA$48:$AA$49</definedName>
    <definedName name="i20NlineN8DCTc">Data!$AA$41:$AA$45</definedName>
    <definedName name="i20NlineN8DCTDTc">Data!$AA$48:$AA$49</definedName>
    <definedName name="i20NlineN8MTc">Data!$AA$41:$AA$45</definedName>
    <definedName name="i20NlineN8MTDTc">Data!$AA$48:$AA$49</definedName>
    <definedName name="Models">Data!$F$2:$F$13</definedName>
    <definedName name="Newi20">Data!$K$2:$K$14</definedName>
    <definedName name="Newi20AstaMTc">Data!$AA$24:$AA$29</definedName>
    <definedName name="Newi20AstaOiVTc">Data!$AA$24:$AA$29</definedName>
    <definedName name="Newi20AstaOiVTDTc">Data!$AA$35:$AA$36</definedName>
    <definedName name="Newi20AstaOMTc">Data!$AA$24:$AA$29</definedName>
    <definedName name="Newi20AstaOMTDTc">Data!$AA$35:$AA$36</definedName>
    <definedName name="Newi20EraMTc">Data!$AA$24:$AA$29</definedName>
    <definedName name="Newi20MagnaMTc">Data!$AA$24:$AA$29</definedName>
    <definedName name="Newi20SportziVTc">Data!$AA$24:$AA$29</definedName>
    <definedName name="Newi20SportzMTc">Data!$AA$24:$AA$29</definedName>
    <definedName name="Newi20SportzMTDTc">Data!$AA$35:$AA$36</definedName>
    <definedName name="Newi20SportzOiVTc">Data!$AA$24:$AA$29</definedName>
    <definedName name="Newi20SportzOMTc">Data!$AA$24:$AA$29</definedName>
    <definedName name="Newi20SportzOMTDTc">Data!$AA$35:$AA$36</definedName>
    <definedName name="NIOS">Data!$I$2:$I$13</definedName>
    <definedName name="NIOSAMTCorporatePetrolc">Data!$AA$2:$AA$8</definedName>
    <definedName name="NIOSAstaAMTc">Data!$AA$2:$AA$8</definedName>
    <definedName name="NIOSAstac">Data!$AA$2:$AA$8</definedName>
    <definedName name="NIOSCorporatePetrolc">Data!$AA$2:$AA$8</definedName>
    <definedName name="NIOSErac">Data!$AA$19:$AA$21</definedName>
    <definedName name="NIOSMagnaAMTc">Data!$AA$2:$AA$8</definedName>
    <definedName name="NIOSMagnac">Data!$AA$2:$AA$8</definedName>
    <definedName name="NIOSMagnaCNGc">Data!$AA$2:$AA$8</definedName>
    <definedName name="NIOSSportzAMTc">Data!$AA$2:$AA$8</definedName>
    <definedName name="NIOSSportzc">Data!$AA$2:$AA$8</definedName>
    <definedName name="NIOSSportzCNGc">Data!$AA$2:$AA$8</definedName>
    <definedName name="NIOSSportzDTc">Data!$AA$14:$AA$15</definedName>
    <definedName name="_xlnm.Print_Area" localSheetId="0">'Proforma Invoice'!$A$1:$Y$39</definedName>
    <definedName name="REGISTRATION">Data!$G$17:$G$25</definedName>
    <definedName name="SOT">Data!$C$149:$C$158</definedName>
    <definedName name="TentativeWaiting">Data!$J$49:$K$61</definedName>
    <definedName name="Tucson">Data!$Q$2:$Q$9</definedName>
    <definedName name="TucsonDieselPlatinum2.0ATc">Data!$AF$97:$AF$101</definedName>
    <definedName name="TucsonDieselSignature2.0AT4WDc">Data!$AF$97:$AF$101</definedName>
    <definedName name="TucsonDieselSignature2.0ATc">Data!$AF$97:$AF$101</definedName>
    <definedName name="TucsonDieselSignatureDT2.0AT4WDc">Data!$AF$104:$AF$105</definedName>
    <definedName name="TucsonDieselSignatureDT2.0ATc">Data!$AF$104:$AF$105</definedName>
    <definedName name="TucsonPetrolPlatinum2.0ATc">Data!$AF$97:$AF$101</definedName>
    <definedName name="TucsonPetrolSignature2.0ATc">Data!$AF$97:$AF$101</definedName>
    <definedName name="TucsonPetrolSignatureDT2.0ATc">Data!$AF$104:$AF$105</definedName>
    <definedName name="Venue">Data!$N$2:$N$27</definedName>
    <definedName name="Venue1.0SXODTKnightDCTc">Data!$AA$74</definedName>
    <definedName name="Venue1.0SXOKnightDCTc">Data!$AA$54:$AA$59</definedName>
    <definedName name="Venue1.0TSODCTc">Data!$AA$54:$AA$59</definedName>
    <definedName name="Venue1.0TSOMTc">Data!$AA$54:$AA$59</definedName>
    <definedName name="Venue1.0TSXODCTc">Data!$AA$54:$AA$59</definedName>
    <definedName name="Venue1.0TSXODTDCTc">Data!$AA$74</definedName>
    <definedName name="Venue1.0TSXODTKnightMTc">Data!$AA$74</definedName>
    <definedName name="Venue1.0TSXODTMTc">Data!$AA$74</definedName>
    <definedName name="Venue1.0TSXOKnightMTc">Data!$AA$54:$AA$59</definedName>
    <definedName name="Venue1.0TSXOMTc">Data!$AA$54:$AA$59</definedName>
    <definedName name="Venue1.0TurboMPiDCTSOc">Data!$AA$54:$AA$59</definedName>
    <definedName name="Venue1.0TurboMPiMTExecutivec">Data!$AA$54:$AA$59</definedName>
    <definedName name="Venue1.0TurboMPiMTSOc">Data!$AA$54:$AA$59</definedName>
    <definedName name="Venue1.2EMTc">Data!$AA$54:$AA$59</definedName>
    <definedName name="Venue1.2SMTc">Data!$AA$54:$AA$59</definedName>
    <definedName name="Venue1.2SOKnightMTc">Data!$AA$54:$AA$59</definedName>
    <definedName name="Venue1.2SOMTc">Data!$AA$54:$AA$59</definedName>
    <definedName name="Venue1.2SXDTKnightMTc">Data!$AA$74</definedName>
    <definedName name="Venue1.2SXDTMTc">Data!$AA$74</definedName>
    <definedName name="Venue1.2SXKnightMTc">Data!$AA$54:$AA$59</definedName>
    <definedName name="Venue1.2SXMTc">Data!$AA$54:$AA$59</definedName>
    <definedName name="Venue1.5S_DSLc">Data!$AA$54:$AA$59</definedName>
    <definedName name="Venue1.5SXDSLc">Data!$AA$54:$AA$59</definedName>
    <definedName name="Venue1.5SXDTDSLc">Data!$AA$74</definedName>
    <definedName name="Venue1.5SXODSLc">Data!$AA$54:$AA$59</definedName>
    <definedName name="Venue1.5SXODTDSLc">Data!$AA$74</definedName>
    <definedName name="VENUENline">Data!$T$2:$T$9</definedName>
    <definedName name="VENUENline1.0TN6DCTc">Data!$AF$59:$AF$60</definedName>
    <definedName name="VENUENline1.0TN6DTDCTc">Data!$AF$53:$AF$55</definedName>
    <definedName name="VENUENline1.0TN6DTMTc">Data!$AF$53:$AF$55</definedName>
    <definedName name="VENUENline1.0TN6MTc">Data!$AF$59:$AF$60</definedName>
    <definedName name="VENUENline1.0TN8DCTc">Data!$AF$59:$AF$60</definedName>
    <definedName name="VENUENline1.0TN8DTDCTc">Data!$AF$53:$AF$55</definedName>
    <definedName name="VENUENline1.0TN8DTMTc">Data!$AF$53:$AF$55</definedName>
    <definedName name="VENUENline1.0TN8MTc">Data!$AF$59:$AF$60</definedName>
    <definedName name="Verna">Data!$M$2:$M$15</definedName>
    <definedName name="Verna1.5MPiiVTSXc">Data!$AF$34:$AF$40</definedName>
    <definedName name="Verna1.5MPiiVTSXOc">Data!$AF$34:$AF$40</definedName>
    <definedName name="Verna1.5MPiMTEXc">Data!$AF$34:$AF$40</definedName>
    <definedName name="Verna1.5MPiMTSc">Data!$AF$34:$AF$40</definedName>
    <definedName name="Verna1.5MPiMTSXc">Data!$AF$34:$AF$40</definedName>
    <definedName name="Verna1.5MPiMTSXOc">Data!$AF$34:$AF$40</definedName>
    <definedName name="Verna1.5TurboGDiDCTSXc">Data!$AF$34:$AF$40</definedName>
    <definedName name="Verna1.5TurboGDiDCTSXDTc">Data!$AF$46:$AF$47</definedName>
    <definedName name="Verna1.5TurboGDiDCTSXOc">Data!$AF$34:$AF$40</definedName>
    <definedName name="Verna1.5TurboGDiDCTSXODTc">Data!$AF$46:$AF$47</definedName>
    <definedName name="Verna1.5TurboGDiMTSXc">Data!$AF$34:$AF$40</definedName>
    <definedName name="Verna1.5TurboGDiMTSXDTc">Data!$AF$46:$AF$47</definedName>
    <definedName name="Verna1.5TurboGDiMTSXOc">Data!$AF$34:$AF$40</definedName>
    <definedName name="Verna1.5TurboGDiMTSXODTc">Data!$AF$46:$AF$47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Q3" i="3" l="1"/>
  <c r="P3" i="3"/>
  <c r="D149" i="3" l="1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48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71" i="3"/>
  <c r="D172" i="3"/>
  <c r="D173" i="3"/>
  <c r="D174" i="3"/>
  <c r="D175" i="3"/>
  <c r="D176" i="3"/>
  <c r="D177" i="3"/>
  <c r="D178" i="3"/>
  <c r="D3" i="3"/>
  <c r="D2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Y131" i="2"/>
  <c r="Y130" i="2"/>
  <c r="Y129" i="2"/>
  <c r="Y128" i="2"/>
  <c r="AD88" i="2" l="1"/>
  <c r="AD87" i="2"/>
  <c r="AD84" i="2"/>
  <c r="AD83" i="2"/>
  <c r="AD82" i="2"/>
  <c r="AD81" i="2"/>
  <c r="M11" i="1"/>
  <c r="L14" i="1" s="1"/>
  <c r="D28" i="1" l="1"/>
  <c r="M13" i="1"/>
  <c r="M22" i="1"/>
  <c r="M23" i="1"/>
  <c r="Y14" i="2"/>
  <c r="AD62" i="2"/>
  <c r="AD61" i="2"/>
  <c r="AD60" i="2"/>
  <c r="AD59" i="2"/>
  <c r="AD56" i="2"/>
  <c r="AD55" i="2"/>
  <c r="AD54" i="2"/>
  <c r="AD53" i="2"/>
  <c r="AD106" i="2"/>
  <c r="AD105" i="2"/>
  <c r="AD101" i="2"/>
  <c r="AD100" i="2"/>
  <c r="AD99" i="2"/>
  <c r="AD98" i="2"/>
  <c r="AD97" i="2"/>
  <c r="Y125" i="2"/>
  <c r="Y124" i="2"/>
  <c r="Y123" i="2"/>
  <c r="Y122" i="2"/>
  <c r="Y119" i="2"/>
  <c r="Y118" i="2"/>
  <c r="Y117" i="2"/>
  <c r="Y116" i="2"/>
  <c r="Y113" i="2"/>
  <c r="Y112" i="2"/>
  <c r="Y111" i="2"/>
  <c r="Y110" i="2"/>
  <c r="Y109" i="2"/>
  <c r="Y108" i="2"/>
  <c r="Y107" i="2"/>
  <c r="Y106" i="2"/>
  <c r="Y105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1" i="2"/>
  <c r="Y80" i="2"/>
  <c r="Y79" i="2"/>
  <c r="Y78" i="2"/>
  <c r="Y77" i="2"/>
  <c r="Y76" i="2"/>
  <c r="Y75" i="2"/>
  <c r="Y74" i="2"/>
  <c r="M24" i="1" l="1"/>
  <c r="M19" i="1"/>
  <c r="M18" i="1"/>
  <c r="M16" i="1"/>
  <c r="M17" i="1"/>
  <c r="M15" i="1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AD49" i="2"/>
  <c r="AD48" i="2"/>
  <c r="AD47" i="2"/>
  <c r="AD46" i="2"/>
  <c r="AD43" i="2"/>
  <c r="AD42" i="2"/>
  <c r="AD41" i="2"/>
  <c r="AD40" i="2"/>
  <c r="AD39" i="2"/>
  <c r="AD38" i="2"/>
  <c r="AD37" i="2"/>
  <c r="AD36" i="2"/>
  <c r="AD35" i="2"/>
  <c r="AD34" i="2"/>
  <c r="AD31" i="2"/>
  <c r="AD30" i="2"/>
  <c r="AD29" i="2"/>
  <c r="AD28" i="2"/>
  <c r="AD27" i="2"/>
  <c r="AD26" i="2"/>
  <c r="AD25" i="2"/>
  <c r="AD2" i="2"/>
  <c r="AD16" i="2"/>
  <c r="AD15" i="2"/>
  <c r="AD14" i="2"/>
  <c r="AD13" i="2"/>
  <c r="AD12" i="2"/>
  <c r="AD11" i="2"/>
  <c r="AD10" i="2"/>
  <c r="AD9" i="2"/>
  <c r="AD8" i="2"/>
  <c r="AD7" i="2"/>
  <c r="AD6" i="2"/>
  <c r="AD5" i="2"/>
  <c r="Y19" i="2"/>
  <c r="Y38" i="2"/>
  <c r="Y37" i="2"/>
  <c r="Y36" i="2"/>
  <c r="Y35" i="2"/>
  <c r="Y32" i="2"/>
  <c r="Y31" i="2"/>
  <c r="Y30" i="2"/>
  <c r="Y29" i="2"/>
  <c r="Y28" i="2"/>
  <c r="Y27" i="2"/>
  <c r="Y26" i="2"/>
  <c r="Y25" i="2"/>
  <c r="Y24" i="2"/>
  <c r="V6" i="2"/>
  <c r="V7" i="2"/>
  <c r="V8" i="2"/>
  <c r="V9" i="2"/>
  <c r="V5" i="2"/>
  <c r="V4" i="2"/>
  <c r="V3" i="2"/>
  <c r="V2" i="2"/>
  <c r="O3" i="3"/>
  <c r="F117" i="3" l="1"/>
  <c r="L117" i="3"/>
  <c r="M117" i="3"/>
  <c r="N117" i="3"/>
  <c r="O117" i="3"/>
  <c r="AN117" i="3"/>
  <c r="AP117" i="3" s="1"/>
  <c r="J117" i="3" s="1"/>
  <c r="F118" i="3"/>
  <c r="L118" i="3"/>
  <c r="M118" i="3"/>
  <c r="N118" i="3"/>
  <c r="O118" i="3"/>
  <c r="AN118" i="3"/>
  <c r="AP118" i="3" s="1"/>
  <c r="J118" i="3" s="1"/>
  <c r="F119" i="3"/>
  <c r="L119" i="3"/>
  <c r="M119" i="3"/>
  <c r="N119" i="3"/>
  <c r="O119" i="3"/>
  <c r="AN119" i="3"/>
  <c r="AP119" i="3" s="1"/>
  <c r="H119" i="3" s="1"/>
  <c r="F120" i="3"/>
  <c r="L120" i="3"/>
  <c r="M120" i="3"/>
  <c r="N120" i="3"/>
  <c r="O120" i="3"/>
  <c r="AN120" i="3"/>
  <c r="AP120" i="3" s="1"/>
  <c r="H120" i="3" s="1"/>
  <c r="F121" i="3"/>
  <c r="L121" i="3"/>
  <c r="M121" i="3"/>
  <c r="N121" i="3"/>
  <c r="O121" i="3"/>
  <c r="AN121" i="3"/>
  <c r="AP121" i="3" s="1"/>
  <c r="F122" i="3"/>
  <c r="L122" i="3"/>
  <c r="M122" i="3"/>
  <c r="N122" i="3"/>
  <c r="O122" i="3"/>
  <c r="AN122" i="3"/>
  <c r="AP122" i="3" s="1"/>
  <c r="H122" i="3" s="1"/>
  <c r="F123" i="3"/>
  <c r="L123" i="3"/>
  <c r="M123" i="3"/>
  <c r="N123" i="3"/>
  <c r="O123" i="3"/>
  <c r="AN123" i="3"/>
  <c r="AP123" i="3" s="1"/>
  <c r="J123" i="3" s="1"/>
  <c r="F124" i="3"/>
  <c r="L124" i="3"/>
  <c r="M124" i="3"/>
  <c r="N124" i="3"/>
  <c r="O124" i="3"/>
  <c r="AN124" i="3"/>
  <c r="AP124" i="3" s="1"/>
  <c r="F125" i="3"/>
  <c r="L125" i="3"/>
  <c r="M125" i="3"/>
  <c r="N125" i="3"/>
  <c r="O125" i="3"/>
  <c r="AN125" i="3"/>
  <c r="AP125" i="3" s="1"/>
  <c r="J125" i="3" s="1"/>
  <c r="F126" i="3"/>
  <c r="L126" i="3"/>
  <c r="M126" i="3"/>
  <c r="N126" i="3"/>
  <c r="O126" i="3"/>
  <c r="AN126" i="3"/>
  <c r="AP126" i="3" s="1"/>
  <c r="J126" i="3" s="1"/>
  <c r="F127" i="3"/>
  <c r="L127" i="3"/>
  <c r="M127" i="3"/>
  <c r="N127" i="3"/>
  <c r="O127" i="3"/>
  <c r="AN127" i="3"/>
  <c r="AP127" i="3" s="1"/>
  <c r="H127" i="3" s="1"/>
  <c r="F128" i="3"/>
  <c r="L128" i="3"/>
  <c r="M128" i="3"/>
  <c r="N128" i="3"/>
  <c r="O128" i="3"/>
  <c r="AN128" i="3"/>
  <c r="AP128" i="3" s="1"/>
  <c r="H128" i="3" s="1"/>
  <c r="F129" i="3"/>
  <c r="L129" i="3"/>
  <c r="M129" i="3"/>
  <c r="N129" i="3"/>
  <c r="O129" i="3"/>
  <c r="AN129" i="3"/>
  <c r="AP129" i="3" s="1"/>
  <c r="F130" i="3"/>
  <c r="L130" i="3"/>
  <c r="M130" i="3"/>
  <c r="N130" i="3"/>
  <c r="O130" i="3"/>
  <c r="AN130" i="3"/>
  <c r="AP130" i="3" s="1"/>
  <c r="H130" i="3" s="1"/>
  <c r="F131" i="3"/>
  <c r="L131" i="3"/>
  <c r="M131" i="3"/>
  <c r="N131" i="3"/>
  <c r="O131" i="3"/>
  <c r="AN131" i="3"/>
  <c r="AP131" i="3" s="1"/>
  <c r="F132" i="3"/>
  <c r="L132" i="3"/>
  <c r="M132" i="3"/>
  <c r="N132" i="3"/>
  <c r="O132" i="3"/>
  <c r="AN132" i="3"/>
  <c r="AP132" i="3" s="1"/>
  <c r="J132" i="3" s="1"/>
  <c r="F133" i="3"/>
  <c r="L133" i="3"/>
  <c r="M133" i="3"/>
  <c r="N133" i="3"/>
  <c r="O133" i="3"/>
  <c r="AN133" i="3"/>
  <c r="AP133" i="3" s="1"/>
  <c r="F134" i="3"/>
  <c r="L134" i="3"/>
  <c r="M134" i="3"/>
  <c r="N134" i="3"/>
  <c r="O134" i="3"/>
  <c r="AN134" i="3"/>
  <c r="AP134" i="3" s="1"/>
  <c r="J134" i="3" s="1"/>
  <c r="F135" i="3"/>
  <c r="L135" i="3"/>
  <c r="M135" i="3"/>
  <c r="N135" i="3"/>
  <c r="O135" i="3"/>
  <c r="AN135" i="3"/>
  <c r="AP135" i="3" s="1"/>
  <c r="H135" i="3" s="1"/>
  <c r="F136" i="3"/>
  <c r="L136" i="3"/>
  <c r="M136" i="3"/>
  <c r="N136" i="3"/>
  <c r="O136" i="3"/>
  <c r="AN136" i="3"/>
  <c r="AP136" i="3" s="1"/>
  <c r="H136" i="3" s="1"/>
  <c r="F137" i="3"/>
  <c r="L137" i="3"/>
  <c r="M137" i="3"/>
  <c r="N137" i="3"/>
  <c r="O137" i="3"/>
  <c r="AN137" i="3"/>
  <c r="AP137" i="3" s="1"/>
  <c r="H137" i="3" s="1"/>
  <c r="F138" i="3"/>
  <c r="L138" i="3"/>
  <c r="M138" i="3"/>
  <c r="N138" i="3"/>
  <c r="O138" i="3"/>
  <c r="AN138" i="3"/>
  <c r="AP138" i="3" s="1"/>
  <c r="H138" i="3" s="1"/>
  <c r="F139" i="3"/>
  <c r="L139" i="3"/>
  <c r="M139" i="3"/>
  <c r="N139" i="3"/>
  <c r="O139" i="3"/>
  <c r="AN139" i="3"/>
  <c r="AP139" i="3" s="1"/>
  <c r="J139" i="3" s="1"/>
  <c r="F140" i="3"/>
  <c r="L140" i="3"/>
  <c r="M140" i="3"/>
  <c r="N140" i="3"/>
  <c r="O140" i="3"/>
  <c r="AN140" i="3"/>
  <c r="AP140" i="3" s="1"/>
  <c r="J140" i="3" s="1"/>
  <c r="F141" i="3"/>
  <c r="L141" i="3"/>
  <c r="M141" i="3"/>
  <c r="N141" i="3"/>
  <c r="O141" i="3"/>
  <c r="AN141" i="3"/>
  <c r="AP141" i="3" s="1"/>
  <c r="J141" i="3" s="1"/>
  <c r="F142" i="3"/>
  <c r="L142" i="3"/>
  <c r="M142" i="3"/>
  <c r="N142" i="3"/>
  <c r="O142" i="3"/>
  <c r="AN142" i="3"/>
  <c r="AP142" i="3" s="1"/>
  <c r="J142" i="3" s="1"/>
  <c r="F143" i="3"/>
  <c r="L143" i="3"/>
  <c r="M143" i="3"/>
  <c r="N143" i="3"/>
  <c r="O143" i="3"/>
  <c r="AN143" i="3"/>
  <c r="AP143" i="3" s="1"/>
  <c r="F144" i="3"/>
  <c r="L144" i="3"/>
  <c r="M144" i="3"/>
  <c r="N144" i="3"/>
  <c r="O144" i="3"/>
  <c r="AN144" i="3"/>
  <c r="AP144" i="3" s="1"/>
  <c r="F145" i="3"/>
  <c r="L145" i="3"/>
  <c r="M145" i="3"/>
  <c r="N145" i="3"/>
  <c r="O145" i="3"/>
  <c r="AN145" i="3"/>
  <c r="AP145" i="3" s="1"/>
  <c r="H145" i="3" s="1"/>
  <c r="F146" i="3"/>
  <c r="L146" i="3"/>
  <c r="M146" i="3"/>
  <c r="N146" i="3"/>
  <c r="O146" i="3"/>
  <c r="AN146" i="3"/>
  <c r="AP146" i="3" s="1"/>
  <c r="F147" i="3"/>
  <c r="L147" i="3"/>
  <c r="M147" i="3"/>
  <c r="N147" i="3"/>
  <c r="O147" i="3"/>
  <c r="AN147" i="3"/>
  <c r="AP147" i="3" s="1"/>
  <c r="J147" i="3" s="1"/>
  <c r="F148" i="3"/>
  <c r="L148" i="3"/>
  <c r="M148" i="3"/>
  <c r="N148" i="3"/>
  <c r="O148" i="3"/>
  <c r="AN148" i="3"/>
  <c r="AP148" i="3" s="1"/>
  <c r="F149" i="3"/>
  <c r="L149" i="3"/>
  <c r="M149" i="3"/>
  <c r="N149" i="3"/>
  <c r="O149" i="3"/>
  <c r="AN149" i="3"/>
  <c r="AP149" i="3" s="1"/>
  <c r="J149" i="3" s="1"/>
  <c r="F150" i="3"/>
  <c r="L150" i="3"/>
  <c r="M150" i="3"/>
  <c r="N150" i="3"/>
  <c r="O150" i="3"/>
  <c r="AN150" i="3"/>
  <c r="AP150" i="3" s="1"/>
  <c r="J150" i="3" s="1"/>
  <c r="F151" i="3"/>
  <c r="L151" i="3"/>
  <c r="M151" i="3"/>
  <c r="N151" i="3"/>
  <c r="O151" i="3"/>
  <c r="AN151" i="3"/>
  <c r="AP151" i="3" s="1"/>
  <c r="H151" i="3" s="1"/>
  <c r="F152" i="3"/>
  <c r="L152" i="3"/>
  <c r="M152" i="3"/>
  <c r="N152" i="3"/>
  <c r="O152" i="3"/>
  <c r="AN152" i="3"/>
  <c r="AP152" i="3" s="1"/>
  <c r="F153" i="3"/>
  <c r="L153" i="3"/>
  <c r="M153" i="3"/>
  <c r="N153" i="3"/>
  <c r="O153" i="3"/>
  <c r="AN153" i="3"/>
  <c r="AP153" i="3" s="1"/>
  <c r="F154" i="3"/>
  <c r="L154" i="3"/>
  <c r="M154" i="3"/>
  <c r="N154" i="3"/>
  <c r="O154" i="3"/>
  <c r="AN154" i="3"/>
  <c r="AP154" i="3" s="1"/>
  <c r="H154" i="3" s="1"/>
  <c r="F155" i="3"/>
  <c r="L155" i="3"/>
  <c r="M155" i="3"/>
  <c r="N155" i="3"/>
  <c r="O155" i="3"/>
  <c r="AN155" i="3"/>
  <c r="AP155" i="3" s="1"/>
  <c r="J155" i="3" s="1"/>
  <c r="F156" i="3"/>
  <c r="L156" i="3"/>
  <c r="M156" i="3"/>
  <c r="N156" i="3"/>
  <c r="O156" i="3"/>
  <c r="AN156" i="3"/>
  <c r="AP156" i="3" s="1"/>
  <c r="F157" i="3"/>
  <c r="L157" i="3"/>
  <c r="M157" i="3"/>
  <c r="N157" i="3"/>
  <c r="O157" i="3"/>
  <c r="AN157" i="3"/>
  <c r="AP157" i="3" s="1"/>
  <c r="J157" i="3" s="1"/>
  <c r="F158" i="3"/>
  <c r="L158" i="3"/>
  <c r="M158" i="3"/>
  <c r="N158" i="3"/>
  <c r="O158" i="3"/>
  <c r="AN158" i="3"/>
  <c r="AP158" i="3" s="1"/>
  <c r="J158" i="3" s="1"/>
  <c r="F159" i="3"/>
  <c r="L159" i="3"/>
  <c r="M159" i="3"/>
  <c r="N159" i="3"/>
  <c r="O159" i="3"/>
  <c r="AN159" i="3"/>
  <c r="AP159" i="3" s="1"/>
  <c r="H159" i="3" s="1"/>
  <c r="F160" i="3"/>
  <c r="L160" i="3"/>
  <c r="M160" i="3"/>
  <c r="N160" i="3"/>
  <c r="O160" i="3"/>
  <c r="AN160" i="3"/>
  <c r="AP160" i="3" s="1"/>
  <c r="F161" i="3"/>
  <c r="L161" i="3"/>
  <c r="M161" i="3"/>
  <c r="N161" i="3"/>
  <c r="O161" i="3"/>
  <c r="AN161" i="3"/>
  <c r="AP161" i="3" s="1"/>
  <c r="F162" i="3"/>
  <c r="L162" i="3"/>
  <c r="M162" i="3"/>
  <c r="N162" i="3"/>
  <c r="O162" i="3"/>
  <c r="AN162" i="3"/>
  <c r="AP162" i="3" s="1"/>
  <c r="H162" i="3" s="1"/>
  <c r="F163" i="3"/>
  <c r="L163" i="3"/>
  <c r="M163" i="3"/>
  <c r="N163" i="3"/>
  <c r="O163" i="3"/>
  <c r="AN163" i="3"/>
  <c r="AP163" i="3" s="1"/>
  <c r="F164" i="3"/>
  <c r="L164" i="3"/>
  <c r="M164" i="3"/>
  <c r="N164" i="3"/>
  <c r="O164" i="3"/>
  <c r="AN164" i="3"/>
  <c r="AP164" i="3" s="1"/>
  <c r="J164" i="3" s="1"/>
  <c r="F165" i="3"/>
  <c r="L165" i="3"/>
  <c r="M165" i="3"/>
  <c r="N165" i="3"/>
  <c r="O165" i="3"/>
  <c r="AN165" i="3"/>
  <c r="AP165" i="3" s="1"/>
  <c r="F166" i="3"/>
  <c r="L166" i="3"/>
  <c r="M166" i="3"/>
  <c r="N166" i="3"/>
  <c r="O166" i="3"/>
  <c r="AN166" i="3"/>
  <c r="AP166" i="3" s="1"/>
  <c r="J166" i="3" s="1"/>
  <c r="F167" i="3"/>
  <c r="L167" i="3"/>
  <c r="M167" i="3"/>
  <c r="N167" i="3"/>
  <c r="O167" i="3"/>
  <c r="AN167" i="3"/>
  <c r="AP167" i="3" s="1"/>
  <c r="H167" i="3" s="1"/>
  <c r="F168" i="3"/>
  <c r="L168" i="3"/>
  <c r="M168" i="3"/>
  <c r="N168" i="3"/>
  <c r="O168" i="3"/>
  <c r="AN168" i="3"/>
  <c r="AP168" i="3" s="1"/>
  <c r="F169" i="3"/>
  <c r="L169" i="3"/>
  <c r="M169" i="3"/>
  <c r="N169" i="3"/>
  <c r="O169" i="3"/>
  <c r="AN169" i="3"/>
  <c r="AP169" i="3" s="1"/>
  <c r="H169" i="3" s="1"/>
  <c r="F170" i="3"/>
  <c r="L170" i="3"/>
  <c r="M170" i="3"/>
  <c r="N170" i="3"/>
  <c r="O170" i="3"/>
  <c r="AN170" i="3"/>
  <c r="AP170" i="3" s="1"/>
  <c r="H170" i="3" s="1"/>
  <c r="K134" i="3" l="1"/>
  <c r="K166" i="3"/>
  <c r="H143" i="3"/>
  <c r="K143" i="3"/>
  <c r="K150" i="3"/>
  <c r="K158" i="3"/>
  <c r="K118" i="3"/>
  <c r="H168" i="3"/>
  <c r="G168" i="3"/>
  <c r="K168" i="3"/>
  <c r="H152" i="3"/>
  <c r="G152" i="3"/>
  <c r="K152" i="3"/>
  <c r="H160" i="3"/>
  <c r="G160" i="3"/>
  <c r="K160" i="3"/>
  <c r="H144" i="3"/>
  <c r="G144" i="3"/>
  <c r="K144" i="3"/>
  <c r="G167" i="3"/>
  <c r="G159" i="3"/>
  <c r="G128" i="3"/>
  <c r="G143" i="3"/>
  <c r="K142" i="3"/>
  <c r="K136" i="3"/>
  <c r="K127" i="3"/>
  <c r="K120" i="3"/>
  <c r="G135" i="3"/>
  <c r="G136" i="3"/>
  <c r="G127" i="3"/>
  <c r="K126" i="3"/>
  <c r="G120" i="3"/>
  <c r="G151" i="3"/>
  <c r="G119" i="3"/>
  <c r="K167" i="3"/>
  <c r="K159" i="3"/>
  <c r="K151" i="3"/>
  <c r="K135" i="3"/>
  <c r="K128" i="3"/>
  <c r="K119" i="3"/>
  <c r="H156" i="3"/>
  <c r="K156" i="3"/>
  <c r="G156" i="3"/>
  <c r="J156" i="3"/>
  <c r="H124" i="3"/>
  <c r="K124" i="3"/>
  <c r="G124" i="3"/>
  <c r="J124" i="3"/>
  <c r="K163" i="3"/>
  <c r="G163" i="3"/>
  <c r="G161" i="3"/>
  <c r="K161" i="3"/>
  <c r="J161" i="3"/>
  <c r="G133" i="3"/>
  <c r="K133" i="3"/>
  <c r="H133" i="3"/>
  <c r="K131" i="3"/>
  <c r="G131" i="3"/>
  <c r="H131" i="3"/>
  <c r="G129" i="3"/>
  <c r="K129" i="3"/>
  <c r="J129" i="3"/>
  <c r="J170" i="3"/>
  <c r="K170" i="3"/>
  <c r="G170" i="3"/>
  <c r="H140" i="3"/>
  <c r="K140" i="3"/>
  <c r="G140" i="3"/>
  <c r="H164" i="3"/>
  <c r="K164" i="3"/>
  <c r="G164" i="3"/>
  <c r="J162" i="3"/>
  <c r="K162" i="3"/>
  <c r="G162" i="3"/>
  <c r="H161" i="3"/>
  <c r="G149" i="3"/>
  <c r="K149" i="3"/>
  <c r="H149" i="3"/>
  <c r="K147" i="3"/>
  <c r="G147" i="3"/>
  <c r="H147" i="3"/>
  <c r="G145" i="3"/>
  <c r="K145" i="3"/>
  <c r="J145" i="3"/>
  <c r="H132" i="3"/>
  <c r="K132" i="3"/>
  <c r="G132" i="3"/>
  <c r="J130" i="3"/>
  <c r="K130" i="3"/>
  <c r="G130" i="3"/>
  <c r="H129" i="3"/>
  <c r="G117" i="3"/>
  <c r="K117" i="3"/>
  <c r="H117" i="3"/>
  <c r="G165" i="3"/>
  <c r="K165" i="3"/>
  <c r="H165" i="3"/>
  <c r="H163" i="3"/>
  <c r="H148" i="3"/>
  <c r="K148" i="3"/>
  <c r="G148" i="3"/>
  <c r="J146" i="3"/>
  <c r="K146" i="3"/>
  <c r="G146" i="3"/>
  <c r="G157" i="3"/>
  <c r="K157" i="3"/>
  <c r="H157" i="3"/>
  <c r="K155" i="3"/>
  <c r="G155" i="3"/>
  <c r="H155" i="3"/>
  <c r="G153" i="3"/>
  <c r="K153" i="3"/>
  <c r="J153" i="3"/>
  <c r="J138" i="3"/>
  <c r="K138" i="3"/>
  <c r="G138" i="3"/>
  <c r="G125" i="3"/>
  <c r="K125" i="3"/>
  <c r="H125" i="3"/>
  <c r="K123" i="3"/>
  <c r="G123" i="3"/>
  <c r="H123" i="3"/>
  <c r="G121" i="3"/>
  <c r="K121" i="3"/>
  <c r="J121" i="3"/>
  <c r="G169" i="3"/>
  <c r="K169" i="3"/>
  <c r="J169" i="3"/>
  <c r="J165" i="3"/>
  <c r="J163" i="3"/>
  <c r="J154" i="3"/>
  <c r="K154" i="3"/>
  <c r="G154" i="3"/>
  <c r="H153" i="3"/>
  <c r="J148" i="3"/>
  <c r="H146" i="3"/>
  <c r="G141" i="3"/>
  <c r="K141" i="3"/>
  <c r="H141" i="3"/>
  <c r="K139" i="3"/>
  <c r="G139" i="3"/>
  <c r="H139" i="3"/>
  <c r="G137" i="3"/>
  <c r="K137" i="3"/>
  <c r="J137" i="3"/>
  <c r="J133" i="3"/>
  <c r="J131" i="3"/>
  <c r="J122" i="3"/>
  <c r="K122" i="3"/>
  <c r="G122" i="3"/>
  <c r="H121" i="3"/>
  <c r="J168" i="3"/>
  <c r="J167" i="3"/>
  <c r="H166" i="3"/>
  <c r="J160" i="3"/>
  <c r="J159" i="3"/>
  <c r="H158" i="3"/>
  <c r="J152" i="3"/>
  <c r="J151" i="3"/>
  <c r="H150" i="3"/>
  <c r="J144" i="3"/>
  <c r="J143" i="3"/>
  <c r="H142" i="3"/>
  <c r="J136" i="3"/>
  <c r="J135" i="3"/>
  <c r="H134" i="3"/>
  <c r="J128" i="3"/>
  <c r="J127" i="3"/>
  <c r="H126" i="3"/>
  <c r="J120" i="3"/>
  <c r="J119" i="3"/>
  <c r="H118" i="3"/>
  <c r="G166" i="3"/>
  <c r="G158" i="3"/>
  <c r="G150" i="3"/>
  <c r="G142" i="3"/>
  <c r="G134" i="3"/>
  <c r="G126" i="3"/>
  <c r="G118" i="3"/>
  <c r="AN116" i="3" l="1"/>
  <c r="AP116" i="3" s="1"/>
  <c r="O116" i="3"/>
  <c r="N116" i="3"/>
  <c r="M116" i="3"/>
  <c r="L116" i="3"/>
  <c r="F116" i="3"/>
  <c r="AN115" i="3"/>
  <c r="AP115" i="3" s="1"/>
  <c r="O115" i="3"/>
  <c r="N115" i="3"/>
  <c r="M115" i="3"/>
  <c r="L115" i="3"/>
  <c r="F115" i="3"/>
  <c r="AN114" i="3"/>
  <c r="AP114" i="3" s="1"/>
  <c r="O114" i="3"/>
  <c r="N114" i="3"/>
  <c r="M114" i="3"/>
  <c r="L114" i="3"/>
  <c r="F114" i="3"/>
  <c r="AN113" i="3"/>
  <c r="AP113" i="3" s="1"/>
  <c r="O113" i="3"/>
  <c r="N113" i="3"/>
  <c r="M113" i="3"/>
  <c r="L113" i="3"/>
  <c r="F113" i="3"/>
  <c r="AN112" i="3"/>
  <c r="AP112" i="3" s="1"/>
  <c r="O112" i="3"/>
  <c r="N112" i="3"/>
  <c r="M112" i="3"/>
  <c r="L112" i="3"/>
  <c r="F112" i="3"/>
  <c r="AN111" i="3"/>
  <c r="AP111" i="3" s="1"/>
  <c r="H111" i="3" s="1"/>
  <c r="O111" i="3"/>
  <c r="N111" i="3"/>
  <c r="M111" i="3"/>
  <c r="L111" i="3"/>
  <c r="F111" i="3"/>
  <c r="AN110" i="3"/>
  <c r="AP110" i="3" s="1"/>
  <c r="O110" i="3"/>
  <c r="N110" i="3"/>
  <c r="M110" i="3"/>
  <c r="L110" i="3"/>
  <c r="F110" i="3"/>
  <c r="AN109" i="3"/>
  <c r="AP109" i="3" s="1"/>
  <c r="O109" i="3"/>
  <c r="N109" i="3"/>
  <c r="M109" i="3"/>
  <c r="L109" i="3"/>
  <c r="F109" i="3"/>
  <c r="AN108" i="3"/>
  <c r="AP108" i="3" s="1"/>
  <c r="O108" i="3"/>
  <c r="N108" i="3"/>
  <c r="M108" i="3"/>
  <c r="L108" i="3"/>
  <c r="F108" i="3"/>
  <c r="AN107" i="3"/>
  <c r="AP107" i="3" s="1"/>
  <c r="H107" i="3" s="1"/>
  <c r="O107" i="3"/>
  <c r="N107" i="3"/>
  <c r="M107" i="3"/>
  <c r="L107" i="3"/>
  <c r="F107" i="3"/>
  <c r="AN106" i="3"/>
  <c r="AP106" i="3" s="1"/>
  <c r="O106" i="3"/>
  <c r="N106" i="3"/>
  <c r="M106" i="3"/>
  <c r="L106" i="3"/>
  <c r="F106" i="3"/>
  <c r="AN105" i="3"/>
  <c r="AP105" i="3" s="1"/>
  <c r="O105" i="3"/>
  <c r="N105" i="3"/>
  <c r="M105" i="3"/>
  <c r="L105" i="3"/>
  <c r="F105" i="3"/>
  <c r="AN104" i="3"/>
  <c r="AP104" i="3" s="1"/>
  <c r="O104" i="3"/>
  <c r="N104" i="3"/>
  <c r="M104" i="3"/>
  <c r="L104" i="3"/>
  <c r="F104" i="3"/>
  <c r="AN103" i="3"/>
  <c r="AP103" i="3" s="1"/>
  <c r="H103" i="3" s="1"/>
  <c r="O103" i="3"/>
  <c r="N103" i="3"/>
  <c r="M103" i="3"/>
  <c r="L103" i="3"/>
  <c r="F103" i="3"/>
  <c r="AN102" i="3"/>
  <c r="AP102" i="3" s="1"/>
  <c r="O102" i="3"/>
  <c r="N102" i="3"/>
  <c r="M102" i="3"/>
  <c r="L102" i="3"/>
  <c r="F102" i="3"/>
  <c r="AN101" i="3"/>
  <c r="AP101" i="3" s="1"/>
  <c r="O101" i="3"/>
  <c r="N101" i="3"/>
  <c r="M101" i="3"/>
  <c r="L101" i="3"/>
  <c r="F101" i="3"/>
  <c r="AN100" i="3"/>
  <c r="AP100" i="3" s="1"/>
  <c r="O100" i="3"/>
  <c r="N100" i="3"/>
  <c r="M100" i="3"/>
  <c r="L100" i="3"/>
  <c r="F100" i="3"/>
  <c r="AN99" i="3"/>
  <c r="AP99" i="3" s="1"/>
  <c r="O99" i="3"/>
  <c r="N99" i="3"/>
  <c r="M99" i="3"/>
  <c r="L99" i="3"/>
  <c r="F99" i="3"/>
  <c r="AN98" i="3"/>
  <c r="AP98" i="3" s="1"/>
  <c r="O98" i="3"/>
  <c r="N98" i="3"/>
  <c r="M98" i="3"/>
  <c r="L98" i="3"/>
  <c r="F98" i="3"/>
  <c r="AN97" i="3"/>
  <c r="AP97" i="3" s="1"/>
  <c r="O97" i="3"/>
  <c r="N97" i="3"/>
  <c r="M97" i="3"/>
  <c r="L97" i="3"/>
  <c r="F97" i="3"/>
  <c r="AN96" i="3"/>
  <c r="AP96" i="3" s="1"/>
  <c r="O96" i="3"/>
  <c r="N96" i="3"/>
  <c r="M96" i="3"/>
  <c r="L96" i="3"/>
  <c r="F96" i="3"/>
  <c r="AN95" i="3"/>
  <c r="AP95" i="3" s="1"/>
  <c r="H95" i="3" s="1"/>
  <c r="O95" i="3"/>
  <c r="N95" i="3"/>
  <c r="M95" i="3"/>
  <c r="L95" i="3"/>
  <c r="F95" i="3"/>
  <c r="AN94" i="3"/>
  <c r="AP94" i="3" s="1"/>
  <c r="O94" i="3"/>
  <c r="N94" i="3"/>
  <c r="M94" i="3"/>
  <c r="L94" i="3"/>
  <c r="F94" i="3"/>
  <c r="AN93" i="3"/>
  <c r="AP93" i="3" s="1"/>
  <c r="O93" i="3"/>
  <c r="N93" i="3"/>
  <c r="M93" i="3"/>
  <c r="L93" i="3"/>
  <c r="F93" i="3"/>
  <c r="AN92" i="3"/>
  <c r="AP92" i="3" s="1"/>
  <c r="G92" i="3" s="1"/>
  <c r="O92" i="3"/>
  <c r="N92" i="3"/>
  <c r="M92" i="3"/>
  <c r="L92" i="3"/>
  <c r="F92" i="3"/>
  <c r="AN91" i="3"/>
  <c r="AP91" i="3" s="1"/>
  <c r="H91" i="3" s="1"/>
  <c r="O91" i="3"/>
  <c r="N91" i="3"/>
  <c r="M91" i="3"/>
  <c r="L91" i="3"/>
  <c r="F91" i="3"/>
  <c r="AN90" i="3"/>
  <c r="AP90" i="3" s="1"/>
  <c r="O90" i="3"/>
  <c r="N90" i="3"/>
  <c r="M90" i="3"/>
  <c r="L90" i="3"/>
  <c r="F90" i="3"/>
  <c r="AN89" i="3"/>
  <c r="AP89" i="3" s="1"/>
  <c r="O89" i="3"/>
  <c r="N89" i="3"/>
  <c r="M89" i="3"/>
  <c r="L89" i="3"/>
  <c r="F89" i="3"/>
  <c r="AN88" i="3"/>
  <c r="AP88" i="3" s="1"/>
  <c r="G88" i="3" s="1"/>
  <c r="O88" i="3"/>
  <c r="N88" i="3"/>
  <c r="M88" i="3"/>
  <c r="L88" i="3"/>
  <c r="F88" i="3"/>
  <c r="AN87" i="3"/>
  <c r="AP87" i="3" s="1"/>
  <c r="H87" i="3" s="1"/>
  <c r="O87" i="3"/>
  <c r="N87" i="3"/>
  <c r="M87" i="3"/>
  <c r="L87" i="3"/>
  <c r="F87" i="3"/>
  <c r="AP86" i="3"/>
  <c r="K86" i="3" s="1"/>
  <c r="O86" i="3"/>
  <c r="N86" i="3"/>
  <c r="M86" i="3"/>
  <c r="L86" i="3"/>
  <c r="F86" i="3"/>
  <c r="AP85" i="3"/>
  <c r="K85" i="3" s="1"/>
  <c r="O85" i="3"/>
  <c r="N85" i="3"/>
  <c r="M85" i="3"/>
  <c r="L85" i="3"/>
  <c r="F85" i="3"/>
  <c r="AP84" i="3"/>
  <c r="K84" i="3" s="1"/>
  <c r="O84" i="3"/>
  <c r="N84" i="3"/>
  <c r="M84" i="3"/>
  <c r="L84" i="3"/>
  <c r="F84" i="3"/>
  <c r="AP83" i="3"/>
  <c r="K83" i="3" s="1"/>
  <c r="O83" i="3"/>
  <c r="N83" i="3"/>
  <c r="M83" i="3"/>
  <c r="L83" i="3"/>
  <c r="F83" i="3"/>
  <c r="AP82" i="3"/>
  <c r="K82" i="3" s="1"/>
  <c r="O82" i="3"/>
  <c r="N82" i="3"/>
  <c r="M82" i="3"/>
  <c r="L82" i="3"/>
  <c r="F82" i="3"/>
  <c r="AP81" i="3"/>
  <c r="K81" i="3" s="1"/>
  <c r="O81" i="3"/>
  <c r="N81" i="3"/>
  <c r="M81" i="3"/>
  <c r="L81" i="3"/>
  <c r="F81" i="3"/>
  <c r="AP80" i="3"/>
  <c r="K80" i="3" s="1"/>
  <c r="O80" i="3"/>
  <c r="N80" i="3"/>
  <c r="M80" i="3"/>
  <c r="L80" i="3"/>
  <c r="F80" i="3"/>
  <c r="AP79" i="3"/>
  <c r="K79" i="3" s="1"/>
  <c r="O79" i="3"/>
  <c r="N79" i="3"/>
  <c r="M79" i="3"/>
  <c r="L79" i="3"/>
  <c r="F79" i="3"/>
  <c r="AN78" i="3"/>
  <c r="AP78" i="3" s="1"/>
  <c r="O78" i="3"/>
  <c r="N78" i="3"/>
  <c r="M78" i="3"/>
  <c r="L78" i="3"/>
  <c r="AN77" i="3"/>
  <c r="AP77" i="3" s="1"/>
  <c r="O77" i="3"/>
  <c r="N77" i="3"/>
  <c r="M77" i="3"/>
  <c r="L77" i="3"/>
  <c r="F77" i="3"/>
  <c r="AN76" i="3"/>
  <c r="AP76" i="3" s="1"/>
  <c r="J76" i="3" s="1"/>
  <c r="O76" i="3"/>
  <c r="N76" i="3"/>
  <c r="M76" i="3"/>
  <c r="L76" i="3"/>
  <c r="F76" i="3"/>
  <c r="AN75" i="3"/>
  <c r="AP75" i="3" s="1"/>
  <c r="K75" i="3" s="1"/>
  <c r="O75" i="3"/>
  <c r="N75" i="3"/>
  <c r="M75" i="3"/>
  <c r="L75" i="3"/>
  <c r="F75" i="3"/>
  <c r="AN74" i="3"/>
  <c r="AP74" i="3" s="1"/>
  <c r="O74" i="3"/>
  <c r="N74" i="3"/>
  <c r="M74" i="3"/>
  <c r="L74" i="3"/>
  <c r="F74" i="3"/>
  <c r="AN73" i="3"/>
  <c r="AP73" i="3" s="1"/>
  <c r="O73" i="3"/>
  <c r="N73" i="3"/>
  <c r="M73" i="3"/>
  <c r="L73" i="3"/>
  <c r="F73" i="3"/>
  <c r="AN72" i="3"/>
  <c r="AP72" i="3" s="1"/>
  <c r="J72" i="3" s="1"/>
  <c r="O72" i="3"/>
  <c r="N72" i="3"/>
  <c r="M72" i="3"/>
  <c r="L72" i="3"/>
  <c r="F72" i="3"/>
  <c r="AN71" i="3"/>
  <c r="AP71" i="3" s="1"/>
  <c r="K71" i="3" s="1"/>
  <c r="O71" i="3"/>
  <c r="N71" i="3"/>
  <c r="M71" i="3"/>
  <c r="L71" i="3"/>
  <c r="F71" i="3"/>
  <c r="AN70" i="3"/>
  <c r="AP70" i="3" s="1"/>
  <c r="O70" i="3"/>
  <c r="N70" i="3"/>
  <c r="M70" i="3"/>
  <c r="L70" i="3"/>
  <c r="F70" i="3"/>
  <c r="AN69" i="3"/>
  <c r="AP69" i="3" s="1"/>
  <c r="O69" i="3"/>
  <c r="N69" i="3"/>
  <c r="M69" i="3"/>
  <c r="L69" i="3"/>
  <c r="F69" i="3"/>
  <c r="AN68" i="3"/>
  <c r="AP68" i="3" s="1"/>
  <c r="J68" i="3" s="1"/>
  <c r="O68" i="3"/>
  <c r="N68" i="3"/>
  <c r="M68" i="3"/>
  <c r="L68" i="3"/>
  <c r="F68" i="3"/>
  <c r="AN67" i="3"/>
  <c r="AP67" i="3" s="1"/>
  <c r="J67" i="3" s="1"/>
  <c r="O67" i="3"/>
  <c r="N67" i="3"/>
  <c r="M67" i="3"/>
  <c r="L67" i="3"/>
  <c r="F67" i="3"/>
  <c r="AN66" i="3"/>
  <c r="AP66" i="3" s="1"/>
  <c r="J66" i="3" s="1"/>
  <c r="O66" i="3"/>
  <c r="N66" i="3"/>
  <c r="M66" i="3"/>
  <c r="L66" i="3"/>
  <c r="F66" i="3"/>
  <c r="AN65" i="3"/>
  <c r="AP65" i="3" s="1"/>
  <c r="J65" i="3" s="1"/>
  <c r="O65" i="3"/>
  <c r="N65" i="3"/>
  <c r="M65" i="3"/>
  <c r="L65" i="3"/>
  <c r="F65" i="3"/>
  <c r="AN64" i="3"/>
  <c r="AP64" i="3" s="1"/>
  <c r="H64" i="3" s="1"/>
  <c r="O64" i="3"/>
  <c r="N64" i="3"/>
  <c r="M64" i="3"/>
  <c r="L64" i="3"/>
  <c r="F64" i="3"/>
  <c r="AN63" i="3"/>
  <c r="AP63" i="3" s="1"/>
  <c r="O63" i="3"/>
  <c r="N63" i="3"/>
  <c r="M63" i="3"/>
  <c r="L63" i="3"/>
  <c r="F63" i="3"/>
  <c r="AN62" i="3"/>
  <c r="AP62" i="3" s="1"/>
  <c r="J62" i="3" s="1"/>
  <c r="O62" i="3"/>
  <c r="N62" i="3"/>
  <c r="M62" i="3"/>
  <c r="L62" i="3"/>
  <c r="F62" i="3"/>
  <c r="AN61" i="3"/>
  <c r="AP61" i="3" s="1"/>
  <c r="J61" i="3" s="1"/>
  <c r="O61" i="3"/>
  <c r="N61" i="3"/>
  <c r="M61" i="3"/>
  <c r="L61" i="3"/>
  <c r="F61" i="3"/>
  <c r="AN60" i="3"/>
  <c r="AP60" i="3" s="1"/>
  <c r="O60" i="3"/>
  <c r="N60" i="3"/>
  <c r="M60" i="3"/>
  <c r="L60" i="3"/>
  <c r="F60" i="3"/>
  <c r="AN59" i="3"/>
  <c r="AP59" i="3" s="1"/>
  <c r="O59" i="3"/>
  <c r="N59" i="3"/>
  <c r="M59" i="3"/>
  <c r="L59" i="3"/>
  <c r="F59" i="3"/>
  <c r="AN58" i="3"/>
  <c r="AP58" i="3" s="1"/>
  <c r="O58" i="3"/>
  <c r="N58" i="3"/>
  <c r="M58" i="3"/>
  <c r="L58" i="3"/>
  <c r="F58" i="3"/>
  <c r="AN57" i="3"/>
  <c r="AP57" i="3" s="1"/>
  <c r="J57" i="3" s="1"/>
  <c r="O57" i="3"/>
  <c r="N57" i="3"/>
  <c r="M57" i="3"/>
  <c r="L57" i="3"/>
  <c r="F57" i="3"/>
  <c r="AN56" i="3"/>
  <c r="AP56" i="3" s="1"/>
  <c r="O56" i="3"/>
  <c r="N56" i="3"/>
  <c r="M56" i="3"/>
  <c r="L56" i="3"/>
  <c r="F56" i="3"/>
  <c r="AN55" i="3"/>
  <c r="AP55" i="3" s="1"/>
  <c r="O55" i="3"/>
  <c r="N55" i="3"/>
  <c r="M55" i="3"/>
  <c r="L55" i="3"/>
  <c r="F55" i="3"/>
  <c r="AN54" i="3"/>
  <c r="AP54" i="3" s="1"/>
  <c r="O54" i="3"/>
  <c r="N54" i="3"/>
  <c r="M54" i="3"/>
  <c r="L54" i="3"/>
  <c r="F54" i="3"/>
  <c r="AN53" i="3"/>
  <c r="AP53" i="3" s="1"/>
  <c r="J53" i="3" s="1"/>
  <c r="O53" i="3"/>
  <c r="N53" i="3"/>
  <c r="M53" i="3"/>
  <c r="L53" i="3"/>
  <c r="F53" i="3"/>
  <c r="AN52" i="3"/>
  <c r="AP52" i="3" s="1"/>
  <c r="O52" i="3"/>
  <c r="N52" i="3"/>
  <c r="M52" i="3"/>
  <c r="L52" i="3"/>
  <c r="F52" i="3"/>
  <c r="AN51" i="3"/>
  <c r="AP51" i="3" s="1"/>
  <c r="O51" i="3"/>
  <c r="N51" i="3"/>
  <c r="M51" i="3"/>
  <c r="L51" i="3"/>
  <c r="F51" i="3"/>
  <c r="AN50" i="3"/>
  <c r="AP50" i="3" s="1"/>
  <c r="J50" i="3" s="1"/>
  <c r="O50" i="3"/>
  <c r="N50" i="3"/>
  <c r="M50" i="3"/>
  <c r="L50" i="3"/>
  <c r="F50" i="3"/>
  <c r="AN49" i="3"/>
  <c r="AP49" i="3" s="1"/>
  <c r="G49" i="3" s="1"/>
  <c r="O49" i="3"/>
  <c r="N49" i="3"/>
  <c r="M49" i="3"/>
  <c r="L49" i="3"/>
  <c r="F49" i="3"/>
  <c r="AN48" i="3"/>
  <c r="AP48" i="3" s="1"/>
  <c r="O48" i="3"/>
  <c r="N48" i="3"/>
  <c r="M48" i="3"/>
  <c r="L48" i="3"/>
  <c r="F48" i="3"/>
  <c r="AN47" i="3"/>
  <c r="AP47" i="3" s="1"/>
  <c r="O47" i="3"/>
  <c r="N47" i="3"/>
  <c r="M47" i="3"/>
  <c r="L47" i="3"/>
  <c r="F47" i="3"/>
  <c r="AN46" i="3"/>
  <c r="AP46" i="3" s="1"/>
  <c r="J46" i="3" s="1"/>
  <c r="O46" i="3"/>
  <c r="N46" i="3"/>
  <c r="M46" i="3"/>
  <c r="L46" i="3"/>
  <c r="F46" i="3"/>
  <c r="AN45" i="3"/>
  <c r="AP45" i="3" s="1"/>
  <c r="K45" i="3" s="1"/>
  <c r="O45" i="3"/>
  <c r="N45" i="3"/>
  <c r="M45" i="3"/>
  <c r="L45" i="3"/>
  <c r="F45" i="3"/>
  <c r="AN44" i="3"/>
  <c r="AP44" i="3" s="1"/>
  <c r="O44" i="3"/>
  <c r="N44" i="3"/>
  <c r="M44" i="3"/>
  <c r="L44" i="3"/>
  <c r="F44" i="3"/>
  <c r="AN43" i="3"/>
  <c r="AP43" i="3" s="1"/>
  <c r="O43" i="3"/>
  <c r="N43" i="3"/>
  <c r="M43" i="3"/>
  <c r="L43" i="3"/>
  <c r="F43" i="3"/>
  <c r="AN42" i="3"/>
  <c r="AP42" i="3" s="1"/>
  <c r="J42" i="3" s="1"/>
  <c r="O42" i="3"/>
  <c r="N42" i="3"/>
  <c r="M42" i="3"/>
  <c r="L42" i="3"/>
  <c r="F42" i="3"/>
  <c r="AN41" i="3"/>
  <c r="AP41" i="3" s="1"/>
  <c r="G41" i="3" s="1"/>
  <c r="O41" i="3"/>
  <c r="N41" i="3"/>
  <c r="M41" i="3"/>
  <c r="L41" i="3"/>
  <c r="F41" i="3"/>
  <c r="AN40" i="3"/>
  <c r="AP40" i="3" s="1"/>
  <c r="O40" i="3"/>
  <c r="N40" i="3"/>
  <c r="M40" i="3"/>
  <c r="L40" i="3"/>
  <c r="F40" i="3"/>
  <c r="AN39" i="3"/>
  <c r="AP39" i="3" s="1"/>
  <c r="O39" i="3"/>
  <c r="N39" i="3"/>
  <c r="M39" i="3"/>
  <c r="L39" i="3"/>
  <c r="F39" i="3"/>
  <c r="AN38" i="3"/>
  <c r="AP38" i="3" s="1"/>
  <c r="O38" i="3"/>
  <c r="N38" i="3"/>
  <c r="M38" i="3"/>
  <c r="L38" i="3"/>
  <c r="F38" i="3"/>
  <c r="AN37" i="3"/>
  <c r="AP37" i="3" s="1"/>
  <c r="G37" i="3" s="1"/>
  <c r="O37" i="3"/>
  <c r="N37" i="3"/>
  <c r="M37" i="3"/>
  <c r="L37" i="3"/>
  <c r="F37" i="3"/>
  <c r="AN36" i="3"/>
  <c r="AP36" i="3" s="1"/>
  <c r="O36" i="3"/>
  <c r="N36" i="3"/>
  <c r="M36" i="3"/>
  <c r="L36" i="3"/>
  <c r="F36" i="3"/>
  <c r="AN35" i="3"/>
  <c r="AP35" i="3" s="1"/>
  <c r="O35" i="3"/>
  <c r="N35" i="3"/>
  <c r="M35" i="3"/>
  <c r="L35" i="3"/>
  <c r="F35" i="3"/>
  <c r="AN34" i="3"/>
  <c r="AP34" i="3" s="1"/>
  <c r="O34" i="3"/>
  <c r="N34" i="3"/>
  <c r="M34" i="3"/>
  <c r="L34" i="3"/>
  <c r="F34" i="3"/>
  <c r="AN33" i="3"/>
  <c r="AP33" i="3" s="1"/>
  <c r="G33" i="3" s="1"/>
  <c r="O33" i="3"/>
  <c r="N33" i="3"/>
  <c r="M33" i="3"/>
  <c r="L33" i="3"/>
  <c r="F33" i="3"/>
  <c r="AN32" i="3"/>
  <c r="AP32" i="3" s="1"/>
  <c r="O32" i="3"/>
  <c r="N32" i="3"/>
  <c r="M32" i="3"/>
  <c r="L32" i="3"/>
  <c r="F32" i="3"/>
  <c r="AN31" i="3"/>
  <c r="AP31" i="3" s="1"/>
  <c r="O31" i="3"/>
  <c r="N31" i="3"/>
  <c r="M31" i="3"/>
  <c r="L31" i="3"/>
  <c r="F31" i="3"/>
  <c r="AN30" i="3"/>
  <c r="AP30" i="3" s="1"/>
  <c r="O30" i="3"/>
  <c r="N30" i="3"/>
  <c r="M30" i="3"/>
  <c r="L30" i="3"/>
  <c r="F30" i="3"/>
  <c r="AN29" i="3"/>
  <c r="AP29" i="3" s="1"/>
  <c r="G29" i="3" s="1"/>
  <c r="O29" i="3"/>
  <c r="N29" i="3"/>
  <c r="M29" i="3"/>
  <c r="L29" i="3"/>
  <c r="F29" i="3"/>
  <c r="AN28" i="3"/>
  <c r="AP28" i="3" s="1"/>
  <c r="O28" i="3"/>
  <c r="N28" i="3"/>
  <c r="M28" i="3"/>
  <c r="L28" i="3"/>
  <c r="F28" i="3"/>
  <c r="AN27" i="3"/>
  <c r="AP27" i="3" s="1"/>
  <c r="O27" i="3"/>
  <c r="N27" i="3"/>
  <c r="M27" i="3"/>
  <c r="L27" i="3"/>
  <c r="F27" i="3"/>
  <c r="AN26" i="3"/>
  <c r="AP26" i="3" s="1"/>
  <c r="O26" i="3"/>
  <c r="N26" i="3"/>
  <c r="M26" i="3"/>
  <c r="L26" i="3"/>
  <c r="F26" i="3"/>
  <c r="AN25" i="3"/>
  <c r="AP25" i="3" s="1"/>
  <c r="G25" i="3" s="1"/>
  <c r="O25" i="3"/>
  <c r="N25" i="3"/>
  <c r="M25" i="3"/>
  <c r="L25" i="3"/>
  <c r="F25" i="3"/>
  <c r="AN24" i="3"/>
  <c r="AP24" i="3" s="1"/>
  <c r="O24" i="3"/>
  <c r="N24" i="3"/>
  <c r="M24" i="3"/>
  <c r="L24" i="3"/>
  <c r="F24" i="3"/>
  <c r="AN23" i="3"/>
  <c r="AP23" i="3" s="1"/>
  <c r="O23" i="3"/>
  <c r="N23" i="3"/>
  <c r="M23" i="3"/>
  <c r="L23" i="3"/>
  <c r="F23" i="3"/>
  <c r="AN22" i="3"/>
  <c r="AP22" i="3" s="1"/>
  <c r="O22" i="3"/>
  <c r="N22" i="3"/>
  <c r="M22" i="3"/>
  <c r="L22" i="3"/>
  <c r="F22" i="3"/>
  <c r="AN21" i="3"/>
  <c r="AP21" i="3" s="1"/>
  <c r="G21" i="3" s="1"/>
  <c r="O21" i="3"/>
  <c r="N21" i="3"/>
  <c r="M21" i="3"/>
  <c r="L21" i="3"/>
  <c r="F21" i="3"/>
  <c r="AN20" i="3"/>
  <c r="AP20" i="3" s="1"/>
  <c r="O20" i="3"/>
  <c r="N20" i="3"/>
  <c r="M20" i="3"/>
  <c r="L20" i="3"/>
  <c r="F20" i="3"/>
  <c r="AN19" i="3"/>
  <c r="AP19" i="3" s="1"/>
  <c r="O19" i="3"/>
  <c r="N19" i="3"/>
  <c r="M19" i="3"/>
  <c r="L19" i="3"/>
  <c r="F19" i="3"/>
  <c r="AN18" i="3"/>
  <c r="AP18" i="3" s="1"/>
  <c r="O18" i="3"/>
  <c r="N18" i="3"/>
  <c r="M18" i="3"/>
  <c r="L18" i="3"/>
  <c r="F18" i="3"/>
  <c r="AN17" i="3"/>
  <c r="AP17" i="3" s="1"/>
  <c r="G17" i="3" s="1"/>
  <c r="O17" i="3"/>
  <c r="N17" i="3"/>
  <c r="M17" i="3"/>
  <c r="L17" i="3"/>
  <c r="F17" i="3"/>
  <c r="AN16" i="3"/>
  <c r="AP16" i="3" s="1"/>
  <c r="O16" i="3"/>
  <c r="N16" i="3"/>
  <c r="M16" i="3"/>
  <c r="L16" i="3"/>
  <c r="F16" i="3"/>
  <c r="AN15" i="3"/>
  <c r="AP15" i="3" s="1"/>
  <c r="O15" i="3"/>
  <c r="N15" i="3"/>
  <c r="M15" i="3"/>
  <c r="L15" i="3"/>
  <c r="F15" i="3"/>
  <c r="AN14" i="3"/>
  <c r="AP14" i="3" s="1"/>
  <c r="O14" i="3"/>
  <c r="N14" i="3"/>
  <c r="M14" i="3"/>
  <c r="L14" i="3"/>
  <c r="F14" i="3"/>
  <c r="AN13" i="3"/>
  <c r="AP13" i="3" s="1"/>
  <c r="G13" i="3" s="1"/>
  <c r="O13" i="3"/>
  <c r="N13" i="3"/>
  <c r="M13" i="3"/>
  <c r="L13" i="3"/>
  <c r="F13" i="3"/>
  <c r="AN12" i="3"/>
  <c r="AP12" i="3" s="1"/>
  <c r="O12" i="3"/>
  <c r="N12" i="3"/>
  <c r="M12" i="3"/>
  <c r="L12" i="3"/>
  <c r="F12" i="3"/>
  <c r="AN11" i="3"/>
  <c r="AP11" i="3" s="1"/>
  <c r="O11" i="3"/>
  <c r="N11" i="3"/>
  <c r="M11" i="3"/>
  <c r="L11" i="3"/>
  <c r="F11" i="3"/>
  <c r="AN10" i="3"/>
  <c r="AP10" i="3" s="1"/>
  <c r="O10" i="3"/>
  <c r="N10" i="3"/>
  <c r="M10" i="3"/>
  <c r="L10" i="3"/>
  <c r="F10" i="3"/>
  <c r="AN9" i="3"/>
  <c r="AP9" i="3" s="1"/>
  <c r="G9" i="3" s="1"/>
  <c r="O9" i="3"/>
  <c r="N9" i="3"/>
  <c r="M9" i="3"/>
  <c r="L9" i="3"/>
  <c r="F9" i="3"/>
  <c r="AN8" i="3"/>
  <c r="AP8" i="3" s="1"/>
  <c r="O8" i="3"/>
  <c r="N8" i="3"/>
  <c r="M8" i="3"/>
  <c r="L8" i="3"/>
  <c r="F8" i="3"/>
  <c r="AN7" i="3"/>
  <c r="AP7" i="3" s="1"/>
  <c r="O7" i="3"/>
  <c r="N7" i="3"/>
  <c r="M7" i="3"/>
  <c r="L7" i="3"/>
  <c r="F7" i="3"/>
  <c r="AN6" i="3"/>
  <c r="AP6" i="3" s="1"/>
  <c r="O6" i="3"/>
  <c r="N6" i="3"/>
  <c r="M6" i="3"/>
  <c r="L6" i="3"/>
  <c r="F6" i="3"/>
  <c r="AN5" i="3"/>
  <c r="AP5" i="3" s="1"/>
  <c r="J5" i="3" s="1"/>
  <c r="O5" i="3"/>
  <c r="N5" i="3"/>
  <c r="M5" i="3"/>
  <c r="L5" i="3"/>
  <c r="F5" i="3"/>
  <c r="AN4" i="3"/>
  <c r="AP4" i="3" s="1"/>
  <c r="O4" i="3"/>
  <c r="N4" i="3"/>
  <c r="M4" i="3"/>
  <c r="L4" i="3"/>
  <c r="F4" i="3"/>
  <c r="AN3" i="3"/>
  <c r="AP3" i="3" s="1"/>
  <c r="N3" i="3"/>
  <c r="M3" i="3"/>
  <c r="L3" i="3"/>
  <c r="F3" i="3"/>
  <c r="M25" i="1"/>
  <c r="M12" i="1" l="1"/>
  <c r="K3" i="3"/>
  <c r="J3" i="3"/>
  <c r="H3" i="3"/>
  <c r="G75" i="3"/>
  <c r="H58" i="3"/>
  <c r="J58" i="3"/>
  <c r="G53" i="3"/>
  <c r="G61" i="3"/>
  <c r="G57" i="3"/>
  <c r="H61" i="3"/>
  <c r="K66" i="3"/>
  <c r="H67" i="3"/>
  <c r="H115" i="3"/>
  <c r="J115" i="3"/>
  <c r="H100" i="3"/>
  <c r="K100" i="3"/>
  <c r="J100" i="3"/>
  <c r="G100" i="3"/>
  <c r="J104" i="3"/>
  <c r="H104" i="3"/>
  <c r="G104" i="3"/>
  <c r="K104" i="3"/>
  <c r="K108" i="3"/>
  <c r="J108" i="3"/>
  <c r="H108" i="3"/>
  <c r="G108" i="3"/>
  <c r="H116" i="3"/>
  <c r="J116" i="3"/>
  <c r="K58" i="3"/>
  <c r="H57" i="3"/>
  <c r="H86" i="3"/>
  <c r="H5" i="3"/>
  <c r="K57" i="3"/>
  <c r="G58" i="3"/>
  <c r="G65" i="3"/>
  <c r="G66" i="3"/>
  <c r="G112" i="3"/>
  <c r="K112" i="3"/>
  <c r="J112" i="3"/>
  <c r="H112" i="3"/>
  <c r="G96" i="3"/>
  <c r="K96" i="3"/>
  <c r="J96" i="3"/>
  <c r="H96" i="3"/>
  <c r="G54" i="3"/>
  <c r="J54" i="3"/>
  <c r="H54" i="3"/>
  <c r="G71" i="3"/>
  <c r="H53" i="3"/>
  <c r="K115" i="3"/>
  <c r="K116" i="3"/>
  <c r="G45" i="3"/>
  <c r="K65" i="3"/>
  <c r="H66" i="3"/>
  <c r="K67" i="3"/>
  <c r="H79" i="3"/>
  <c r="H80" i="3"/>
  <c r="H81" i="3"/>
  <c r="H82" i="3"/>
  <c r="H83" i="3"/>
  <c r="H84" i="3"/>
  <c r="H85" i="3"/>
  <c r="G115" i="3"/>
  <c r="G116" i="3"/>
  <c r="G67" i="3"/>
  <c r="G3" i="3"/>
  <c r="J29" i="3"/>
  <c r="H29" i="3"/>
  <c r="J37" i="3"/>
  <c r="H37" i="3"/>
  <c r="J41" i="3"/>
  <c r="H41" i="3"/>
  <c r="J49" i="3"/>
  <c r="H49" i="3"/>
  <c r="K10" i="3"/>
  <c r="H10" i="3"/>
  <c r="G10" i="3"/>
  <c r="H14" i="3"/>
  <c r="K14" i="3"/>
  <c r="G14" i="3"/>
  <c r="H15" i="3"/>
  <c r="K15" i="3"/>
  <c r="G15" i="3"/>
  <c r="J15" i="3"/>
  <c r="H19" i="3"/>
  <c r="K19" i="3"/>
  <c r="G19" i="3"/>
  <c r="J19" i="3"/>
  <c r="K26" i="3"/>
  <c r="H26" i="3"/>
  <c r="G26" i="3"/>
  <c r="H27" i="3"/>
  <c r="J27" i="3"/>
  <c r="K27" i="3"/>
  <c r="G27" i="3"/>
  <c r="G30" i="3"/>
  <c r="H30" i="3"/>
  <c r="K30" i="3"/>
  <c r="K20" i="3"/>
  <c r="G20" i="3"/>
  <c r="J20" i="3"/>
  <c r="K28" i="3"/>
  <c r="G28" i="3"/>
  <c r="J28" i="3"/>
  <c r="K32" i="3"/>
  <c r="G32" i="3"/>
  <c r="J32" i="3"/>
  <c r="K36" i="3"/>
  <c r="G36" i="3"/>
  <c r="J36" i="3"/>
  <c r="K40" i="3"/>
  <c r="G40" i="3"/>
  <c r="J40" i="3"/>
  <c r="K41" i="3"/>
  <c r="K49" i="3"/>
  <c r="H109" i="3"/>
  <c r="K109" i="3"/>
  <c r="G109" i="3"/>
  <c r="J109" i="3"/>
  <c r="H110" i="3"/>
  <c r="K110" i="3"/>
  <c r="G110" i="3"/>
  <c r="J110" i="3"/>
  <c r="J9" i="3"/>
  <c r="H9" i="3"/>
  <c r="J13" i="3"/>
  <c r="H13" i="3"/>
  <c r="J17" i="3"/>
  <c r="H17" i="3"/>
  <c r="J21" i="3"/>
  <c r="H21" i="3"/>
  <c r="J25" i="3"/>
  <c r="H25" i="3"/>
  <c r="J33" i="3"/>
  <c r="H33" i="3"/>
  <c r="J45" i="3"/>
  <c r="H45" i="3"/>
  <c r="K74" i="3"/>
  <c r="G74" i="3"/>
  <c r="J74" i="3"/>
  <c r="H74" i="3"/>
  <c r="K4" i="3"/>
  <c r="G4" i="3"/>
  <c r="J4" i="3"/>
  <c r="H6" i="3"/>
  <c r="K6" i="3"/>
  <c r="G6" i="3"/>
  <c r="H7" i="3"/>
  <c r="K7" i="3"/>
  <c r="G7" i="3"/>
  <c r="J7" i="3"/>
  <c r="H11" i="3"/>
  <c r="K11" i="3"/>
  <c r="J11" i="3"/>
  <c r="G11" i="3"/>
  <c r="K18" i="3"/>
  <c r="G18" i="3"/>
  <c r="H18" i="3"/>
  <c r="K22" i="3"/>
  <c r="H22" i="3"/>
  <c r="G22" i="3"/>
  <c r="H23" i="3"/>
  <c r="J23" i="3"/>
  <c r="K23" i="3"/>
  <c r="G23" i="3"/>
  <c r="H31" i="3"/>
  <c r="J31" i="3"/>
  <c r="K31" i="3"/>
  <c r="G31" i="3"/>
  <c r="K34" i="3"/>
  <c r="H34" i="3"/>
  <c r="G34" i="3"/>
  <c r="H35" i="3"/>
  <c r="J35" i="3"/>
  <c r="K35" i="3"/>
  <c r="G35" i="3"/>
  <c r="K38" i="3"/>
  <c r="H38" i="3"/>
  <c r="G38" i="3"/>
  <c r="H39" i="3"/>
  <c r="J39" i="3"/>
  <c r="K39" i="3"/>
  <c r="G39" i="3"/>
  <c r="K42" i="3"/>
  <c r="G42" i="3"/>
  <c r="H42" i="3"/>
  <c r="H43" i="3"/>
  <c r="J43" i="3"/>
  <c r="K43" i="3"/>
  <c r="G43" i="3"/>
  <c r="K46" i="3"/>
  <c r="H46" i="3"/>
  <c r="G46" i="3"/>
  <c r="H47" i="3"/>
  <c r="J47" i="3"/>
  <c r="K47" i="3"/>
  <c r="G47" i="3"/>
  <c r="G50" i="3"/>
  <c r="H50" i="3"/>
  <c r="K50" i="3"/>
  <c r="H51" i="3"/>
  <c r="J51" i="3"/>
  <c r="K51" i="3"/>
  <c r="G51" i="3"/>
  <c r="H62" i="3"/>
  <c r="G62" i="3"/>
  <c r="K62" i="3"/>
  <c r="H63" i="3"/>
  <c r="K63" i="3"/>
  <c r="G63" i="3"/>
  <c r="J63" i="3"/>
  <c r="K70" i="3"/>
  <c r="G70" i="3"/>
  <c r="J70" i="3"/>
  <c r="H70" i="3"/>
  <c r="H101" i="3"/>
  <c r="K101" i="3"/>
  <c r="G101" i="3"/>
  <c r="J101" i="3"/>
  <c r="H102" i="3"/>
  <c r="K102" i="3"/>
  <c r="G102" i="3"/>
  <c r="J102" i="3"/>
  <c r="H4" i="3"/>
  <c r="K5" i="3"/>
  <c r="J6" i="3"/>
  <c r="K8" i="3"/>
  <c r="G8" i="3"/>
  <c r="J8" i="3"/>
  <c r="K9" i="3"/>
  <c r="J10" i="3"/>
  <c r="K12" i="3"/>
  <c r="G12" i="3"/>
  <c r="J12" i="3"/>
  <c r="K13" i="3"/>
  <c r="J14" i="3"/>
  <c r="K16" i="3"/>
  <c r="G16" i="3"/>
  <c r="J16" i="3"/>
  <c r="K17" i="3"/>
  <c r="J18" i="3"/>
  <c r="K21" i="3"/>
  <c r="J22" i="3"/>
  <c r="K24" i="3"/>
  <c r="G24" i="3"/>
  <c r="J24" i="3"/>
  <c r="K25" i="3"/>
  <c r="J26" i="3"/>
  <c r="K29" i="3"/>
  <c r="J30" i="3"/>
  <c r="K33" i="3"/>
  <c r="J34" i="3"/>
  <c r="K37" i="3"/>
  <c r="J38" i="3"/>
  <c r="K44" i="3"/>
  <c r="G44" i="3"/>
  <c r="J44" i="3"/>
  <c r="K48" i="3"/>
  <c r="G48" i="3"/>
  <c r="J48" i="3"/>
  <c r="K52" i="3"/>
  <c r="G52" i="3"/>
  <c r="J52" i="3"/>
  <c r="H55" i="3"/>
  <c r="G55" i="3"/>
  <c r="J55" i="3"/>
  <c r="K55" i="3"/>
  <c r="H59" i="3"/>
  <c r="K59" i="3"/>
  <c r="G59" i="3"/>
  <c r="J59" i="3"/>
  <c r="G5" i="3"/>
  <c r="H8" i="3"/>
  <c r="H12" i="3"/>
  <c r="H16" i="3"/>
  <c r="H20" i="3"/>
  <c r="H24" i="3"/>
  <c r="H28" i="3"/>
  <c r="H32" i="3"/>
  <c r="H36" i="3"/>
  <c r="H40" i="3"/>
  <c r="H44" i="3"/>
  <c r="H48" i="3"/>
  <c r="H52" i="3"/>
  <c r="K56" i="3"/>
  <c r="G56" i="3"/>
  <c r="H56" i="3"/>
  <c r="J56" i="3"/>
  <c r="J88" i="3"/>
  <c r="H88" i="3"/>
  <c r="H97" i="3"/>
  <c r="K97" i="3"/>
  <c r="G97" i="3"/>
  <c r="K54" i="3"/>
  <c r="K60" i="3"/>
  <c r="G60" i="3"/>
  <c r="J60" i="3"/>
  <c r="H65" i="3"/>
  <c r="J71" i="3"/>
  <c r="H71" i="3"/>
  <c r="J75" i="3"/>
  <c r="H75" i="3"/>
  <c r="H78" i="3"/>
  <c r="K78" i="3"/>
  <c r="G78" i="3"/>
  <c r="J78" i="3"/>
  <c r="H89" i="3"/>
  <c r="K89" i="3"/>
  <c r="G89" i="3"/>
  <c r="H90" i="3"/>
  <c r="K90" i="3"/>
  <c r="G90" i="3"/>
  <c r="J90" i="3"/>
  <c r="H93" i="3"/>
  <c r="K93" i="3"/>
  <c r="G93" i="3"/>
  <c r="H94" i="3"/>
  <c r="K94" i="3"/>
  <c r="G94" i="3"/>
  <c r="J94" i="3"/>
  <c r="J97" i="3"/>
  <c r="K99" i="3"/>
  <c r="G99" i="3"/>
  <c r="J99" i="3"/>
  <c r="H105" i="3"/>
  <c r="K105" i="3"/>
  <c r="G105" i="3"/>
  <c r="H106" i="3"/>
  <c r="K106" i="3"/>
  <c r="G106" i="3"/>
  <c r="J106" i="3"/>
  <c r="H113" i="3"/>
  <c r="K113" i="3"/>
  <c r="G113" i="3"/>
  <c r="H114" i="3"/>
  <c r="K114" i="3"/>
  <c r="G114" i="3"/>
  <c r="J114" i="3"/>
  <c r="J92" i="3"/>
  <c r="H92" i="3"/>
  <c r="H98" i="3"/>
  <c r="K98" i="3"/>
  <c r="G98" i="3"/>
  <c r="J98" i="3"/>
  <c r="K103" i="3"/>
  <c r="G103" i="3"/>
  <c r="J103" i="3"/>
  <c r="K111" i="3"/>
  <c r="G111" i="3"/>
  <c r="J111" i="3"/>
  <c r="K53" i="3"/>
  <c r="H60" i="3"/>
  <c r="K61" i="3"/>
  <c r="K64" i="3"/>
  <c r="G64" i="3"/>
  <c r="J64" i="3"/>
  <c r="H68" i="3"/>
  <c r="K68" i="3"/>
  <c r="G68" i="3"/>
  <c r="H69" i="3"/>
  <c r="K69" i="3"/>
  <c r="G69" i="3"/>
  <c r="J69" i="3"/>
  <c r="H72" i="3"/>
  <c r="K72" i="3"/>
  <c r="G72" i="3"/>
  <c r="H73" i="3"/>
  <c r="K73" i="3"/>
  <c r="G73" i="3"/>
  <c r="J73" i="3"/>
  <c r="H76" i="3"/>
  <c r="K76" i="3"/>
  <c r="G76" i="3"/>
  <c r="H77" i="3"/>
  <c r="K77" i="3"/>
  <c r="G77" i="3"/>
  <c r="J77" i="3"/>
  <c r="K87" i="3"/>
  <c r="G87" i="3"/>
  <c r="J87" i="3"/>
  <c r="K88" i="3"/>
  <c r="J89" i="3"/>
  <c r="K91" i="3"/>
  <c r="G91" i="3"/>
  <c r="J91" i="3"/>
  <c r="K92" i="3"/>
  <c r="J93" i="3"/>
  <c r="K95" i="3"/>
  <c r="G95" i="3"/>
  <c r="J95" i="3"/>
  <c r="H99" i="3"/>
  <c r="J105" i="3"/>
  <c r="K107" i="3"/>
  <c r="G107" i="3"/>
  <c r="J107" i="3"/>
  <c r="J113" i="3"/>
  <c r="J79" i="3"/>
  <c r="J80" i="3"/>
  <c r="J81" i="3"/>
  <c r="J82" i="3"/>
  <c r="J83" i="3"/>
  <c r="J84" i="3"/>
  <c r="J85" i="3"/>
  <c r="J86" i="3"/>
  <c r="G79" i="3"/>
  <c r="G80" i="3"/>
  <c r="G81" i="3"/>
  <c r="G82" i="3"/>
  <c r="G83" i="3"/>
  <c r="G84" i="3"/>
  <c r="G85" i="3"/>
  <c r="G86" i="3"/>
  <c r="AD104" i="2"/>
  <c r="M14" i="1" l="1"/>
  <c r="M21" i="1" s="1"/>
  <c r="M26" i="1" s="1"/>
  <c r="B27" i="1" s="1"/>
</calcChain>
</file>

<file path=xl/sharedStrings.xml><?xml version="1.0" encoding="utf-8"?>
<sst xmlns="http://schemas.openxmlformats.org/spreadsheetml/2006/main" count="2090" uniqueCount="788">
  <si>
    <t>PROFORMA INVOICE</t>
  </si>
  <si>
    <t>Name :</t>
  </si>
  <si>
    <t>Date :</t>
  </si>
  <si>
    <t>Address :</t>
  </si>
  <si>
    <t>Model :</t>
  </si>
  <si>
    <t>Variant :</t>
  </si>
  <si>
    <t>Color :</t>
  </si>
  <si>
    <t>D E S C R I P T I O N</t>
  </si>
  <si>
    <t>Ex-showroom Price</t>
  </si>
  <si>
    <t>TCS @ 1%</t>
  </si>
  <si>
    <t>Essential Pack</t>
  </si>
  <si>
    <t>4th-5th Yr/100K</t>
  </si>
  <si>
    <t>Anti Rust &amp; Teflon Coatings</t>
  </si>
  <si>
    <t>Accessories</t>
  </si>
  <si>
    <t>Scheme</t>
  </si>
  <si>
    <t>Corporate Discount</t>
  </si>
  <si>
    <t>Not Applicable</t>
  </si>
  <si>
    <t>Exchange Bonus</t>
  </si>
  <si>
    <t>Terms &amp; Conditions:</t>
  </si>
  <si>
    <t xml:space="preserve">SC Name : </t>
  </si>
  <si>
    <t>3.Delivery Schedule and Availability of Models/Colours is as per the Policy of HMIL.</t>
  </si>
  <si>
    <t>5.The Registration of the vehicle and issuance of Registration Certificate is at the sole discretion of the respective Transport Authority.</t>
  </si>
  <si>
    <t>6.HMIL reserves the right to change the order acceptance procedure, equipment specification &amp; discontinue models without prior notice.</t>
  </si>
  <si>
    <t>7.Price Prevailing at the time of delivery are applicable irrespective of when the initial payment is made.</t>
  </si>
  <si>
    <t/>
  </si>
  <si>
    <t>ROYAL DREAM HYUNDAI</t>
  </si>
  <si>
    <t>ON ROAD</t>
  </si>
  <si>
    <t>TOTAL DISCOUNT</t>
  </si>
  <si>
    <t>TOTAL ON ROAD PRICE</t>
  </si>
  <si>
    <t>1. Payment will be given for Order Acceptance Price By Pay Order/DD, payable at Delhi, favoring "ASHVAR CARS INDIA PRIVATE LIMITED".</t>
  </si>
  <si>
    <t>4.No Receipt is valid unless obtained on the Offical Receipt of Royal Dream Hyundai, Payment to be deposited at cash counter only.</t>
  </si>
  <si>
    <t>Shield of Trust</t>
  </si>
  <si>
    <t>SOT 5Yr/60K</t>
  </si>
  <si>
    <t>Fast Tag</t>
  </si>
  <si>
    <t>HP :</t>
  </si>
  <si>
    <t>Insurance</t>
  </si>
  <si>
    <t>Insurance (ZD CM EP)</t>
  </si>
  <si>
    <t>Insurance (ZD) after OD Discount</t>
  </si>
  <si>
    <t>Insurance (ZD CM) after OD Discount</t>
  </si>
  <si>
    <t>Insurance (EP ZD CM) after OD Discount</t>
  </si>
  <si>
    <t>Insurance (RTI EP ZD CM) after OD Discount</t>
  </si>
  <si>
    <t>Self Insurance</t>
  </si>
  <si>
    <t>DELHI REGISTRATION</t>
  </si>
  <si>
    <t>HP</t>
  </si>
  <si>
    <t>Regn Fees</t>
  </si>
  <si>
    <t>Smart Card</t>
  </si>
  <si>
    <t>Parking</t>
  </si>
  <si>
    <t>Postage</t>
  </si>
  <si>
    <t>Fastag</t>
  </si>
  <si>
    <t>HSRP Frame</t>
  </si>
  <si>
    <t>Temp Regn</t>
  </si>
  <si>
    <t>Handling</t>
  </si>
  <si>
    <t>UP REGISTRATION</t>
  </si>
  <si>
    <t>HARYANA REGISTRATION</t>
  </si>
  <si>
    <t>Reg Fees</t>
  </si>
  <si>
    <t>Service/User Charge</t>
  </si>
  <si>
    <t>NIOS</t>
  </si>
  <si>
    <t>New i20</t>
  </si>
  <si>
    <t>AURA</t>
  </si>
  <si>
    <t>VERNA</t>
  </si>
  <si>
    <t>VENUE</t>
  </si>
  <si>
    <t>CRETA</t>
  </si>
  <si>
    <t>ALCAZAR</t>
  </si>
  <si>
    <t>KONA</t>
  </si>
  <si>
    <t>i20 Nline</t>
  </si>
  <si>
    <t>Venue</t>
  </si>
  <si>
    <t>Venue Nline</t>
  </si>
  <si>
    <t>Verna</t>
  </si>
  <si>
    <t>Creta</t>
  </si>
  <si>
    <t>Alcazar</t>
  </si>
  <si>
    <t>Tucson</t>
  </si>
  <si>
    <t>Kona</t>
  </si>
  <si>
    <t>REGISTRATION</t>
  </si>
  <si>
    <t>Registration (UP)</t>
  </si>
  <si>
    <t>Registration (Individual Delhi)</t>
  </si>
  <si>
    <t>Registration (Company Delhi)</t>
  </si>
  <si>
    <t>Registration (Haryana)</t>
  </si>
  <si>
    <t>Registration (BH Series UP)</t>
  </si>
  <si>
    <t>Registration (BH Series Delhi)</t>
  </si>
  <si>
    <t>Registration (BH Series Haryana)</t>
  </si>
  <si>
    <t>Self Registration</t>
  </si>
  <si>
    <t>Essential Pack : Designer Mats, Boot Mat, Door Visors, Mud Flaps, Door Scuff Plates, Rear Boot Garnish, Body Cover, Side Beeding, Swatch Can, Tissue Box, Divinity, Perfume</t>
  </si>
  <si>
    <t>Essential Pack : Designer Mats, Mud Flaps, Boot Mats, Door Visors, Door Scuff Plates, Side Beedings, Divinity, Tissue Box, Car Seat Back Organiser, Perfume, Swachh Can, Neck Rests</t>
  </si>
  <si>
    <t>Essential Pack : Designer Mats, Mud Flaps, Boot Mats, Door Scuff Plates, Door Visors, Side Beedings, Divinity, Tissue Box, Car Seat Back Organiser, Perfume, Swachh Can, Neck Rests</t>
  </si>
  <si>
    <t>Essential Pack : Mats, Mud Flaps, Door Visors, Side Beedings, ORVM Chrome, Tissue Box, Mobile Charger, Perfume, Divinity</t>
  </si>
  <si>
    <t>Essential Pack : 3D Mats, Door Visors, Side Beedings, ORVM Chrome, Fog Lamp Chrome, Door Scuff Plates, Perfume, Neck Rests, Tissue Box, Divinity, Boot Mat, Rear Boot Garnish</t>
  </si>
  <si>
    <t>Essential Pack : 3D Mats, Boot Mat, Mud Flaps, Door Visors, Body Cover, Anti Skid Dashboard Mat, Micro Fiber, Tissue Box, Swachh Can, Cushion Pillows, Neck Rests, Perfume, Divinity, Mobile Charger, Door Edge Guards</t>
  </si>
  <si>
    <t>Essential Pack : 3D Mats, Boot Mat, Door Visors, Head Lamp Chrome, Tail Lamp Chrome, Side Beedings, Cushion Pillows, Perfume</t>
  </si>
  <si>
    <t>Essential Pack : Premium Carpet Mats, Boot Mats, Perfume, Divinity, Body Cover</t>
  </si>
  <si>
    <t>Essential Pack : Premium Carpet Mats, Body Cover, Perfume, Divinity</t>
  </si>
  <si>
    <t>Aura</t>
  </si>
  <si>
    <t>VENUE Nline</t>
  </si>
  <si>
    <t>NIOS 1.2 Era</t>
  </si>
  <si>
    <t>i20 1.2 Magna</t>
  </si>
  <si>
    <t>AURA 1.2 E</t>
  </si>
  <si>
    <t>VENUE 1.0 Turbo iMT S O</t>
  </si>
  <si>
    <t>CRETA 1.5 MPI MT E</t>
  </si>
  <si>
    <t>Alcazar 1.5 CRDi MT Prestige 7S</t>
  </si>
  <si>
    <t>NIOS 1.2 Magna</t>
  </si>
  <si>
    <t>i20 1.2 Sportz</t>
  </si>
  <si>
    <t>AURA 1.2 S</t>
  </si>
  <si>
    <t>VENUE 1.0 Turbo iMT SX O</t>
  </si>
  <si>
    <t>CRETA 1.5 MPI MT EX</t>
  </si>
  <si>
    <t>Alcazar 1.5 CRDi AT Prestige O 7S</t>
  </si>
  <si>
    <t>NIOS 1.2 Magna AMT</t>
  </si>
  <si>
    <t>i20 1.2 Sportz DT</t>
  </si>
  <si>
    <t>AURA 1.2 S CNG</t>
  </si>
  <si>
    <t>CRETA 1.5 MPI MT S</t>
  </si>
  <si>
    <t>Alcazar 1.5 CRDi MT Platinum 7S</t>
  </si>
  <si>
    <t>NIOS 1.2 Magna CNG</t>
  </si>
  <si>
    <t>i20 1.2 Sportz iVT</t>
  </si>
  <si>
    <t>AURA 1.2 SX</t>
  </si>
  <si>
    <t>VENUE 1.0 Turbo DCT S O</t>
  </si>
  <si>
    <t>Alcazar 1.5 CRDi AT Platinum O 6S</t>
  </si>
  <si>
    <t>NIOS 1.2 Sportz</t>
  </si>
  <si>
    <t>i20 1.2 Asta</t>
  </si>
  <si>
    <t>VENUE 1.0 Turbo DCT SX O</t>
  </si>
  <si>
    <t>CRETA 1.5 MPI MT SX Executive</t>
  </si>
  <si>
    <t>i20 1.2 Asta O</t>
  </si>
  <si>
    <t>AURA 1.2 SX O</t>
  </si>
  <si>
    <t>Alcazar 1.5 CRDi MT Signature 6S</t>
  </si>
  <si>
    <t>NIOS 1.2 Sportz AMT</t>
  </si>
  <si>
    <t>i20 1.2 Asta O DT</t>
  </si>
  <si>
    <t>AURA 1.2 SX Plus AMT</t>
  </si>
  <si>
    <t>VENUE 1.2 Kappa MT E</t>
  </si>
  <si>
    <t>CRETA 1.5 MPI IVT SX</t>
  </si>
  <si>
    <t>NIOS 1.2 Sportz DT</t>
  </si>
  <si>
    <t>NIOS 1.2 Asta AMT</t>
  </si>
  <si>
    <t>VENUE 1.2 Kappa MT S</t>
  </si>
  <si>
    <t>CRETA 1.5 MPI IVT SX O</t>
  </si>
  <si>
    <t>Alcazar 1.5 CRDi AT Signature O 6S</t>
  </si>
  <si>
    <t>NIOS 1.2 Sportz CNG</t>
  </si>
  <si>
    <t>VENUE 1.2 Kappa MT S O</t>
  </si>
  <si>
    <t>VENUE 1.2 Kappa MT SX</t>
  </si>
  <si>
    <t>CRETA 1.5 CRDi MT E</t>
  </si>
  <si>
    <t>NIOS 1.2 Asta</t>
  </si>
  <si>
    <t>i20 1.0 Turbo Asta O DCT</t>
  </si>
  <si>
    <t>CRETA 1.5 CRDi MT EX</t>
  </si>
  <si>
    <t>VENUE 1.5 CRDi MT S Plus</t>
  </si>
  <si>
    <t>CRETA 1.5 CRDi MT S</t>
  </si>
  <si>
    <t>VENUE 1.5 CRDi MT SX</t>
  </si>
  <si>
    <t>VENUE 1.5 CRDi MT SX O</t>
  </si>
  <si>
    <t>CRETA 1.5 CRDi MT SX</t>
  </si>
  <si>
    <t>CRETA 1.5 CRDi MT SX O</t>
  </si>
  <si>
    <t>CRETA 1.5 CRDi AT SX O</t>
  </si>
  <si>
    <t>CRETA 1.4 Turbo GDI DCT SX O</t>
  </si>
  <si>
    <t>EMP_NAMES</t>
  </si>
  <si>
    <t>CSD_Names</t>
  </si>
  <si>
    <t>Abdul Aleem 9650016222</t>
  </si>
  <si>
    <t>Akshay Shaval 9355931036</t>
  </si>
  <si>
    <t>Ahmad Rana 9650030310</t>
  </si>
  <si>
    <t>Aman Gulati 9355931047</t>
  </si>
  <si>
    <t>Ankur Sharma 9599186500</t>
  </si>
  <si>
    <t>Aman Gulati 9355931066</t>
  </si>
  <si>
    <t>Javed 7669910533</t>
  </si>
  <si>
    <t>Ankit Jakhar 9355931042</t>
  </si>
  <si>
    <t>Sudhir Balyan 9958994290</t>
  </si>
  <si>
    <t>Ankit Kasana 9355931041</t>
  </si>
  <si>
    <t>Vinay Sharma 7838366999</t>
  </si>
  <si>
    <t>Deepak Chugh 9355931046</t>
  </si>
  <si>
    <t>Deepesh Bhardwaj 9355931057</t>
  </si>
  <si>
    <t>Gaurav Choudhary 9355931070</t>
  </si>
  <si>
    <t>Mahender Bisht 9355931061</t>
  </si>
  <si>
    <t>Nishant Tomar 9355931033</t>
  </si>
  <si>
    <t>Piyush Gulati 9355931035</t>
  </si>
  <si>
    <t>Prerna Nagpal 9355931032</t>
  </si>
  <si>
    <t>Sagar Vohra 9355931044</t>
  </si>
  <si>
    <t>Sanjeev Tomar 9355931067</t>
  </si>
  <si>
    <t>Sujay Sundram 9355931038</t>
  </si>
  <si>
    <t>Sumit Bidhuri 9355931062</t>
  </si>
  <si>
    <t>Sumit Jangid 9355931028</t>
  </si>
  <si>
    <t>Model</t>
  </si>
  <si>
    <t>Slab</t>
  </si>
  <si>
    <t xml:space="preserve"> 4th &amp; 5th Yr 100K, 1st W-3yrs</t>
  </si>
  <si>
    <t xml:space="preserve"> 4th &amp; 5th Yr 120K, 1st W-3yrs</t>
  </si>
  <si>
    <t xml:space="preserve">4th &amp; 5th Yr 140K+18%, 1st W-3yrs </t>
  </si>
  <si>
    <t>5th Yr 100K+18%, 1st W-5yrs</t>
  </si>
  <si>
    <t>5th Yr 120K+18%, 1st W-5yrs</t>
  </si>
  <si>
    <t>5th Yr 140K+18%, 1st W-5yrs</t>
  </si>
  <si>
    <t>Eon</t>
  </si>
  <si>
    <t>Slab-1</t>
  </si>
  <si>
    <t>All New Santro/i10 (P) (M/T)</t>
  </si>
  <si>
    <t>All New Santro/i10 (P) -CNG</t>
  </si>
  <si>
    <t>All New Santro/i10 (P) (A/T)</t>
  </si>
  <si>
    <t>NIOS/Aura/Grand i10/Xcent (P) (M/T)</t>
  </si>
  <si>
    <t>NIOS/Aura/Grand i10/Xcent (P) (A/T)</t>
  </si>
  <si>
    <t>NIOS/Aura/Grand i10/Xcent (P) CNG</t>
  </si>
  <si>
    <t>NIOS/Aura/Grand i10/Xcent (D) (M/T)</t>
  </si>
  <si>
    <t>NIOS/Aura/Grand i10/Xcent (D) (A/T)</t>
  </si>
  <si>
    <t>Active / Elite  i20/All New i 20 (P)(M/T)</t>
  </si>
  <si>
    <t>Active / Elite  i20/All New i 20 (P)(A/T)</t>
  </si>
  <si>
    <t>Active / Elite i 20 / All New i 20  (D)(M/T)</t>
  </si>
  <si>
    <t>Venue (P) (M/T)</t>
  </si>
  <si>
    <t>Venue (P) (A/T)</t>
  </si>
  <si>
    <t>Venue (D) (M/T)</t>
  </si>
  <si>
    <t>New / Next Gen. /Spirited Verna (P)(M/T)</t>
  </si>
  <si>
    <t>New / Next Gen. /Spirited Verna (P)(A/T)</t>
  </si>
  <si>
    <t>New / Next Gen./ Spirited Verna (D)(M/T)</t>
  </si>
  <si>
    <t>CSD</t>
  </si>
  <si>
    <t>CSD MODELS</t>
  </si>
  <si>
    <t>New / Next Gen./ Spirited Verna (D)(A/T)</t>
  </si>
  <si>
    <t>TUCSON 2.0 PL 2WD AT GL O</t>
  </si>
  <si>
    <t>Alcazar 1.5 CRDi MT Prestige 6S</t>
  </si>
  <si>
    <t>All New Creta/Creta (P)(M/T)</t>
  </si>
  <si>
    <t>All New Creta/Creta (P)(A/T)</t>
  </si>
  <si>
    <t>All New Creta/Creta (D)(M/T)</t>
  </si>
  <si>
    <t>All New Creta/Creta (D)(A/T)</t>
  </si>
  <si>
    <t>All New Elantra (P)(M/T)</t>
  </si>
  <si>
    <t>All New Elantra (P)(A/T)</t>
  </si>
  <si>
    <t>All New Elantra (D)(M/T)</t>
  </si>
  <si>
    <t>All New Elantra (D)(A/T)</t>
  </si>
  <si>
    <t>Tucson (P)(M/T)</t>
  </si>
  <si>
    <t>Tucson (P)(A/T)</t>
  </si>
  <si>
    <t>Tucson (D)(M/T)</t>
  </si>
  <si>
    <t>Tucson (D)(A/T)</t>
  </si>
  <si>
    <t>SOT</t>
  </si>
  <si>
    <t>2Yr/40K</t>
  </si>
  <si>
    <t>3Yr/45K</t>
  </si>
  <si>
    <t>4Yr/45K</t>
  </si>
  <si>
    <t>4Yr/60K</t>
  </si>
  <si>
    <t>5Yr/60K</t>
  </si>
  <si>
    <t>SOT 2Yr/40K</t>
  </si>
  <si>
    <t>4th Yr/80K</t>
  </si>
  <si>
    <t>SOT 3Yr/45K</t>
  </si>
  <si>
    <t>4th Yr/100K</t>
  </si>
  <si>
    <t>SOT 4Yr/45K</t>
  </si>
  <si>
    <t>SOT 4Yr/60K</t>
  </si>
  <si>
    <t>4th-5th Yr/120K</t>
  </si>
  <si>
    <t>4th-5th Yr/140K</t>
  </si>
  <si>
    <t>Super SOT 2Yr/20K</t>
  </si>
  <si>
    <t>4th-5th-6th-7th Yr/100K</t>
  </si>
  <si>
    <t>Super SOT 3Yr/30K</t>
  </si>
  <si>
    <t>Super SOT 4Yr/40K</t>
  </si>
  <si>
    <t>Super SOT 5Yr/50K</t>
  </si>
  <si>
    <t>LOCATIONS</t>
  </si>
  <si>
    <t>Near Bhagat Farm, G T Road, DADRI</t>
  </si>
  <si>
    <t>C1 Sector 10 NOIDA Phone : 0120-0000001</t>
  </si>
  <si>
    <t>Botanical Garden, NOIDA</t>
  </si>
  <si>
    <t>Variant</t>
  </si>
  <si>
    <t xml:space="preserve">Ex Showroom </t>
  </si>
  <si>
    <t>TCS</t>
  </si>
  <si>
    <t xml:space="preserve">UP Comp. Insurance </t>
  </si>
  <si>
    <t>Delhi Ins</t>
  </si>
  <si>
    <t xml:space="preserve">0% Dep + Consumable + E.P. </t>
  </si>
  <si>
    <t>UP Ins after od discount</t>
  </si>
  <si>
    <t>Delhi Ins after od discount</t>
  </si>
  <si>
    <t>Only ZD</t>
  </si>
  <si>
    <t>CM+</t>
  </si>
  <si>
    <t>EP+</t>
  </si>
  <si>
    <t>RTI+</t>
  </si>
  <si>
    <t>UP Regn</t>
  </si>
  <si>
    <t>Delhi Regn</t>
  </si>
  <si>
    <t>Haryana Regn</t>
  </si>
  <si>
    <t>Company Case</t>
  </si>
  <si>
    <t>Essentio Pack</t>
  </si>
  <si>
    <t>EW 4th &amp; 5th Yr/100k Kms</t>
  </si>
  <si>
    <t>BH Series</t>
  </si>
  <si>
    <t>Antirust &amp; Teflon Coat</t>
  </si>
  <si>
    <t>FUEL</t>
  </si>
  <si>
    <t>Exc Bon</t>
  </si>
  <si>
    <t>Corp</t>
  </si>
  <si>
    <t>EW 4th &amp; 5th Yr/120k Kms</t>
  </si>
  <si>
    <t>EW 4th &amp; 5th Yr/140k Kms</t>
  </si>
  <si>
    <t>RSA 4th &amp; 5th Yr</t>
  </si>
  <si>
    <t>2Yr / 20K</t>
  </si>
  <si>
    <t>3Yr / 30K</t>
  </si>
  <si>
    <t>4Yr / 40K</t>
  </si>
  <si>
    <t>5Yr / 50K</t>
  </si>
  <si>
    <t>EW 4th-5th-6th-7th Yr/100k</t>
  </si>
  <si>
    <t>Passenger</t>
  </si>
  <si>
    <t>Third Party</t>
  </si>
  <si>
    <t>Owner</t>
  </si>
  <si>
    <t>Driver</t>
  </si>
  <si>
    <t>Passemger</t>
  </si>
  <si>
    <t>CNG TP</t>
  </si>
  <si>
    <t>Total</t>
  </si>
  <si>
    <t>Cubic Capacity</t>
  </si>
  <si>
    <t>EW 4Yr/80K</t>
  </si>
  <si>
    <t>EW 4Yr/100K</t>
  </si>
  <si>
    <t>OD Discount</t>
  </si>
  <si>
    <t>Diesel</t>
  </si>
  <si>
    <t>1000 to 1499</t>
  </si>
  <si>
    <t>Petrol</t>
  </si>
  <si>
    <t>Above 1499</t>
  </si>
  <si>
    <t>Petrol/CNG</t>
  </si>
  <si>
    <t>Under 1000</t>
  </si>
  <si>
    <t>1001 to 1499</t>
  </si>
  <si>
    <t>1002 to 1499</t>
  </si>
  <si>
    <t>Above 1500</t>
  </si>
  <si>
    <t>EXTER</t>
  </si>
  <si>
    <t>EX</t>
  </si>
  <si>
    <t>EX (O)</t>
  </si>
  <si>
    <t>S</t>
  </si>
  <si>
    <t>SX</t>
  </si>
  <si>
    <t>SX DT</t>
  </si>
  <si>
    <t>S AMT</t>
  </si>
  <si>
    <t>SX AMT</t>
  </si>
  <si>
    <t>SX AMT DT</t>
  </si>
  <si>
    <t>S CNG</t>
  </si>
  <si>
    <t>SX CNG</t>
  </si>
  <si>
    <t>1.5 MPi MT EX</t>
  </si>
  <si>
    <t>1.5 MPi MT S</t>
  </si>
  <si>
    <t>1.5 MPi MT SX</t>
  </si>
  <si>
    <t>1.5 MPi iVT SX</t>
  </si>
  <si>
    <t>1.5 Turbo GDi MT SX</t>
  </si>
  <si>
    <t>1.5 Turbo GDi MT SX DT</t>
  </si>
  <si>
    <t>1.5 Turbo GDi DCT SX</t>
  </si>
  <si>
    <t>1.5 Turbo GDi DCT SX DT</t>
  </si>
  <si>
    <t>E</t>
  </si>
  <si>
    <t>1.2 E MT</t>
  </si>
  <si>
    <t>1.2 S MT</t>
  </si>
  <si>
    <t>1.2 SX MT</t>
  </si>
  <si>
    <t>1.2 SX DT MT</t>
  </si>
  <si>
    <t>1.2 SX Knight MT</t>
  </si>
  <si>
    <t>1.2 SX DT Knight MT</t>
  </si>
  <si>
    <t>1.5 SX DSL</t>
  </si>
  <si>
    <t>1.5 SX DT DSL</t>
  </si>
  <si>
    <t>Creta N Line N8 1.5 Turbo MT</t>
  </si>
  <si>
    <t>Creta N Line N8 1.5 Turbo MT DT</t>
  </si>
  <si>
    <t>Creta N Line N8 1.5 Turbo DCT</t>
  </si>
  <si>
    <t>Creta N Line N8 1.5 Turbo DCT DT</t>
  </si>
  <si>
    <t>Creta N Line N10 1.5 Turbo MT</t>
  </si>
  <si>
    <t>Creta N Line N10 1.5 Turbo MT DT</t>
  </si>
  <si>
    <t>Creta N Line N10 1.5 Turbo DCT</t>
  </si>
  <si>
    <t>Creta N Line N10 1.5 Turbo DCT DT</t>
  </si>
  <si>
    <t>Creta N Line</t>
  </si>
  <si>
    <t>1.5 MPi MT E</t>
  </si>
  <si>
    <t>1.5 MPi MT SX DT</t>
  </si>
  <si>
    <t>1.5 MPi MT SX Tech</t>
  </si>
  <si>
    <t>1.5 MPi MT SX Tech DT</t>
  </si>
  <si>
    <t>1.5 MPi IVT SX Tech</t>
  </si>
  <si>
    <t>1.5 MPi IVT SX Tech DT</t>
  </si>
  <si>
    <t>1.5 CRDi MT E</t>
  </si>
  <si>
    <t>1.5 CRDi MT EX</t>
  </si>
  <si>
    <t>1.5 CRDi MT S</t>
  </si>
  <si>
    <t>1.5 CRDi MT SX Tech</t>
  </si>
  <si>
    <t>1.5 CRDi MT SX Tech DT</t>
  </si>
  <si>
    <t>N6 MT</t>
  </si>
  <si>
    <t>N8 MT</t>
  </si>
  <si>
    <t>N6 DCT</t>
  </si>
  <si>
    <t>N8 DCT</t>
  </si>
  <si>
    <t>Era MT</t>
  </si>
  <si>
    <t>Magna MT</t>
  </si>
  <si>
    <t>Sportz MT</t>
  </si>
  <si>
    <t>Asta MT</t>
  </si>
  <si>
    <t>Sportz iVT</t>
  </si>
  <si>
    <t>Era</t>
  </si>
  <si>
    <t>Magna</t>
  </si>
  <si>
    <t>Sportz</t>
  </si>
  <si>
    <t>Sportz DT</t>
  </si>
  <si>
    <t>Asta</t>
  </si>
  <si>
    <t>Magna AMT</t>
  </si>
  <si>
    <t>Sportz AMT</t>
  </si>
  <si>
    <t>Asta AMT</t>
  </si>
  <si>
    <t>Magna CNG</t>
  </si>
  <si>
    <t>Sportz CNG</t>
  </si>
  <si>
    <t>Corporate Petrol</t>
  </si>
  <si>
    <t>AMT Corporate Petrol</t>
  </si>
  <si>
    <t>1.0 Turbo MPi MT Executive</t>
  </si>
  <si>
    <t>1.0 T N6 MT</t>
  </si>
  <si>
    <t>1.0 T N6 DT MT</t>
  </si>
  <si>
    <t>1.0 T N8 MT</t>
  </si>
  <si>
    <t>1.0 T N8 DT MT</t>
  </si>
  <si>
    <t>1.0 T N6 DCT</t>
  </si>
  <si>
    <t>1.0 T N6 DT DCT</t>
  </si>
  <si>
    <t>1.0 T N8 DCT</t>
  </si>
  <si>
    <t>1.0 T N8 DT DCT</t>
  </si>
  <si>
    <t>i20 N line</t>
  </si>
  <si>
    <t>Venue N Line</t>
  </si>
  <si>
    <t>Alcazar -Petrol</t>
  </si>
  <si>
    <t>Alcazar - Diesel</t>
  </si>
  <si>
    <t>Bhagat Chauhan 7042493304</t>
  </si>
  <si>
    <t>Girish 7042493306</t>
  </si>
  <si>
    <t>Jyotsana 7042493311</t>
  </si>
  <si>
    <t>Minku 7042493312</t>
  </si>
  <si>
    <t>Monu Kasana 7042493316</t>
  </si>
  <si>
    <t>Aleem (Israr Ali Khan) 7042493318</t>
  </si>
  <si>
    <t>Ilma 7042493319</t>
  </si>
  <si>
    <t>Sony Kumari 7042493320</t>
  </si>
  <si>
    <t>Vinay Kumar 7042493321</t>
  </si>
  <si>
    <t xml:space="preserve"> 7042493322</t>
  </si>
  <si>
    <t>Sunil Yadav  7042493324</t>
  </si>
  <si>
    <t>Piyush  7042493325</t>
  </si>
  <si>
    <t>Basuki Nathan 7042493332</t>
  </si>
  <si>
    <t>Sunil Kumar  7042493334</t>
  </si>
  <si>
    <t>Deepak Khanna 7042493357</t>
  </si>
  <si>
    <t>Tarun Sudan 7042493360</t>
  </si>
  <si>
    <t>Heena 7042493364</t>
  </si>
  <si>
    <t>Varun Sharma 7042493365</t>
  </si>
  <si>
    <t>Akash Bhati 7042493372</t>
  </si>
  <si>
    <t>Vinay Mavi 7042493377</t>
  </si>
  <si>
    <t>Shivam 7042493394</t>
  </si>
  <si>
    <t>Punit Baswal 7042493396</t>
  </si>
  <si>
    <t>BG_NAMES</t>
  </si>
  <si>
    <t>NIOS Era</t>
  </si>
  <si>
    <t>NIOS Magna</t>
  </si>
  <si>
    <t>NIOS Sportz</t>
  </si>
  <si>
    <t>NIOS Sportz DT</t>
  </si>
  <si>
    <t>NIOS Asta</t>
  </si>
  <si>
    <t>NIOS Magna AMT</t>
  </si>
  <si>
    <t>NIOS Sportz AMT</t>
  </si>
  <si>
    <t>NIOS Asta AMT</t>
  </si>
  <si>
    <t>NIOS Magna CNG</t>
  </si>
  <si>
    <t>NIOS Sportz CNG</t>
  </si>
  <si>
    <t>NIOS Corporate Petrol</t>
  </si>
  <si>
    <t>NIOS AMT Corporate Petrol</t>
  </si>
  <si>
    <t>EXTER S</t>
  </si>
  <si>
    <t>EXTER SX</t>
  </si>
  <si>
    <t>EXTER SX DT</t>
  </si>
  <si>
    <t>EXTER S AMT</t>
  </si>
  <si>
    <t>EXTER SX AMT</t>
  </si>
  <si>
    <t>EXTER SX AMT DT</t>
  </si>
  <si>
    <t>EXTER S CNG</t>
  </si>
  <si>
    <t>EXTER SX CNG</t>
  </si>
  <si>
    <t>New i20 Era MT</t>
  </si>
  <si>
    <t>New i20 Magna MT</t>
  </si>
  <si>
    <t>New i20 Sportz MT</t>
  </si>
  <si>
    <t>New i20 Sportz MT  DT</t>
  </si>
  <si>
    <t>New i20 Asta MT</t>
  </si>
  <si>
    <t>New i20 Sportz iVT</t>
  </si>
  <si>
    <t>Aura E</t>
  </si>
  <si>
    <t>Aura S</t>
  </si>
  <si>
    <t>Aura SX</t>
  </si>
  <si>
    <t>Aura S CNG</t>
  </si>
  <si>
    <t>Aura SX CNG</t>
  </si>
  <si>
    <t>Verna 1.5 MPi MT EX</t>
  </si>
  <si>
    <t>Verna 1.5 MPi MT S</t>
  </si>
  <si>
    <t>Verna 1.5 MPi MT SX</t>
  </si>
  <si>
    <t>Verna 1.5 MPi iVT SX</t>
  </si>
  <si>
    <t>Verna 1.5 Turbo GDi MT SX</t>
  </si>
  <si>
    <t>Verna 1.5 Turbo GDi MT SX DT</t>
  </si>
  <si>
    <t>Verna 1.5 Turbo GDi DCT SX</t>
  </si>
  <si>
    <t>Verna 1.5 Turbo GDi DCT SX DT</t>
  </si>
  <si>
    <t>Venue 1.2 E MT</t>
  </si>
  <si>
    <t>Venue 1.2 S MT</t>
  </si>
  <si>
    <t>Venue 1.2 SX MT</t>
  </si>
  <si>
    <t>Venue 1.2 SX DT MT</t>
  </si>
  <si>
    <t>Venue 1.2 SX Knight MT</t>
  </si>
  <si>
    <t>Venue 1.2 SX DT Knight MT</t>
  </si>
  <si>
    <t>Venue 1.5 S+ DSL</t>
  </si>
  <si>
    <t>Venue 1.5 SX DSL</t>
  </si>
  <si>
    <t>Venue 1.5 SX DT DSL</t>
  </si>
  <si>
    <t>Venue 1.0 Turbo MPi MT Executive</t>
  </si>
  <si>
    <t>Creta 1.5 MPi MT E</t>
  </si>
  <si>
    <t>Creta 1.5 MPi MT EX</t>
  </si>
  <si>
    <t>Creta 1.5 MPi MT S</t>
  </si>
  <si>
    <t>Creta 1.5 MPi MT SX</t>
  </si>
  <si>
    <t>Creta 1.5 MPi MT SX DT</t>
  </si>
  <si>
    <t>Creta 1.5 MPi MT SX Tech</t>
  </si>
  <si>
    <t>Creta 1.5 MPi MT SX Tech DT</t>
  </si>
  <si>
    <t>Creta 1.5 MPi IVT SX Tech</t>
  </si>
  <si>
    <t>Creta 1.5 MPi IVT SX Tech DT</t>
  </si>
  <si>
    <t>Creta 1.5 CRDi MT E</t>
  </si>
  <si>
    <t>Creta 1.5 CRDi MT EX</t>
  </si>
  <si>
    <t>Creta 1.5 CRDi MT S</t>
  </si>
  <si>
    <t>Creta 1.5 CRDi MT SX Tech</t>
  </si>
  <si>
    <t>Creta 1.5 CRDi MT SX Tech DT</t>
  </si>
  <si>
    <t>i20 Nline N6 MT</t>
  </si>
  <si>
    <t>i20 Nline N6 MT  DT</t>
  </si>
  <si>
    <t>i20 Nline N8 MT</t>
  </si>
  <si>
    <t>i20 Nline N8 MT  DT</t>
  </si>
  <si>
    <t>i20 Nline N6 DCT</t>
  </si>
  <si>
    <t>i20 Nline N6 DCT DT</t>
  </si>
  <si>
    <t>i20 Nline N8 DCT</t>
  </si>
  <si>
    <t>i20 Nline N8 DCT  DT</t>
  </si>
  <si>
    <t>VENUE Nline 1.0 T N6 MT</t>
  </si>
  <si>
    <t>VENUE Nline 1.0 T N6 DT MT</t>
  </si>
  <si>
    <t>VENUE Nline 1.0 T N8 MT</t>
  </si>
  <si>
    <t>VENUE Nline 1.0 T N8 DT MT</t>
  </si>
  <si>
    <t>VENUE Nline 1.0 T N6 DCT</t>
  </si>
  <si>
    <t>VENUE Nline 1.0 T N6 DT DCT</t>
  </si>
  <si>
    <t>VENUE Nline 1.0 T N8 DCT</t>
  </si>
  <si>
    <t>VENUE Nline 1.0 T N8 DT DCT</t>
  </si>
  <si>
    <t>Models</t>
  </si>
  <si>
    <t>NIOSMagnac</t>
  </si>
  <si>
    <t>NIOSSportzc</t>
  </si>
  <si>
    <t>NIOSAstac</t>
  </si>
  <si>
    <t>NIOSMagnaAMTc</t>
  </si>
  <si>
    <t>NIOSSportzAMTc</t>
  </si>
  <si>
    <t>NIOSAstaAMTc</t>
  </si>
  <si>
    <t>NIOSMagnaCNGc</t>
  </si>
  <si>
    <t>NIOSSportzCNGc</t>
  </si>
  <si>
    <t>NIOSCorporatePetrolc</t>
  </si>
  <si>
    <t>NIOSAMTCorporatePetrolc</t>
  </si>
  <si>
    <t>Atlas white</t>
  </si>
  <si>
    <t xml:space="preserve">Atlas white with abyss black roof </t>
  </si>
  <si>
    <t>Titan grey</t>
  </si>
  <si>
    <t>Amazon grey</t>
  </si>
  <si>
    <t xml:space="preserve">Spark green with abyss black roof </t>
  </si>
  <si>
    <t>Typhoon silver</t>
  </si>
  <si>
    <t>Fiery red</t>
  </si>
  <si>
    <t>Spark green</t>
  </si>
  <si>
    <t>Teal blue</t>
  </si>
  <si>
    <t>EXTERSXDTc</t>
  </si>
  <si>
    <t>EXTERSXAMTDTc</t>
  </si>
  <si>
    <t>Atlas white with abyss black roof</t>
  </si>
  <si>
    <t>Cosmic blue</t>
  </si>
  <si>
    <t>Cosmic blue with abyss black roof</t>
  </si>
  <si>
    <t>fiery red</t>
  </si>
  <si>
    <t>Ranger khaki with abyss black roof</t>
  </si>
  <si>
    <t>Ranger khaki</t>
  </si>
  <si>
    <t>Starry night</t>
  </si>
  <si>
    <t>Fiery red with abyss black roof</t>
  </si>
  <si>
    <t xml:space="preserve">Typhoon silver </t>
  </si>
  <si>
    <t>Abyss black</t>
  </si>
  <si>
    <t>Fiery red with black roof</t>
  </si>
  <si>
    <t>Tellurian brown</t>
  </si>
  <si>
    <t>Fiery red + abyss black roof</t>
  </si>
  <si>
    <t>Denim blue</t>
  </si>
  <si>
    <t xml:space="preserve">Fiery red </t>
  </si>
  <si>
    <t xml:space="preserve">Starry night </t>
  </si>
  <si>
    <t>Shadow grey with abyss black roof</t>
  </si>
  <si>
    <t xml:space="preserve">Titan grey matte </t>
  </si>
  <si>
    <t>Thunder blue with abyss black roof</t>
  </si>
  <si>
    <t>Atlas white with Abyss black roof</t>
  </si>
  <si>
    <t>Fiery red with Abyss black roof</t>
  </si>
  <si>
    <t>Atlas white+ abyss black</t>
  </si>
  <si>
    <t>Ranger khaki + abyss black</t>
  </si>
  <si>
    <t>Titan grey + abyss black</t>
  </si>
  <si>
    <t>Thunder blue</t>
  </si>
  <si>
    <t>Shadow grey</t>
  </si>
  <si>
    <t>Shadow grey + abyss black roof</t>
  </si>
  <si>
    <t>Venue1.0TurboMPiMTExecutivec</t>
  </si>
  <si>
    <t>Creta1.5MPiIVTSXTechDTc</t>
  </si>
  <si>
    <t>Creta1.5CRDiMTSXTechDTc</t>
  </si>
  <si>
    <t>i20NlineN6MTc</t>
  </si>
  <si>
    <t>i20NlineN8MTc</t>
  </si>
  <si>
    <t>i20NlineN6DCTc</t>
  </si>
  <si>
    <t>i20NlineN8DCTc</t>
  </si>
  <si>
    <t>i20NlineN6MTDTc</t>
  </si>
  <si>
    <t>i20NlineN8MTDTc</t>
  </si>
  <si>
    <t>i20NlineN6DCTDTc</t>
  </si>
  <si>
    <t>i20NlineN8DCTDTc</t>
  </si>
  <si>
    <t>EXTER EX O</t>
  </si>
  <si>
    <t>EXTER S O</t>
  </si>
  <si>
    <t>EXTER SX O</t>
  </si>
  <si>
    <t>EXTER SX O CONNECT</t>
  </si>
  <si>
    <t>EXTER SX O CONNECT DT</t>
  </si>
  <si>
    <t>EXTER SXO AMT</t>
  </si>
  <si>
    <t>New i20 Asta  O iVT  DT</t>
  </si>
  <si>
    <t>Verna 1.5 Turbo GDi DCT SX O</t>
  </si>
  <si>
    <t>Venue 1.0 T SX O DT Knight MT</t>
  </si>
  <si>
    <t>Creta 1.5 MPi MT SX O DT</t>
  </si>
  <si>
    <t>EXTER SX O CONNECT AMT</t>
  </si>
  <si>
    <t>Verna 1.5 Turbo GDi DCT SX O DT</t>
  </si>
  <si>
    <t>Venue 1.0 T S O DCT</t>
  </si>
  <si>
    <t>Creta 1.5 MPi IVT SX O</t>
  </si>
  <si>
    <t>Venue 1.2 S O MT</t>
  </si>
  <si>
    <t>Aura SX O</t>
  </si>
  <si>
    <t>Verna 1.5 MPi MT SX O</t>
  </si>
  <si>
    <t>Venue 1.2 S O Knight MT</t>
  </si>
  <si>
    <t>Creta 1.5 MPi MT S O</t>
  </si>
  <si>
    <t>New i20 Sportz  O MT</t>
  </si>
  <si>
    <t>Creta 1.5 MPi IVT S O</t>
  </si>
  <si>
    <t>New i20 Sportz  O MT DT</t>
  </si>
  <si>
    <t>Verna 1.5 MPi iVT SX O</t>
  </si>
  <si>
    <t>New i20 Asta O MT</t>
  </si>
  <si>
    <t>Alcazar Signature  O DCT (6STR) DT</t>
  </si>
  <si>
    <t>New i20 Asta O MT  DT</t>
  </si>
  <si>
    <t>Venue 1.0 T S O MT</t>
  </si>
  <si>
    <t>Venue 1.0 T SX O MT</t>
  </si>
  <si>
    <t>New i20 Sportz  O iVT</t>
  </si>
  <si>
    <t>Verna 1.5 Turbo GDi MT SX O</t>
  </si>
  <si>
    <t>Venue 1.0 T SX O DT MT</t>
  </si>
  <si>
    <t>New i20 Asta  O iVT</t>
  </si>
  <si>
    <t>Verna 1.5 Turbo GDi MT SX O DT</t>
  </si>
  <si>
    <t>Venue 1.0 T SX O Knight MT</t>
  </si>
  <si>
    <t>Creta 1.5 MPi MT SX O</t>
  </si>
  <si>
    <t>EXTER SX O AMT</t>
  </si>
  <si>
    <t>EXTER SX O CONNECT AMT DT</t>
  </si>
  <si>
    <t>Venue 1.0 T SX O DCT</t>
  </si>
  <si>
    <t>Creta 1.5 MPi IVT SX O DT</t>
  </si>
  <si>
    <t>Venue 1.0 T SX O DT DCT</t>
  </si>
  <si>
    <t>Creta 1.5 Turbo DCT SX O</t>
  </si>
  <si>
    <t>Venue 1.0 SX O Knight DCT</t>
  </si>
  <si>
    <t>Creta 1.5 Turbo DCT SX O DT</t>
  </si>
  <si>
    <t>Venue 1.0 SX O DT Knight DCT</t>
  </si>
  <si>
    <t>Creta 1.5 CRDi MT S O</t>
  </si>
  <si>
    <t>Venue 1.5 SX O DSL</t>
  </si>
  <si>
    <t>Creta 1.5 CRDi AT S O</t>
  </si>
  <si>
    <t>Venue 1.5 SX O DT DSL</t>
  </si>
  <si>
    <t>Alcazar Signature O AT AE (7STR) DT</t>
  </si>
  <si>
    <t>Venue 1.0 Turbo MPi MT S O</t>
  </si>
  <si>
    <t>Creta 1.5 CRDi MT SX O</t>
  </si>
  <si>
    <t>Venue 1.0 Turbo MPi DCT S O</t>
  </si>
  <si>
    <t>Creta 1.5 CRDi MT SX O DT</t>
  </si>
  <si>
    <t>Creta 1.5 CRDi AT SX O</t>
  </si>
  <si>
    <t>Creta 1.5 CRDi AT SX O DT</t>
  </si>
  <si>
    <t>Venue1.5SX ODSLc</t>
  </si>
  <si>
    <t>Venue1.5SX ODTDSLc</t>
  </si>
  <si>
    <t>Venue1.0TurboMPiMTS Oc</t>
  </si>
  <si>
    <t>Venue1.0TurboMPiDCTS Oc</t>
  </si>
  <si>
    <t>Creta1.5MPiMTSX ODTc</t>
  </si>
  <si>
    <t>Creta1.5MPiIVTSX ODTc</t>
  </si>
  <si>
    <t>Creta1.5TurboDCTSX ODTc</t>
  </si>
  <si>
    <t>Creta1.5CRDiMTSX ODTc</t>
  </si>
  <si>
    <t>Creta1.5CRDiATSX ODTc</t>
  </si>
  <si>
    <t>AlcazarSignature OATAE(7STR)DTc</t>
  </si>
  <si>
    <t>AlcazarSignature ODCT(6STR)DTc</t>
  </si>
  <si>
    <t>EXTERSXOCONNECTDTc</t>
  </si>
  <si>
    <t>EXTERSXOCONNECTAMTDTc</t>
  </si>
  <si>
    <t>MODEL &amp; VARIANT</t>
  </si>
  <si>
    <t>COLOURS</t>
  </si>
  <si>
    <t>NAME MANAGER</t>
  </si>
  <si>
    <t>EXTER EX</t>
  </si>
  <si>
    <t>COLOUR SLAB</t>
  </si>
  <si>
    <t>NIOS 1</t>
  </si>
  <si>
    <t>NIOS 2</t>
  </si>
  <si>
    <t>I20 ST 1</t>
  </si>
  <si>
    <t>I20 DT 2</t>
  </si>
  <si>
    <t xml:space="preserve">Titan grey with abyss black roof </t>
  </si>
  <si>
    <t>I20 Nline</t>
  </si>
  <si>
    <t>Aura SX Plus AMT</t>
  </si>
  <si>
    <t>Alcazar Diesel Platinum AE 7STR</t>
  </si>
  <si>
    <t>Alcazar Diesel Signature O AT AE 7STR</t>
  </si>
  <si>
    <t>Alcazar Petrol Platinum AE 7STR</t>
  </si>
  <si>
    <t>Alcazar Petrol Signature O DCT AE 7STR</t>
  </si>
  <si>
    <t>Alcazar Diesel Signature O AT AE 7STR DT</t>
  </si>
  <si>
    <t>Alcazar Petrol Signature O DCT AE 7STR DT</t>
  </si>
  <si>
    <t>AlcazarDieselPlatinum7STRc</t>
  </si>
  <si>
    <t xml:space="preserve">Alcazar Diesel Platinum  7STR   </t>
  </si>
  <si>
    <t>AlcazarDieselPlatinumOAT6STRc</t>
  </si>
  <si>
    <t xml:space="preserve">Alcazar Diesel Platinum  O AT 6STR </t>
  </si>
  <si>
    <t>AlcazarDieselPlatinumOAT7STRc</t>
  </si>
  <si>
    <t xml:space="preserve">Alcazar Diesel Platinum  O AT 7STR </t>
  </si>
  <si>
    <t>AlcazarDieselPrestige7STRc</t>
  </si>
  <si>
    <t xml:space="preserve">Alcazar Diesel Prestige  7STR   </t>
  </si>
  <si>
    <t>AlcazarDieselPrestigeOAT7STRc</t>
  </si>
  <si>
    <t xml:space="preserve">Alcazar Diesel Prestige  O AT 7STR </t>
  </si>
  <si>
    <t>AlcazarDieselSignature6STRc</t>
  </si>
  <si>
    <t xml:space="preserve">Alcazar Diesel Signature  6STR   </t>
  </si>
  <si>
    <t>AlcazarDieselSignatureOAT6STRc</t>
  </si>
  <si>
    <t xml:space="preserve">Alcazar Diesel Signature  O AT 6STR </t>
  </si>
  <si>
    <t>AlcazarDieselSignatureOAT7STRc</t>
  </si>
  <si>
    <t xml:space="preserve">Alcazar Diesel Signature  O AT 7STR </t>
  </si>
  <si>
    <t>AlcazarPetrolPlatinum7STRc</t>
  </si>
  <si>
    <t xml:space="preserve">Alcazar Petrol Platinum  7STR   </t>
  </si>
  <si>
    <t>AlcazarPetrolPlatinumODCT6STRc</t>
  </si>
  <si>
    <t xml:space="preserve">Alcazar Petrol Platinum  O DCT 6STR </t>
  </si>
  <si>
    <t>AlcazarPetrolPlatinumODCT7STRc</t>
  </si>
  <si>
    <t xml:space="preserve">Alcazar Petrol Platinum  O DCT 7STR </t>
  </si>
  <si>
    <t>AlcazarPetrolPrestige7STRc</t>
  </si>
  <si>
    <t xml:space="preserve">Alcazar Petrol Prestige  7STR   </t>
  </si>
  <si>
    <t>AlcazarPetrolSignatureODCT6STRc</t>
  </si>
  <si>
    <t xml:space="preserve">Alcazar Petrol Signature  O DCT 6STR </t>
  </si>
  <si>
    <t>AlcazarPetrolSignatureODCT7STRc</t>
  </si>
  <si>
    <t xml:space="preserve">Alcazar Petrol Signature  O DCT 7STR </t>
  </si>
  <si>
    <t>AlcazarDieselSignature6STRDTc</t>
  </si>
  <si>
    <t xml:space="preserve">Alcazar Diesel Signature  6STR DT  </t>
  </si>
  <si>
    <t>AlcazarDieselSignatureOAT6STRDTc</t>
  </si>
  <si>
    <t>Alcazar Diesel Signature  O AT 6STR DT</t>
  </si>
  <si>
    <t>AlcazarPetrolSignatureODCT6STRDTc</t>
  </si>
  <si>
    <t>Alcazar Petrol Signature  O DCT 6STR DT</t>
  </si>
  <si>
    <t>Tucson Petrol Signature DT 2.0 AT</t>
  </si>
  <si>
    <t>Tucson Diesel Signature DT 2.0 AT</t>
  </si>
  <si>
    <t>Tucson Diesel Signature DT 2.0 AT 4WD</t>
  </si>
  <si>
    <t>Tucson Diesel Platinum 2.0 AT</t>
  </si>
  <si>
    <t>Tucson Diesel Signature 2.0 AT</t>
  </si>
  <si>
    <t>Tucson Diesel Signature 2.0 AT 4WD</t>
  </si>
  <si>
    <t>Tucson Petrol Platinum 2.0 AT</t>
  </si>
  <si>
    <t>Tucson Petrol Signature2.0 AT</t>
  </si>
  <si>
    <t>H5 Sector 63 NOIDA Phone : 0120-4679999</t>
  </si>
  <si>
    <t>85A-85B Neelam Railway Road, NIT 5, FARIDABAD</t>
  </si>
  <si>
    <t>Creta N Line N8 1.5 Turbo MT RGM</t>
  </si>
  <si>
    <t>Creta N Line N8 1.5 Turbo DCT RGM</t>
  </si>
  <si>
    <t>Creta N Line N10 1.5 Turbo MT RGM</t>
  </si>
  <si>
    <t>Creta N Line N10 1.5 Turbo DCT RGM</t>
  </si>
  <si>
    <t>Sportz MT DT</t>
  </si>
  <si>
    <t>N6 MT DT</t>
  </si>
  <si>
    <t>N8 MT DT</t>
  </si>
  <si>
    <t>N6 DCT  DT</t>
  </si>
  <si>
    <t>N8 DCT DT</t>
  </si>
  <si>
    <t>Tucson Petrol</t>
  </si>
  <si>
    <t>Tucson Diesel</t>
  </si>
  <si>
    <t>MY23 SCHEME</t>
  </si>
  <si>
    <t>S No</t>
  </si>
  <si>
    <t xml:space="preserve"> =IF(M11=0,0,
IF(M6="I N V A L I D", 0,
IFERROR(IF(C13="Self Registration",
IF(M11=0,0,2000),
IF(C13="Registration (UP)",VLOOKUP(M8,Prices!B3:Y116,13,1)+IF(E4=Data!B167,2000),
IF(C13="Registration (Individual Delhi)",VLOOKUP(M8,Prices!B3:Y116,14,1),
IF(C13="Registration (Company Delhi)", VLOOKUP(M8,Prices!B3:Y116,14,1)+VLOOKUP(M8,Prices!B3:Y116,16,1),
IF(C13="Registration (Haryana)",VLOOKUP(M8,Prices!B3:Y116,15,1)+Data!C43+IF(OR(E4=Data!B166,E4=Data!B168),2000),
IF(C13="Registration (BH Series UP)", VLOOKUP(M8,Prices!B3:Y116,19,1)+Data!C30,
IF(C13="Registration (BH Series Delhi)", VLOOKUP(M8,Prices!B3:Y116,19,1)+Data!C19,
IF(C13="Registration (BH Series Haryana)", VLOOKUP(M8,Prices!B3:Y116,19,1)+Data!C43,0)))))))),0)))</t>
  </si>
  <si>
    <t xml:space="preserve"> =IF(M11=0,0,
IF(M6="I N V A L I D",0,
IFERROR(IF(C13="Self Registration",2500),
IF(C13="Registration (UP)",VLOOKUP(M8,Prices!D3:AU178,13,0),
IF(C13="Registration (Individual Delhi)",VLOOKUP(M8,Prices!D3:AU178,14,0),
IF(C13="Registration (Company Delhi)",VLOOKUP(M8,Prices!D3:AU178,14,0)+VLOOKUP(M8,Prices!D3:AU178,16,0),
IF(C13="Registration (Haryana)",VLOOKUP(M8,Prices!D3:AU178,15,0),0)))))))</t>
  </si>
  <si>
    <t>B1</t>
  </si>
  <si>
    <t>B2</t>
  </si>
  <si>
    <t>B3</t>
  </si>
  <si>
    <t>B4</t>
  </si>
  <si>
    <t>B5</t>
  </si>
  <si>
    <t>B6</t>
  </si>
  <si>
    <t>B7</t>
  </si>
  <si>
    <t xml:space="preserve"> =IF(M11=0,0,
IF(M6="I N V A L I D",0,IFERROR(
IF(C14=Data!B7,0,
IF(ISNUMBER(SEARCH("Delhi",C13)),
IF(C14=Data!B7,0,IF(C14=Data!B1,VLOOKUP(M8,Prices!D3:AU178,5),
IF(C14=Data!B2,VLOOKUP(M8,Prices!D3:AU178,5)+VLOOKUP(M8,Prices!D3:AU178,11),
IF(C14=Data!B3,VLOOKUP(M8,Prices!D3:AU178,8)+VLOOKUP(M8,Prices!D3:AU178,9),
IF(C14=Data!B4,VLOOKUP(M8,Prices!D3:AU178,8)+VLOOKUP(M8,Prices!D3:AU178,10),
IF(C14=Data!B5,VLOOKUP(M8,Prices!D3:AU178,8)+VLOOKUP(M8,Prices!D3:AU178,11),
IF(C14=Data!B6,VLOOKUP(M8,Prices!D3:AU178,8)+VLOOKUP(M8,Prices!D3:AU178,12)+VLOOKUP(M8,Prices!D3:AU178,11)))))))),
IF(C14=Data!B7,0,IF(C14=Data!B1,VLOOKUP(M8,Prices!D3:AU178,4),
IF(C14=Data!B2,VLOOKUP(M8,Prices!D3:AU178,4)+VLOOKUP(M8,Prices!D3:AU178,11),
IF(C14=Data!B3,VLOOKUP(M8,Prices!D3:AU178,7)+VLOOKUP(M8,Prices!D3:AU178,9),
IF(C14=Data!B4,VLOOKUP(M8,Prices!D3:AU178,7)+VLOOKUP(M8,Prices!D3:AU178,10),
IF(C14=Data!B5,VLOOKUP(M8,Prices!D3:AU178,7)+VLOOKUP(M8,Prices!D3:AU178,11),
IF(C14=Data!B6,VLOOKUP(M8,Prices!D3:AU178,7)+VLOOKUP(M8,Prices!D3:AU178,12)+VLOOKUP(M8,Prices!D3:AU178,11)))))))))),0)))</t>
  </si>
  <si>
    <t xml:space="preserve"> =IF(M11=0, 0,
    IF(M6="I N V A L I D", 0,
      (IF(C13="Self Registration", 2500,
                IF(C13="Registration (UP)", VLOOKUP(M8, Prices!D3:AU178, 13, 0),
                    IF(C13="Registration (Individual Delhi)", VLOOKUP(M8, Prices!D3:AU178, 14, 0),
                        IF(C13="Registration (Company Delhi)", VLOOKUP(M8, Prices!D3:AU178, 14, 0) + VLOOKUP(M8, Prices!D3:AU178, 16, 0),
                            IF(C13="Registration (Haryana)", VLOOKUP(M8, Prices!D3:AU178, 15, 0), 0
                            )
                        )
                    )
                )
            )
        )
    )
)</t>
  </si>
  <si>
    <t>EW</t>
  </si>
  <si>
    <t>1.5 MPi MT S O</t>
  </si>
  <si>
    <t>1.5 MPi IVT S O</t>
  </si>
  <si>
    <t>1.5 MPi MT SX O DT</t>
  </si>
  <si>
    <t>1.5 MPi IVT SX O</t>
  </si>
  <si>
    <t>1.5 MPi IVT SX O DT</t>
  </si>
  <si>
    <t>1.5 Turbo DCT SX O</t>
  </si>
  <si>
    <t>1.5 Turbo DCT SX O DT</t>
  </si>
  <si>
    <t>1.5 MPi MT SX O</t>
  </si>
  <si>
    <t>1.5 CRDi MT S O</t>
  </si>
  <si>
    <t>1.5 CRDi AT S O</t>
  </si>
  <si>
    <t>1.5 CRDi MT SX O</t>
  </si>
  <si>
    <t>1.5 CRDi MT SX O DT</t>
  </si>
  <si>
    <t>1.5 CRDi AT SX O</t>
  </si>
  <si>
    <t>1.5 CRDi AT SX O DT</t>
  </si>
  <si>
    <t>1.5 MPi iVT SX O</t>
  </si>
  <si>
    <t>1.5 Turbo GDi MT SX O</t>
  </si>
  <si>
    <t>1.5 Turbo GDi MT SX O DT</t>
  </si>
  <si>
    <t>1.5 Turbo GDi DCT SX O</t>
  </si>
  <si>
    <t>1.5 Turbo GDi DCT SX O DT</t>
  </si>
  <si>
    <t>SX O</t>
  </si>
  <si>
    <t>S O</t>
  </si>
  <si>
    <t>SX O CONNECT</t>
  </si>
  <si>
    <t>SX O CONNECT DT</t>
  </si>
  <si>
    <t>SX O AMT</t>
  </si>
  <si>
    <t>SX O CONNECT AMT</t>
  </si>
  <si>
    <t>SX O CONNECT AMT DT</t>
  </si>
  <si>
    <t>1.2 S O MT</t>
  </si>
  <si>
    <t>1.2 S O Knight MT</t>
  </si>
  <si>
    <t>1.0 T S O MT</t>
  </si>
  <si>
    <t>1.0 T SX O MT</t>
  </si>
  <si>
    <t>1.0 T SX O DT MT</t>
  </si>
  <si>
    <t>1.0 T SX O Knight MT</t>
  </si>
  <si>
    <t>1.0 T SX O DT Knight MT</t>
  </si>
  <si>
    <t>1.0 T S O DCT</t>
  </si>
  <si>
    <t>1.0 T SX O DCT</t>
  </si>
  <si>
    <t>1.0 T SX O DT DCT</t>
  </si>
  <si>
    <t>1.0 SX O Knight DCT</t>
  </si>
  <si>
    <t>1.0 SX O DT Knight DCT</t>
  </si>
  <si>
    <t>1.0 Turbo MPi MT S O</t>
  </si>
  <si>
    <t>1.0 Turbo MPi DCT S O</t>
  </si>
  <si>
    <t>Sportz O MT</t>
  </si>
  <si>
    <t>Sportz O MT DT</t>
  </si>
  <si>
    <t>Sportz O iVT</t>
  </si>
  <si>
    <t>New i20 Asta O MT DT</t>
  </si>
  <si>
    <t>New i20 Asta O iVT DT</t>
  </si>
  <si>
    <t>New i20 Asta O iVT</t>
  </si>
  <si>
    <t>New i20 Sportz O iVT</t>
  </si>
  <si>
    <t>New i20 Sportz O MT</t>
  </si>
  <si>
    <t>New i20 Sportz O MT DT</t>
  </si>
  <si>
    <t>New i20 Sportz MT DT</t>
  </si>
  <si>
    <t>Asta O MT</t>
  </si>
  <si>
    <t>Asta O MT DT</t>
  </si>
  <si>
    <t>Asta O iVT</t>
  </si>
  <si>
    <t>Asta O iVT DT</t>
  </si>
  <si>
    <t>SX Plus AMT</t>
  </si>
  <si>
    <t>1.5 S Plus DSL</t>
  </si>
  <si>
    <t>1.5 SX O DSL</t>
  </si>
  <si>
    <t>1.5 SX O DT DSL</t>
  </si>
  <si>
    <t>Venue 1.5 S Plus DSL</t>
  </si>
  <si>
    <t>N8 1.5 Turbo MT</t>
  </si>
  <si>
    <t>N8 1.5 Turbo MT RGM</t>
  </si>
  <si>
    <t>N8 1.5 Turbo MT DT</t>
  </si>
  <si>
    <t>N8 1.5 Turbo DCT</t>
  </si>
  <si>
    <t>N8 1.5 Turbo DCT RGM</t>
  </si>
  <si>
    <t>N8 1.5 Turbo DCT DT</t>
  </si>
  <si>
    <t>N10 1.5 Turbo MT</t>
  </si>
  <si>
    <t>N10 1.5 Turbo MT RGM</t>
  </si>
  <si>
    <t>N10 1.5 Turbo MT DT</t>
  </si>
  <si>
    <t>N10 1.5 Turbo DCT</t>
  </si>
  <si>
    <t>N10 1.5 Turbo DCT RGM</t>
  </si>
  <si>
    <t>N10 1.5 Turbo DCT DT</t>
  </si>
  <si>
    <t>New Tucson</t>
  </si>
  <si>
    <t>Pending SOT Slab from HMIL</t>
  </si>
  <si>
    <t>AT Diesel</t>
  </si>
  <si>
    <t>MT Diesel</t>
  </si>
  <si>
    <t>IVT Petrol</t>
  </si>
  <si>
    <t>DCT Petrol</t>
  </si>
  <si>
    <t>MT Petrol</t>
  </si>
  <si>
    <t>AMT Petrol</t>
  </si>
  <si>
    <t>Extended Warranty</t>
  </si>
  <si>
    <t>C1 Sector 10, Noida, (UP) 201301 
Phone : 0120-6633336, 7042493311</t>
  </si>
  <si>
    <t>Sector 37, Botanical Garden Metro Station,
Noida, (UP) 201301 
Phone : 0120-6633336, 7042493311</t>
  </si>
  <si>
    <t>Tentative Waiting</t>
  </si>
  <si>
    <t>10-12 Weeks</t>
  </si>
  <si>
    <t>12-14 Weeks</t>
  </si>
  <si>
    <t>14-16 Weeks</t>
  </si>
  <si>
    <t>12-18 Weeks</t>
  </si>
  <si>
    <t>04-06 Weeks</t>
  </si>
  <si>
    <t>12-15 Weeks</t>
  </si>
  <si>
    <t>Waiting Car: -</t>
  </si>
  <si>
    <t>Stock / Transit Car: -</t>
  </si>
  <si>
    <r>
      <t xml:space="preserve">2. </t>
    </r>
    <r>
      <rPr>
        <b/>
        <sz val="8"/>
        <rFont val="Arial"/>
        <family val="2"/>
      </rPr>
      <t>Bank Details: STATE BANK OF INDIA, Branch: Plot No. 40, Knowledge Park 1, OPP. ALPHA-1, GREATER NOIDA, A/C No. 38903048447, IFSC Code SBIN0061195.</t>
    </r>
  </si>
  <si>
    <t>Mr.</t>
  </si>
  <si>
    <t>Ms.</t>
  </si>
  <si>
    <t>Mrs.</t>
  </si>
  <si>
    <t>Miss.</t>
  </si>
  <si>
    <t>Dr.</t>
  </si>
  <si>
    <t>Title:</t>
  </si>
  <si>
    <t>Namish Malhotra</t>
  </si>
  <si>
    <t>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</si>
</sst>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_(* #,##0.00_);_(* \(#,##0.00\);_(* &quot;-&quot;??_);_(@_)"/>
    <numFmt numFmtId="166" formatCode="[&gt;=10000000]##\,##\,##\,##0;[&gt;=100000]\ ##\,##\,##0;##,##0"/>
    <numFmt numFmtId="167" formatCode="0;[Red]0"/>
    <numFmt numFmtId="168" formatCode="[&gt;=10000000]##.##;[&gt;=100000]\ ##;##,##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4" tint="-0.249977111117893"/>
      <name val="Calibri"/>
      <family val="2"/>
    </font>
    <font>
      <b/>
      <sz val="12"/>
      <color theme="4" tint="-0.24994659260841701"/>
      <name val="Calibri"/>
      <family val="2"/>
    </font>
    <font>
      <sz val="11"/>
      <color indexed="8"/>
      <name val="Calibri"/>
      <family val="2"/>
    </font>
    <font>
      <b/>
      <sz val="16"/>
      <color theme="5" tint="-0.2499465926084170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i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.5"/>
      <color rgb="FF000000"/>
      <name val="Calibri"/>
      <family val="2"/>
    </font>
    <font>
      <sz val="9.5"/>
      <name val="Calibri"/>
      <family val="2"/>
    </font>
    <font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4" tint="-0.24994659260841701"/>
      <name val="Calibri"/>
      <family val="2"/>
    </font>
    <font>
      <sz val="11"/>
      <color theme="1" tint="0.1499984740745262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0000"/>
      <name val="Trebuchet MS"/>
      <family val="2"/>
    </font>
    <font>
      <b/>
      <sz val="14"/>
      <color rgb="FFFF0000"/>
      <name val="Calibri"/>
      <family val="2"/>
      <scheme val="minor"/>
    </font>
    <font>
      <b/>
      <sz val="8"/>
      <name val="Arial"/>
      <family val="2"/>
    </font>
    <font>
      <b/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4" fillId="0" borderId="0">
      <alignment vertical="center"/>
    </xf>
    <xf numFmtId="9" fontId="1" fillId="0" borderId="0" applyFont="0" applyFill="0" applyBorder="0" applyAlignment="0" applyProtection="0"/>
    <xf numFmtId="0" fontId="1" fillId="0" borderId="0"/>
  </cellStyleXfs>
  <cellXfs count="319">
    <xf numFmtId="0" fontId="0" fillId="0" borderId="0" xfId="0"/>
    <xf numFmtId="0" fontId="0" fillId="0" borderId="0" xfId="0" applyProtection="1">
      <protection hidden="1"/>
    </xf>
    <xf numFmtId="0" fontId="3" fillId="0" borderId="4" xfId="0" applyFont="1" applyBorder="1" applyAlignment="1" applyProtection="1">
      <alignment vertical="center"/>
      <protection hidden="1"/>
    </xf>
    <xf numFmtId="0" fontId="3" fillId="0" borderId="5" xfId="0" applyFont="1" applyBorder="1" applyAlignment="1" applyProtection="1">
      <alignment vertical="center"/>
      <protection hidden="1"/>
    </xf>
    <xf numFmtId="1" fontId="5" fillId="0" borderId="6" xfId="2" applyNumberFormat="1" applyFont="1" applyBorder="1" applyProtection="1">
      <alignment vertical="center"/>
      <protection hidden="1"/>
    </xf>
    <xf numFmtId="1" fontId="5" fillId="0" borderId="7" xfId="2" applyNumberFormat="1" applyFont="1" applyBorder="1" applyProtection="1">
      <alignment vertical="center"/>
      <protection hidden="1"/>
    </xf>
    <xf numFmtId="1" fontId="5" fillId="0" borderId="8" xfId="2" applyNumberFormat="1" applyFont="1" applyBorder="1" applyProtection="1">
      <alignment vertical="center"/>
      <protection hidden="1"/>
    </xf>
    <xf numFmtId="0" fontId="7" fillId="0" borderId="2" xfId="0" applyFont="1" applyBorder="1" applyAlignment="1" applyProtection="1">
      <alignment horizontal="right" vertical="center"/>
      <protection hidden="1"/>
    </xf>
    <xf numFmtId="0" fontId="16" fillId="0" borderId="0" xfId="0" applyFont="1"/>
    <xf numFmtId="0" fontId="17" fillId="0" borderId="0" xfId="0" applyFont="1" applyAlignment="1">
      <alignment horizontal="center"/>
    </xf>
    <xf numFmtId="0" fontId="17" fillId="0" borderId="0" xfId="0" applyFont="1"/>
    <xf numFmtId="1" fontId="17" fillId="0" borderId="0" xfId="0" applyNumberFormat="1" applyFont="1"/>
    <xf numFmtId="0" fontId="7" fillId="0" borderId="10" xfId="0" applyFont="1" applyBorder="1" applyAlignment="1" applyProtection="1">
      <alignment vertical="center"/>
      <protection locked="0" hidden="1"/>
    </xf>
    <xf numFmtId="0" fontId="20" fillId="0" borderId="36" xfId="0" applyFont="1" applyBorder="1" applyAlignment="1">
      <alignment horizontal="left" vertical="center"/>
    </xf>
    <xf numFmtId="1" fontId="20" fillId="0" borderId="36" xfId="0" applyNumberFormat="1" applyFont="1" applyBorder="1" applyAlignment="1">
      <alignment horizontal="center" vertical="center" shrinkToFit="1"/>
    </xf>
    <xf numFmtId="0" fontId="20" fillId="0" borderId="36" xfId="4" applyFont="1" applyBorder="1" applyAlignment="1">
      <alignment vertical="center"/>
    </xf>
    <xf numFmtId="0" fontId="20" fillId="0" borderId="35" xfId="4" applyFont="1" applyBorder="1" applyAlignment="1">
      <alignment vertical="center"/>
    </xf>
    <xf numFmtId="0" fontId="21" fillId="0" borderId="0" xfId="0" applyFont="1"/>
    <xf numFmtId="1" fontId="23" fillId="0" borderId="36" xfId="0" applyNumberFormat="1" applyFont="1" applyBorder="1" applyAlignment="1">
      <alignment horizontal="center" vertical="center" shrinkToFit="1"/>
    </xf>
    <xf numFmtId="0" fontId="17" fillId="0" borderId="0" xfId="0" applyFont="1" applyAlignment="1">
      <alignment horizontal="left"/>
    </xf>
    <xf numFmtId="1" fontId="20" fillId="0" borderId="36" xfId="0" applyNumberFormat="1" applyFont="1" applyBorder="1" applyAlignment="1">
      <alignment horizontal="left" vertic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36" xfId="0" applyFill="1" applyBorder="1"/>
    <xf numFmtId="0" fontId="0" fillId="6" borderId="36" xfId="0" applyFill="1" applyBorder="1"/>
    <xf numFmtId="0" fontId="0" fillId="8" borderId="0" xfId="0" applyFill="1"/>
    <xf numFmtId="0" fontId="0" fillId="0" borderId="36" xfId="0" applyBorder="1"/>
    <xf numFmtId="0" fontId="0" fillId="8" borderId="36" xfId="0" applyFill="1" applyBorder="1"/>
    <xf numFmtId="0" fontId="0" fillId="9" borderId="36" xfId="0" applyFill="1" applyBorder="1"/>
    <xf numFmtId="0" fontId="26" fillId="0" borderId="36" xfId="0" applyFont="1" applyBorder="1"/>
    <xf numFmtId="0" fontId="16" fillId="0" borderId="36" xfId="0" applyFont="1" applyBorder="1"/>
    <xf numFmtId="0" fontId="0" fillId="0" borderId="21" xfId="0" applyBorder="1"/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8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0" fillId="9" borderId="39" xfId="0" applyFill="1" applyBorder="1"/>
    <xf numFmtId="0" fontId="0" fillId="9" borderId="41" xfId="0" applyFill="1" applyBorder="1"/>
    <xf numFmtId="0" fontId="0" fillId="0" borderId="0" xfId="0" applyAlignment="1">
      <alignment horizontal="left" vertical="center"/>
    </xf>
    <xf numFmtId="0" fontId="0" fillId="0" borderId="23" xfId="0" applyBorder="1"/>
    <xf numFmtId="0" fontId="0" fillId="0" borderId="31" xfId="0" applyBorder="1"/>
    <xf numFmtId="0" fontId="0" fillId="0" borderId="40" xfId="0" applyBorder="1"/>
    <xf numFmtId="0" fontId="0" fillId="0" borderId="7" xfId="0" applyBorder="1"/>
    <xf numFmtId="0" fontId="0" fillId="0" borderId="26" xfId="0" applyBorder="1"/>
    <xf numFmtId="0" fontId="0" fillId="0" borderId="7" xfId="0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0" fontId="16" fillId="0" borderId="31" xfId="0" applyFont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40" xfId="0" applyFont="1" applyBorder="1" applyAlignment="1">
      <alignment horizontal="left" vertical="center"/>
    </xf>
    <xf numFmtId="0" fontId="26" fillId="0" borderId="7" xfId="0" applyFont="1" applyBorder="1" applyAlignment="1">
      <alignment horizontal="left" vertical="center"/>
    </xf>
    <xf numFmtId="0" fontId="26" fillId="0" borderId="23" xfId="0" applyFont="1" applyBorder="1" applyAlignment="1">
      <alignment horizontal="left" vertical="center"/>
    </xf>
    <xf numFmtId="0" fontId="15" fillId="0" borderId="4" xfId="0" applyFont="1" applyBorder="1" applyAlignment="1" applyProtection="1">
      <alignment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7" fillId="0" borderId="4" xfId="0" applyFont="1" applyBorder="1" applyProtection="1">
      <protection hidden="1"/>
    </xf>
    <xf numFmtId="0" fontId="16" fillId="0" borderId="9" xfId="0" applyFont="1" applyBorder="1" applyAlignment="1">
      <alignment horizontal="center" vertical="center"/>
    </xf>
    <xf numFmtId="0" fontId="16" fillId="0" borderId="44" xfId="0" applyFont="1" applyBorder="1"/>
    <xf numFmtId="0" fontId="16" fillId="0" borderId="11" xfId="0" applyFont="1" applyBorder="1"/>
    <xf numFmtId="0" fontId="16" fillId="0" borderId="43" xfId="0" applyFont="1" applyBorder="1"/>
    <xf numFmtId="0" fontId="16" fillId="0" borderId="34" xfId="0" applyFont="1" applyBorder="1"/>
    <xf numFmtId="0" fontId="16" fillId="0" borderId="31" xfId="0" applyFont="1" applyBorder="1"/>
    <xf numFmtId="0" fontId="20" fillId="0" borderId="23" xfId="0" applyFont="1" applyBorder="1"/>
    <xf numFmtId="0" fontId="20" fillId="0" borderId="31" xfId="0" applyFont="1" applyBorder="1"/>
    <xf numFmtId="0" fontId="20" fillId="0" borderId="0" xfId="0" applyFont="1"/>
    <xf numFmtId="0" fontId="20" fillId="0" borderId="40" xfId="0" applyFont="1" applyBorder="1"/>
    <xf numFmtId="0" fontId="20" fillId="0" borderId="7" xfId="0" applyFont="1" applyBorder="1"/>
    <xf numFmtId="0" fontId="0" fillId="0" borderId="9" xfId="0" applyBorder="1" applyAlignment="1">
      <alignment horizontal="left" vertical="center"/>
    </xf>
    <xf numFmtId="0" fontId="0" fillId="0" borderId="10" xfId="0" applyBorder="1"/>
    <xf numFmtId="0" fontId="0" fillId="0" borderId="11" xfId="0" applyBorder="1"/>
    <xf numFmtId="0" fontId="28" fillId="0" borderId="12" xfId="0" applyFont="1" applyBorder="1" applyAlignment="1">
      <alignment horizontal="center" vertical="center"/>
    </xf>
    <xf numFmtId="0" fontId="28" fillId="0" borderId="31" xfId="0" applyFont="1" applyBorder="1"/>
    <xf numFmtId="0" fontId="28" fillId="0" borderId="23" xfId="0" applyFont="1" applyBorder="1"/>
    <xf numFmtId="0" fontId="26" fillId="0" borderId="0" xfId="0" applyFont="1"/>
    <xf numFmtId="0" fontId="0" fillId="10" borderId="0" xfId="0" applyFill="1"/>
    <xf numFmtId="0" fontId="20" fillId="4" borderId="36" xfId="0" applyFont="1" applyFill="1" applyBorder="1"/>
    <xf numFmtId="0" fontId="26" fillId="9" borderId="36" xfId="0" applyFont="1" applyFill="1" applyBorder="1"/>
    <xf numFmtId="0" fontId="20" fillId="4" borderId="36" xfId="4" applyFont="1" applyFill="1" applyBorder="1" applyAlignment="1">
      <alignment vertical="center"/>
    </xf>
    <xf numFmtId="0" fontId="20" fillId="0" borderId="36" xfId="0" applyFont="1" applyBorder="1" applyAlignment="1">
      <alignment horizontal="left" vertical="top"/>
    </xf>
    <xf numFmtId="1" fontId="20" fillId="3" borderId="36" xfId="0" applyNumberFormat="1" applyFont="1" applyFill="1" applyBorder="1" applyAlignment="1">
      <alignment horizontal="left" vertical="center" shrinkToFit="1"/>
    </xf>
    <xf numFmtId="0" fontId="30" fillId="5" borderId="36" xfId="4" applyFont="1" applyFill="1" applyBorder="1" applyAlignment="1">
      <alignment horizontal="center" vertical="center"/>
    </xf>
    <xf numFmtId="1" fontId="23" fillId="10" borderId="36" xfId="0" applyNumberFormat="1" applyFont="1" applyFill="1" applyBorder="1" applyAlignment="1">
      <alignment horizontal="center" vertical="center" shrinkToFit="1"/>
    </xf>
    <xf numFmtId="1" fontId="20" fillId="3" borderId="36" xfId="0" applyNumberFormat="1" applyFont="1" applyFill="1" applyBorder="1" applyAlignment="1">
      <alignment horizontal="center" vertical="center" shrinkToFit="1"/>
    </xf>
    <xf numFmtId="1" fontId="23" fillId="0" borderId="36" xfId="2" applyNumberFormat="1" applyFont="1" applyBorder="1" applyAlignment="1">
      <alignment horizontal="center" vertical="center" shrinkToFit="1"/>
    </xf>
    <xf numFmtId="1" fontId="23" fillId="3" borderId="36" xfId="0" applyNumberFormat="1" applyFont="1" applyFill="1" applyBorder="1" applyAlignment="1">
      <alignment horizontal="center" vertical="center" shrinkToFit="1"/>
    </xf>
    <xf numFmtId="0" fontId="17" fillId="0" borderId="0" xfId="0" applyFont="1" applyAlignment="1">
      <alignment vertical="center" wrapText="1"/>
    </xf>
    <xf numFmtId="0" fontId="26" fillId="0" borderId="36" xfId="0" applyFont="1" applyBorder="1" applyAlignment="1">
      <alignment horizontal="left" vertical="top"/>
    </xf>
    <xf numFmtId="0" fontId="17" fillId="0" borderId="36" xfId="0" applyFont="1" applyBorder="1" applyAlignment="1">
      <alignment horizontal="center"/>
    </xf>
    <xf numFmtId="1" fontId="17" fillId="0" borderId="36" xfId="0" applyNumberFormat="1" applyFont="1" applyBorder="1" applyAlignment="1">
      <alignment horizontal="center"/>
    </xf>
    <xf numFmtId="0" fontId="17" fillId="0" borderId="36" xfId="0" applyFont="1" applyBorder="1" applyAlignment="1">
      <alignment horizontal="left"/>
    </xf>
    <xf numFmtId="0" fontId="18" fillId="4" borderId="36" xfId="0" applyFont="1" applyFill="1" applyBorder="1" applyAlignment="1">
      <alignment horizontal="center" vertical="center" wrapText="1"/>
    </xf>
    <xf numFmtId="1" fontId="18" fillId="4" borderId="36" xfId="0" applyNumberFormat="1" applyFont="1" applyFill="1" applyBorder="1" applyAlignment="1">
      <alignment horizontal="center" vertical="center" wrapText="1"/>
    </xf>
    <xf numFmtId="0" fontId="31" fillId="4" borderId="36" xfId="0" applyFont="1" applyFill="1" applyBorder="1" applyAlignment="1">
      <alignment horizontal="center" vertical="center" wrapText="1"/>
    </xf>
    <xf numFmtId="0" fontId="22" fillId="0" borderId="36" xfId="0" applyFont="1" applyBorder="1" applyAlignment="1">
      <alignment horizontal="left" vertical="center" wrapText="1"/>
    </xf>
    <xf numFmtId="0" fontId="18" fillId="0" borderId="36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 wrapText="1"/>
    </xf>
    <xf numFmtId="0" fontId="17" fillId="0" borderId="36" xfId="0" applyFont="1" applyBorder="1" applyAlignment="1">
      <alignment vertical="center" wrapText="1"/>
    </xf>
    <xf numFmtId="1" fontId="19" fillId="0" borderId="36" xfId="2" applyNumberFormat="1" applyFont="1" applyBorder="1" applyAlignment="1">
      <alignment horizontal="center" vertical="center"/>
    </xf>
    <xf numFmtId="1" fontId="17" fillId="0" borderId="36" xfId="0" applyNumberFormat="1" applyFont="1" applyBorder="1" applyAlignment="1">
      <alignment horizontal="left"/>
    </xf>
    <xf numFmtId="1" fontId="21" fillId="0" borderId="36" xfId="0" applyNumberFormat="1" applyFont="1" applyBorder="1" applyAlignment="1">
      <alignment horizontal="center"/>
    </xf>
    <xf numFmtId="1" fontId="17" fillId="0" borderId="36" xfId="0" applyNumberFormat="1" applyFont="1" applyBorder="1"/>
    <xf numFmtId="0" fontId="17" fillId="0" borderId="36" xfId="0" applyFont="1" applyBorder="1"/>
    <xf numFmtId="1" fontId="21" fillId="4" borderId="36" xfId="0" applyNumberFormat="1" applyFont="1" applyFill="1" applyBorder="1" applyAlignment="1">
      <alignment horizontal="center"/>
    </xf>
    <xf numFmtId="1" fontId="23" fillId="0" borderId="36" xfId="0" applyNumberFormat="1" applyFont="1" applyBorder="1" applyAlignment="1">
      <alignment horizontal="center" vertical="top" shrinkToFit="1"/>
    </xf>
    <xf numFmtId="0" fontId="18" fillId="0" borderId="36" xfId="0" applyFont="1" applyBorder="1"/>
    <xf numFmtId="0" fontId="18" fillId="4" borderId="36" xfId="0" applyFont="1" applyFill="1" applyBorder="1" applyAlignment="1">
      <alignment horizontal="left" vertical="center" wrapText="1"/>
    </xf>
    <xf numFmtId="1" fontId="18" fillId="0" borderId="36" xfId="0" applyNumberFormat="1" applyFont="1" applyBorder="1" applyAlignment="1">
      <alignment horizontal="left" vertical="top" shrinkToFit="1"/>
    </xf>
    <xf numFmtId="1" fontId="23" fillId="0" borderId="36" xfId="0" applyNumberFormat="1" applyFont="1" applyBorder="1" applyAlignment="1">
      <alignment horizontal="left" vertical="center" wrapText="1" shrinkToFit="1"/>
    </xf>
    <xf numFmtId="1" fontId="23" fillId="0" borderId="36" xfId="0" applyNumberFormat="1" applyFont="1" applyBorder="1" applyAlignment="1">
      <alignment horizontal="left" vertical="center" shrinkToFit="1"/>
    </xf>
    <xf numFmtId="1" fontId="19" fillId="0" borderId="36" xfId="2" applyNumberFormat="1" applyFont="1" applyBorder="1" applyAlignment="1">
      <alignment horizontal="left" vertical="center"/>
    </xf>
    <xf numFmtId="1" fontId="24" fillId="0" borderId="36" xfId="0" applyNumberFormat="1" applyFont="1" applyBorder="1" applyAlignment="1">
      <alignment horizontal="left" vertical="center" shrinkToFit="1"/>
    </xf>
    <xf numFmtId="1" fontId="25" fillId="0" borderId="36" xfId="2" applyNumberFormat="1" applyFont="1" applyBorder="1" applyAlignment="1">
      <alignment horizontal="left" vertical="center" shrinkToFit="1"/>
    </xf>
    <xf numFmtId="1" fontId="23" fillId="0" borderId="36" xfId="2" applyNumberFormat="1" applyFont="1" applyBorder="1" applyAlignment="1">
      <alignment horizontal="left" vertical="center" shrinkToFit="1"/>
    </xf>
    <xf numFmtId="1" fontId="23" fillId="3" borderId="36" xfId="0" applyNumberFormat="1" applyFont="1" applyFill="1" applyBorder="1" applyAlignment="1">
      <alignment horizontal="left" vertical="center" shrinkToFit="1"/>
    </xf>
    <xf numFmtId="0" fontId="26" fillId="0" borderId="4" xfId="0" applyFont="1" applyBorder="1"/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 hidden="1"/>
    </xf>
    <xf numFmtId="0" fontId="0" fillId="4" borderId="0" xfId="0" applyFill="1" applyAlignment="1" applyProtection="1">
      <alignment wrapText="1"/>
      <protection locked="0" hidden="1"/>
    </xf>
    <xf numFmtId="0" fontId="7" fillId="0" borderId="12" xfId="0" applyFont="1" applyBorder="1" applyProtection="1">
      <protection hidden="1"/>
    </xf>
    <xf numFmtId="0" fontId="7" fillId="0" borderId="14" xfId="0" applyFont="1" applyBorder="1" applyProtection="1">
      <protection hidden="1"/>
    </xf>
    <xf numFmtId="0" fontId="0" fillId="0" borderId="7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8" xfId="0" applyBorder="1" applyProtection="1">
      <protection hidden="1"/>
    </xf>
    <xf numFmtId="0" fontId="26" fillId="0" borderId="14" xfId="0" applyFont="1" applyBorder="1"/>
    <xf numFmtId="0" fontId="26" fillId="0" borderId="25" xfId="0" applyFont="1" applyBorder="1"/>
    <xf numFmtId="0" fontId="26" fillId="0" borderId="7" xfId="0" applyFont="1" applyBorder="1" applyAlignment="1">
      <alignment horizontal="center"/>
    </xf>
    <xf numFmtId="0" fontId="26" fillId="0" borderId="12" xfId="0" applyFont="1" applyBorder="1"/>
    <xf numFmtId="0" fontId="26" fillId="0" borderId="23" xfId="0" applyFont="1" applyBorder="1" applyAlignment="1">
      <alignment horizontal="center"/>
    </xf>
    <xf numFmtId="0" fontId="26" fillId="0" borderId="31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40" xfId="0" applyFont="1" applyBorder="1" applyAlignment="1">
      <alignment horizontal="center"/>
    </xf>
    <xf numFmtId="0" fontId="26" fillId="0" borderId="26" xfId="0" applyFont="1" applyBorder="1" applyAlignment="1">
      <alignment horizontal="center"/>
    </xf>
    <xf numFmtId="0" fontId="0" fillId="0" borderId="14" xfId="0" applyBorder="1"/>
    <xf numFmtId="0" fontId="0" fillId="0" borderId="25" xfId="0" applyBorder="1"/>
    <xf numFmtId="0" fontId="33" fillId="0" borderId="0" xfId="0" applyFont="1"/>
    <xf numFmtId="0" fontId="33" fillId="0" borderId="9" xfId="0" applyFont="1" applyBorder="1"/>
    <xf numFmtId="0" fontId="33" fillId="0" borderId="10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20" fillId="0" borderId="14" xfId="0" applyFont="1" applyBorder="1"/>
    <xf numFmtId="3" fontId="20" fillId="0" borderId="0" xfId="0" applyNumberFormat="1" applyFont="1" applyAlignment="1">
      <alignment horizontal="center"/>
    </xf>
    <xf numFmtId="3" fontId="20" fillId="0" borderId="40" xfId="0" applyNumberFormat="1" applyFont="1" applyBorder="1" applyAlignment="1">
      <alignment horizontal="center"/>
    </xf>
    <xf numFmtId="0" fontId="20" fillId="0" borderId="25" xfId="0" applyFont="1" applyBorder="1"/>
    <xf numFmtId="0" fontId="20" fillId="0" borderId="7" xfId="0" applyFont="1" applyBorder="1" applyAlignment="1">
      <alignment horizontal="center"/>
    </xf>
    <xf numFmtId="3" fontId="20" fillId="0" borderId="26" xfId="0" applyNumberFormat="1" applyFont="1" applyBorder="1" applyAlignment="1">
      <alignment horizontal="center"/>
    </xf>
    <xf numFmtId="0" fontId="31" fillId="0" borderId="36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0" fontId="34" fillId="0" borderId="36" xfId="0" applyFont="1" applyBorder="1" applyAlignment="1">
      <alignment horizontal="center" vertical="center" wrapText="1"/>
    </xf>
    <xf numFmtId="1" fontId="35" fillId="0" borderId="45" xfId="0" applyNumberFormat="1" applyFont="1" applyBorder="1" applyAlignment="1">
      <alignment horizontal="center" vertical="top" shrinkToFit="1"/>
    </xf>
    <xf numFmtId="0" fontId="21" fillId="0" borderId="36" xfId="0" applyFont="1" applyBorder="1"/>
    <xf numFmtId="1" fontId="17" fillId="4" borderId="36" xfId="0" applyNumberFormat="1" applyFont="1" applyFill="1" applyBorder="1" applyAlignment="1">
      <alignment horizontal="center"/>
    </xf>
    <xf numFmtId="0" fontId="17" fillId="4" borderId="36" xfId="0" applyFont="1" applyFill="1" applyBorder="1" applyAlignment="1">
      <alignment horizontal="center"/>
    </xf>
    <xf numFmtId="0" fontId="21" fillId="0" borderId="36" xfId="0" applyFont="1" applyBorder="1" applyAlignment="1">
      <alignment horizontal="center"/>
    </xf>
    <xf numFmtId="1" fontId="17" fillId="0" borderId="36" xfId="0" applyNumberFormat="1" applyFont="1" applyBorder="1" applyAlignment="1">
      <alignment horizontal="center" vertical="center"/>
    </xf>
    <xf numFmtId="1" fontId="35" fillId="0" borderId="45" xfId="0" applyNumberFormat="1" applyFont="1" applyBorder="1" applyAlignment="1">
      <alignment horizontal="center" vertical="center" shrinkToFit="1"/>
    </xf>
    <xf numFmtId="1" fontId="21" fillId="0" borderId="36" xfId="0" applyNumberFormat="1" applyFont="1" applyBorder="1" applyAlignment="1">
      <alignment horizontal="center" vertical="center"/>
    </xf>
    <xf numFmtId="0" fontId="17" fillId="0" borderId="36" xfId="0" applyFont="1" applyBorder="1" applyAlignment="1">
      <alignment vertical="center"/>
    </xf>
    <xf numFmtId="0" fontId="17" fillId="0" borderId="0" xfId="0" applyFont="1" applyAlignment="1">
      <alignment vertical="center"/>
    </xf>
    <xf numFmtId="9" fontId="17" fillId="0" borderId="0" xfId="3" applyFont="1" applyAlignment="1">
      <alignment vertical="center"/>
    </xf>
    <xf numFmtId="1" fontId="17" fillId="4" borderId="36" xfId="0" applyNumberFormat="1" applyFont="1" applyFill="1" applyBorder="1"/>
    <xf numFmtId="0" fontId="29" fillId="0" borderId="0" xfId="0" applyFont="1" applyAlignment="1">
      <alignment vertical="center" wrapText="1"/>
    </xf>
    <xf numFmtId="0" fontId="16" fillId="0" borderId="0" xfId="0" applyFont="1" applyAlignment="1">
      <alignment wrapText="1"/>
    </xf>
    <xf numFmtId="0" fontId="11" fillId="0" borderId="0" xfId="0" applyFont="1" applyAlignment="1" applyProtection="1">
      <alignment horizontal="right" vertical="center"/>
      <protection locked="0" hidden="1"/>
    </xf>
    <xf numFmtId="0" fontId="7" fillId="0" borderId="0" xfId="0" applyFont="1" applyAlignment="1" applyProtection="1">
      <alignment horizontal="right" vertical="center"/>
      <protection hidden="1"/>
    </xf>
    <xf numFmtId="0" fontId="27" fillId="0" borderId="0" xfId="0" applyFont="1" applyAlignment="1" applyProtection="1">
      <alignment horizontal="left" vertical="center" wrapText="1"/>
      <protection locked="0"/>
    </xf>
    <xf numFmtId="0" fontId="27" fillId="0" borderId="5" xfId="0" applyFont="1" applyBorder="1" applyAlignment="1" applyProtection="1">
      <alignment horizontal="left" vertical="center" wrapText="1"/>
      <protection locked="0"/>
    </xf>
    <xf numFmtId="1" fontId="5" fillId="0" borderId="7" xfId="2" applyNumberFormat="1" applyFont="1" applyBorder="1" applyAlignment="1" applyProtection="1">
      <alignment horizontal="center" vertical="center"/>
      <protection hidden="1"/>
    </xf>
    <xf numFmtId="0" fontId="10" fillId="0" borderId="4" xfId="0" applyFont="1" applyBorder="1" applyAlignment="1" applyProtection="1">
      <alignment horizontal="left" vertical="center" wrapText="1"/>
      <protection hidden="1"/>
    </xf>
    <xf numFmtId="0" fontId="10" fillId="0" borderId="0" xfId="0" applyFont="1" applyAlignment="1" applyProtection="1">
      <alignment horizontal="left" vertical="center" wrapText="1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5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locked="0" hidden="1"/>
    </xf>
    <xf numFmtId="0" fontId="13" fillId="0" borderId="0" xfId="0" applyFont="1" applyAlignment="1" applyProtection="1">
      <alignment horizontal="left" vertical="center"/>
      <protection locked="0" hidden="1"/>
    </xf>
    <xf numFmtId="0" fontId="13" fillId="0" borderId="5" xfId="0" applyFont="1" applyBorder="1" applyAlignment="1" applyProtection="1">
      <alignment horizontal="left" vertical="center"/>
      <protection locked="0" hidden="1"/>
    </xf>
    <xf numFmtId="0" fontId="7" fillId="0" borderId="12" xfId="0" applyFont="1" applyBorder="1" applyAlignment="1" applyProtection="1">
      <alignment horizontal="left" vertical="center"/>
      <protection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8" fillId="0" borderId="23" xfId="0" applyFont="1" applyBorder="1" applyAlignment="1" applyProtection="1">
      <alignment horizontal="left" vertical="center"/>
      <protection locked="0" hidden="1"/>
    </xf>
    <xf numFmtId="166" fontId="9" fillId="0" borderId="12" xfId="1" applyNumberFormat="1" applyFont="1" applyBorder="1" applyAlignment="1" applyProtection="1">
      <alignment horizontal="center" vertical="center"/>
      <protection hidden="1"/>
    </xf>
    <xf numFmtId="166" fontId="9" fillId="0" borderId="23" xfId="1" applyNumberFormat="1" applyFont="1" applyBorder="1" applyAlignment="1" applyProtection="1">
      <alignment horizontal="center" vertical="center"/>
      <protection hidden="1"/>
    </xf>
    <xf numFmtId="166" fontId="9" fillId="0" borderId="24" xfId="1" applyNumberFormat="1" applyFont="1" applyBorder="1" applyAlignment="1" applyProtection="1">
      <alignment horizontal="center" vertical="center"/>
      <protection hidden="1"/>
    </xf>
    <xf numFmtId="0" fontId="15" fillId="3" borderId="33" xfId="0" applyFont="1" applyFill="1" applyBorder="1" applyAlignment="1" applyProtection="1">
      <alignment horizontal="right" vertical="center"/>
      <protection hidden="1"/>
    </xf>
    <xf numFmtId="0" fontId="15" fillId="3" borderId="21" xfId="0" applyFont="1" applyFill="1" applyBorder="1" applyAlignment="1" applyProtection="1">
      <alignment horizontal="right" vertical="center"/>
      <protection hidden="1"/>
    </xf>
    <xf numFmtId="0" fontId="15" fillId="3" borderId="32" xfId="0" applyFont="1" applyFill="1" applyBorder="1" applyAlignment="1" applyProtection="1">
      <alignment horizontal="right" vertical="center"/>
      <protection hidden="1"/>
    </xf>
    <xf numFmtId="166" fontId="6" fillId="3" borderId="33" xfId="1" applyNumberFormat="1" applyFont="1" applyFill="1" applyBorder="1" applyAlignment="1" applyProtection="1">
      <alignment horizontal="center" vertical="center"/>
      <protection hidden="1"/>
    </xf>
    <xf numFmtId="166" fontId="6" fillId="3" borderId="21" xfId="1" applyNumberFormat="1" applyFont="1" applyFill="1" applyBorder="1" applyAlignment="1" applyProtection="1">
      <alignment horizontal="center" vertical="center"/>
      <protection hidden="1"/>
    </xf>
    <xf numFmtId="166" fontId="6" fillId="3" borderId="22" xfId="1" applyNumberFormat="1" applyFont="1" applyFill="1" applyBorder="1" applyAlignment="1" applyProtection="1">
      <alignment horizontal="center" vertical="center"/>
      <protection hidden="1"/>
    </xf>
    <xf numFmtId="0" fontId="10" fillId="0" borderId="17" xfId="0" applyFont="1" applyBorder="1" applyAlignment="1" applyProtection="1">
      <alignment horizontal="left" vertical="center"/>
      <protection hidden="1"/>
    </xf>
    <xf numFmtId="0" fontId="10" fillId="0" borderId="35" xfId="0" applyFont="1" applyBorder="1" applyAlignment="1" applyProtection="1">
      <alignment horizontal="left" vertical="center"/>
      <protection hidden="1"/>
    </xf>
    <xf numFmtId="0" fontId="10" fillId="0" borderId="18" xfId="0" applyFont="1" applyBorder="1" applyAlignment="1" applyProtection="1">
      <alignment horizontal="left" vertical="center"/>
      <protection hidden="1"/>
    </xf>
    <xf numFmtId="0" fontId="10" fillId="0" borderId="19" xfId="0" applyFont="1" applyBorder="1" applyAlignment="1" applyProtection="1">
      <alignment horizontal="left" vertical="center"/>
      <protection hidden="1"/>
    </xf>
    <xf numFmtId="1" fontId="6" fillId="0" borderId="9" xfId="1" applyNumberFormat="1" applyFont="1" applyBorder="1" applyAlignment="1" applyProtection="1">
      <alignment horizontal="center" vertical="center"/>
      <protection hidden="1"/>
    </xf>
    <xf numFmtId="1" fontId="6" fillId="0" borderId="10" xfId="1" applyNumberFormat="1" applyFont="1" applyBorder="1" applyAlignment="1" applyProtection="1">
      <alignment horizontal="center" vertical="center"/>
      <protection hidden="1"/>
    </xf>
    <xf numFmtId="1" fontId="6" fillId="0" borderId="13" xfId="1" applyNumberFormat="1" applyFont="1" applyBorder="1" applyAlignment="1" applyProtection="1">
      <alignment horizontal="center" vertical="center"/>
      <protection hidden="1"/>
    </xf>
    <xf numFmtId="0" fontId="7" fillId="0" borderId="12" xfId="0" applyFont="1" applyBorder="1" applyAlignment="1" applyProtection="1">
      <alignment horizontal="left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locked="0" hidden="1"/>
    </xf>
    <xf numFmtId="0" fontId="7" fillId="0" borderId="31" xfId="0" applyFont="1" applyBorder="1" applyAlignment="1" applyProtection="1">
      <alignment horizontal="left" vertical="center"/>
      <protection locked="0" hidden="1"/>
    </xf>
    <xf numFmtId="1" fontId="6" fillId="0" borderId="12" xfId="1" applyNumberFormat="1" applyFont="1" applyBorder="1" applyAlignment="1" applyProtection="1">
      <alignment horizontal="center" vertical="center"/>
      <protection hidden="1"/>
    </xf>
    <xf numFmtId="1" fontId="6" fillId="0" borderId="23" xfId="1" applyNumberFormat="1" applyFont="1" applyBorder="1" applyAlignment="1" applyProtection="1">
      <alignment horizontal="center" vertical="center"/>
      <protection hidden="1"/>
    </xf>
    <xf numFmtId="1" fontId="6" fillId="0" borderId="24" xfId="1" applyNumberFormat="1" applyFont="1" applyBorder="1" applyAlignment="1" applyProtection="1">
      <alignment horizontal="center" vertical="center"/>
      <protection hidden="1"/>
    </xf>
    <xf numFmtId="0" fontId="14" fillId="0" borderId="4" xfId="0" applyFont="1" applyBorder="1" applyAlignment="1" applyProtection="1">
      <alignment horizontal="justify" vertical="center" wrapText="1"/>
      <protection hidden="1"/>
    </xf>
    <xf numFmtId="0" fontId="14" fillId="0" borderId="0" xfId="0" applyFont="1" applyAlignment="1" applyProtection="1">
      <alignment horizontal="justify" vertical="center" wrapText="1"/>
      <protection hidden="1"/>
    </xf>
    <xf numFmtId="0" fontId="14" fillId="0" borderId="5" xfId="0" applyFont="1" applyBorder="1" applyAlignment="1" applyProtection="1">
      <alignment horizontal="justify" vertical="center" wrapText="1"/>
      <protection hidden="1"/>
    </xf>
    <xf numFmtId="0" fontId="14" fillId="0" borderId="20" xfId="0" applyFont="1" applyBorder="1" applyAlignment="1" applyProtection="1">
      <alignment horizontal="justify" vertical="center" wrapText="1"/>
      <protection hidden="1"/>
    </xf>
    <xf numFmtId="0" fontId="14" fillId="0" borderId="21" xfId="0" applyFont="1" applyBorder="1" applyAlignment="1" applyProtection="1">
      <alignment horizontal="justify" vertical="center" wrapText="1"/>
      <protection hidden="1"/>
    </xf>
    <xf numFmtId="0" fontId="14" fillId="0" borderId="22" xfId="0" applyFont="1" applyBorder="1" applyAlignment="1" applyProtection="1">
      <alignment horizontal="justify" vertical="center" wrapText="1"/>
      <protection hidden="1"/>
    </xf>
    <xf numFmtId="0" fontId="15" fillId="2" borderId="29" xfId="0" applyFont="1" applyFill="1" applyBorder="1" applyAlignment="1" applyProtection="1">
      <alignment horizontal="right" vertical="center"/>
      <protection hidden="1"/>
    </xf>
    <xf numFmtId="0" fontId="15" fillId="2" borderId="27" xfId="0" applyFont="1" applyFill="1" applyBorder="1" applyAlignment="1" applyProtection="1">
      <alignment horizontal="right" vertical="center"/>
      <protection hidden="1"/>
    </xf>
    <xf numFmtId="0" fontId="15" fillId="2" borderId="28" xfId="0" applyFont="1" applyFill="1" applyBorder="1" applyAlignment="1" applyProtection="1">
      <alignment horizontal="right" vertical="center"/>
      <protection hidden="1"/>
    </xf>
    <xf numFmtId="167" fontId="6" fillId="2" borderId="29" xfId="1" applyNumberFormat="1" applyFont="1" applyFill="1" applyBorder="1" applyAlignment="1" applyProtection="1">
      <alignment horizontal="center" vertical="center"/>
      <protection hidden="1"/>
    </xf>
    <xf numFmtId="167" fontId="6" fillId="2" borderId="27" xfId="1" applyNumberFormat="1" applyFont="1" applyFill="1" applyBorder="1" applyAlignment="1" applyProtection="1">
      <alignment horizontal="center" vertical="center"/>
      <protection hidden="1"/>
    </xf>
    <xf numFmtId="167" fontId="6" fillId="2" borderId="30" xfId="1" applyNumberFormat="1" applyFont="1" applyFill="1" applyBorder="1" applyAlignment="1" applyProtection="1">
      <alignment horizontal="center" vertical="center"/>
      <protection hidden="1"/>
    </xf>
    <xf numFmtId="166" fontId="9" fillId="2" borderId="29" xfId="1" applyNumberFormat="1" applyFont="1" applyFill="1" applyBorder="1" applyAlignment="1" applyProtection="1">
      <alignment horizontal="center" vertical="center"/>
      <protection hidden="1"/>
    </xf>
    <xf numFmtId="166" fontId="9" fillId="2" borderId="27" xfId="1" applyNumberFormat="1" applyFont="1" applyFill="1" applyBorder="1" applyAlignment="1" applyProtection="1">
      <alignment horizontal="center" vertical="center"/>
      <protection hidden="1"/>
    </xf>
    <xf numFmtId="166" fontId="9" fillId="2" borderId="30" xfId="1" applyNumberFormat="1" applyFont="1" applyFill="1" applyBorder="1" applyAlignment="1" applyProtection="1">
      <alignment horizontal="center" vertical="center"/>
      <protection hidden="1"/>
    </xf>
    <xf numFmtId="0" fontId="36" fillId="0" borderId="1" xfId="0" applyFont="1" applyBorder="1" applyAlignment="1" applyProtection="1">
      <alignment horizontal="right" vertical="center" wrapText="1"/>
      <protection locked="0" hidden="1"/>
    </xf>
    <xf numFmtId="0" fontId="36" fillId="0" borderId="2" xfId="0" applyFont="1" applyBorder="1" applyAlignment="1" applyProtection="1">
      <alignment horizontal="right" vertical="center" wrapText="1"/>
      <protection locked="0" hidden="1"/>
    </xf>
    <xf numFmtId="0" fontId="11" fillId="0" borderId="2" xfId="0" applyFont="1" applyBorder="1" applyAlignment="1" applyProtection="1">
      <alignment horizontal="left" vertical="center"/>
      <protection hidden="1"/>
    </xf>
    <xf numFmtId="0" fontId="27" fillId="0" borderId="2" xfId="0" applyFont="1" applyBorder="1" applyAlignment="1" applyProtection="1">
      <alignment horizontal="left" vertical="center" wrapText="1"/>
      <protection locked="0"/>
    </xf>
    <xf numFmtId="0" fontId="27" fillId="0" borderId="3" xfId="0" applyFont="1" applyBorder="1" applyAlignment="1" applyProtection="1">
      <alignment horizontal="left" vertical="center" wrapText="1"/>
      <protection locked="0"/>
    </xf>
    <xf numFmtId="0" fontId="7" fillId="0" borderId="9" xfId="0" applyFont="1" applyBorder="1" applyAlignment="1" applyProtection="1">
      <alignment horizontal="left" vertical="center"/>
      <protection hidden="1"/>
    </xf>
    <xf numFmtId="0" fontId="7" fillId="0" borderId="10" xfId="0" applyFont="1" applyBorder="1" applyAlignment="1" applyProtection="1">
      <alignment horizontal="left" vertical="center"/>
      <protection hidden="1"/>
    </xf>
    <xf numFmtId="0" fontId="8" fillId="0" borderId="10" xfId="0" applyFont="1" applyBorder="1" applyAlignment="1" applyProtection="1">
      <alignment horizontal="left" vertical="center"/>
      <protection locked="0" hidden="1"/>
    </xf>
    <xf numFmtId="166" fontId="9" fillId="0" borderId="9" xfId="1" applyNumberFormat="1" applyFont="1" applyBorder="1" applyAlignment="1" applyProtection="1">
      <alignment horizontal="center" vertical="center"/>
      <protection hidden="1"/>
    </xf>
    <xf numFmtId="166" fontId="9" fillId="0" borderId="10" xfId="1" applyNumberFormat="1" applyFont="1" applyBorder="1" applyAlignment="1" applyProtection="1">
      <alignment horizontal="center" vertical="center"/>
      <protection hidden="1"/>
    </xf>
    <xf numFmtId="166" fontId="9" fillId="0" borderId="13" xfId="1" applyNumberFormat="1" applyFont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left" vertical="center"/>
      <protection locked="0" hidden="1"/>
    </xf>
    <xf numFmtId="0" fontId="7" fillId="0" borderId="10" xfId="0" applyFont="1" applyBorder="1" applyAlignment="1" applyProtection="1">
      <alignment horizontal="left" vertical="center"/>
      <protection locked="0" hidden="1"/>
    </xf>
    <xf numFmtId="0" fontId="7" fillId="0" borderId="11" xfId="0" applyFont="1" applyBorder="1" applyAlignment="1" applyProtection="1">
      <alignment horizontal="left" vertical="center"/>
      <protection locked="0" hidden="1"/>
    </xf>
    <xf numFmtId="0" fontId="0" fillId="0" borderId="0" xfId="0" applyAlignment="1" applyProtection="1">
      <alignment horizontal="left" vertical="top" wrapText="1"/>
      <protection locked="0"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9" fillId="0" borderId="0" xfId="0" applyFont="1" applyAlignment="1" applyProtection="1">
      <alignment horizontal="center" vertical="center" wrapText="1"/>
      <protection locked="0"/>
    </xf>
    <xf numFmtId="0" fontId="7" fillId="0" borderId="9" xfId="0" applyFont="1" applyBorder="1" applyAlignment="1" applyProtection="1">
      <alignment horizontal="left" vertical="center"/>
      <protection locked="0"/>
    </xf>
    <xf numFmtId="0" fontId="7" fillId="0" borderId="10" xfId="0" applyFont="1" applyBorder="1" applyAlignment="1" applyProtection="1">
      <alignment horizontal="left" vertical="center"/>
      <protection locked="0"/>
    </xf>
    <xf numFmtId="0" fontId="7" fillId="0" borderId="11" xfId="0" applyFont="1" applyBorder="1" applyAlignment="1" applyProtection="1">
      <alignment horizontal="left" vertical="center"/>
      <protection locked="0"/>
    </xf>
    <xf numFmtId="164" fontId="7" fillId="0" borderId="9" xfId="0" applyNumberFormat="1" applyFont="1" applyBorder="1" applyAlignment="1" applyProtection="1">
      <alignment horizontal="center" vertical="center"/>
      <protection hidden="1"/>
    </xf>
    <xf numFmtId="164" fontId="7" fillId="0" borderId="10" xfId="0" applyNumberFormat="1" applyFont="1" applyBorder="1" applyAlignment="1" applyProtection="1">
      <alignment horizontal="center" vertical="center"/>
      <protection hidden="1"/>
    </xf>
    <xf numFmtId="164" fontId="7" fillId="0" borderId="13" xfId="0" applyNumberFormat="1" applyFont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locked="0" hidden="1"/>
    </xf>
    <xf numFmtId="0" fontId="7" fillId="0" borderId="10" xfId="0" applyFont="1" applyBorder="1" applyAlignment="1" applyProtection="1">
      <alignment horizontal="center" vertical="center"/>
      <protection locked="0" hidden="1"/>
    </xf>
    <xf numFmtId="0" fontId="7" fillId="0" borderId="13" xfId="0" applyFont="1" applyBorder="1" applyAlignment="1" applyProtection="1">
      <alignment horizontal="center" vertical="center"/>
      <protection locked="0" hidden="1"/>
    </xf>
    <xf numFmtId="0" fontId="7" fillId="0" borderId="9" xfId="0" applyFont="1" applyBorder="1" applyAlignment="1" applyProtection="1">
      <alignment horizontal="center" vertical="center" wrapText="1"/>
      <protection locked="0" hidden="1"/>
    </xf>
    <xf numFmtId="0" fontId="7" fillId="0" borderId="10" xfId="0" applyFont="1" applyBorder="1" applyAlignment="1" applyProtection="1">
      <alignment horizontal="center" vertical="center" wrapText="1"/>
      <protection locked="0" hidden="1"/>
    </xf>
    <xf numFmtId="0" fontId="7" fillId="0" borderId="13" xfId="0" applyFont="1" applyBorder="1" applyAlignment="1" applyProtection="1">
      <alignment horizontal="center" vertical="center" wrapText="1"/>
      <protection locked="0" hidden="1"/>
    </xf>
    <xf numFmtId="0" fontId="6" fillId="0" borderId="15" xfId="0" applyFont="1" applyBorder="1" applyAlignment="1" applyProtection="1">
      <alignment horizontal="center" vertical="center" textRotation="90"/>
      <protection hidden="1"/>
    </xf>
    <xf numFmtId="0" fontId="6" fillId="0" borderId="16" xfId="0" applyFont="1" applyBorder="1" applyAlignment="1" applyProtection="1">
      <alignment horizontal="center" vertical="center" textRotation="90"/>
      <protection hidden="1"/>
    </xf>
    <xf numFmtId="0" fontId="6" fillId="0" borderId="4" xfId="0" applyFont="1" applyBorder="1" applyAlignment="1" applyProtection="1">
      <alignment horizontal="center" vertical="center" textRotation="90"/>
      <protection hidden="1"/>
    </xf>
    <xf numFmtId="0" fontId="6" fillId="0" borderId="6" xfId="0" applyFont="1" applyBorder="1" applyAlignment="1" applyProtection="1">
      <alignment horizontal="center" vertical="center" textRotation="90"/>
      <protection hidden="1"/>
    </xf>
    <xf numFmtId="0" fontId="7" fillId="0" borderId="11" xfId="0" applyFont="1" applyBorder="1" applyAlignment="1" applyProtection="1">
      <alignment horizontal="left" vertical="center"/>
      <protection hidden="1"/>
    </xf>
    <xf numFmtId="166" fontId="6" fillId="0" borderId="9" xfId="1" applyNumberFormat="1" applyFont="1" applyBorder="1" applyAlignment="1" applyProtection="1">
      <alignment horizontal="center" vertical="center"/>
      <protection hidden="1"/>
    </xf>
    <xf numFmtId="166" fontId="6" fillId="0" borderId="10" xfId="1" applyNumberFormat="1" applyFont="1" applyBorder="1" applyAlignment="1" applyProtection="1">
      <alignment horizontal="center" vertical="center"/>
      <protection hidden="1"/>
    </xf>
    <xf numFmtId="166" fontId="6" fillId="0" borderId="13" xfId="1" applyNumberFormat="1" applyFont="1" applyBorder="1" applyAlignment="1" applyProtection="1">
      <alignment horizontal="center" vertical="center"/>
      <protection hidden="1"/>
    </xf>
    <xf numFmtId="0" fontId="0" fillId="0" borderId="1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25" xfId="0" applyFont="1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7" borderId="4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20" fillId="0" borderId="40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16" fillId="0" borderId="14" xfId="0" applyFont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vertical="center"/>
    </xf>
    <xf numFmtId="9" fontId="17" fillId="0" borderId="10" xfId="3" applyFont="1" applyBorder="1" applyAlignment="1" applyProtection="1">
      <alignment vertical="center"/>
      <protection hidden="1"/>
    </xf>
    <xf numFmtId="0" fontId="33" fillId="0" borderId="11" xfId="0" applyFont="1" applyBorder="1"/>
    <xf numFmtId="0" fontId="33" fillId="0" borderId="34" xfId="0" applyFont="1" applyBorder="1"/>
    <xf numFmtId="0" fontId="33" fillId="0" borderId="37" xfId="0" applyFont="1" applyBorder="1"/>
    <xf numFmtId="0" fontId="33" fillId="0" borderId="0" xfId="0" applyFont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38" fillId="0" borderId="0" xfId="0" applyFont="1" applyAlignment="1">
      <alignment horizont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166" fontId="9" fillId="0" borderId="25" xfId="1" applyNumberFormat="1" applyFont="1" applyBorder="1" applyAlignment="1" applyProtection="1">
      <alignment horizontal="center" vertical="center"/>
      <protection hidden="1"/>
    </xf>
    <xf numFmtId="166" fontId="9" fillId="0" borderId="7" xfId="1" applyNumberFormat="1" applyFont="1" applyBorder="1" applyAlignment="1" applyProtection="1">
      <alignment horizontal="center" vertical="center"/>
      <protection hidden="1"/>
    </xf>
    <xf numFmtId="166" fontId="9" fillId="0" borderId="8" xfId="1" applyNumberFormat="1" applyFont="1" applyBorder="1" applyAlignment="1" applyProtection="1">
      <alignment horizontal="center" vertical="center"/>
      <protection hidden="1"/>
    </xf>
    <xf numFmtId="168" fontId="6" fillId="0" borderId="9" xfId="1" applyNumberFormat="1" applyFont="1" applyFill="1" applyBorder="1" applyAlignment="1" applyProtection="1">
      <alignment horizontal="center" vertical="center" wrapText="1"/>
      <protection hidden="1"/>
    </xf>
    <xf numFmtId="168" fontId="6" fillId="0" borderId="10" xfId="1" applyNumberFormat="1" applyFont="1" applyFill="1" applyBorder="1" applyAlignment="1" applyProtection="1">
      <alignment horizontal="center" vertical="center"/>
      <protection hidden="1"/>
    </xf>
    <xf numFmtId="168" fontId="6" fillId="0" borderId="13" xfId="1" applyNumberFormat="1" applyFont="1" applyFill="1" applyBorder="1" applyAlignment="1" applyProtection="1">
      <alignment horizontal="center" vertical="center"/>
      <protection hidden="1"/>
    </xf>
  </cellXfs>
  <cellStyles count="5">
    <cellStyle name="Comma" xfId="1" builtinId="3"/>
    <cellStyle name="Normal" xfId="0" builtinId="0"/>
    <cellStyle name="Normal 2" xfId="2" xr:uid="{76E6EF4A-6A32-4A1A-900F-4F5259977914}"/>
    <cellStyle name="Normal 2 2" xfId="4" xr:uid="{083D70E8-6C61-4DC4-9583-56E8DC3AA8CC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131717</xdr:colOff>
      <xdr:row>1</xdr:row>
      <xdr:rowOff>105047</xdr:rowOff>
    </xdr:from>
    <xdr:to>
      <xdr:col>3</xdr:col>
      <xdr:colOff>313637</xdr:colOff>
      <xdr:row>2</xdr:row>
      <xdr:rowOff>211727</xdr:rowOff>
    </xdr:to>
    <xdr:pic>
      <xdr:nvPicPr>
        <xdr:cNvPr id="3" name="Picture 2" descr="hyundai">
          <a:extLst>
            <a:ext uri="{FF2B5EF4-FFF2-40B4-BE49-F238E27FC236}">
              <a16:creationId xmlns:a16="http://schemas.microsoft.com/office/drawing/2014/main" id="{C1BEBFB0-CCF1-42CA-999B-039EED9EE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917" y="173627"/>
          <a:ext cx="17364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190500</xdr:colOff>
      <xdr:row>1</xdr:row>
      <xdr:rowOff>89807</xdr:rowOff>
    </xdr:from>
    <xdr:to>
      <xdr:col>15</xdr:col>
      <xdr:colOff>1544475</xdr:colOff>
      <xdr:row>2</xdr:row>
      <xdr:rowOff>297180</xdr:rowOff>
    </xdr:to>
    <xdr:pic>
      <xdr:nvPicPr>
        <xdr:cNvPr id="4" name="Picture 3" descr="HPromise-Logo">
          <a:extLst>
            <a:ext uri="{FF2B5EF4-FFF2-40B4-BE49-F238E27FC236}">
              <a16:creationId xmlns:a16="http://schemas.microsoft.com/office/drawing/2014/main" id="{5C714846-C655-48C4-85A8-5F20AA9DA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2180" y="158387"/>
          <a:ext cx="1719735" cy="3902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7C1ED-330B-4587-A97C-1F44A0F8036F}">
  <sheetPr codeName="Sheet1">
    <pageSetUpPr fitToPage="1"/>
  </sheetPr>
  <dimension ref="A1:AH39"/>
  <sheetViews>
    <sheetView showGridLines="0" tabSelected="1" zoomScaleNormal="100" zoomScaleSheetLayoutView="115" workbookViewId="0">
      <selection activeCell="E5" sqref="E5:N5"/>
    </sheetView>
  </sheetViews>
  <sheetFormatPr defaultColWidth="8.6640625" defaultRowHeight="14.4" x14ac:dyDescent="0.3"/>
  <cols>
    <col min="1" max="1" width="1.109375" style="125" customWidth="1"/>
    <col min="2" max="2" width="13.5546875" style="125" customWidth="1"/>
    <col min="3" max="3" width="9.109375" style="125" customWidth="1"/>
    <col min="4" max="4" width="8.6640625" style="125"/>
    <col min="5" max="5" width="15.88671875" style="125" customWidth="1"/>
    <col min="6" max="6" width="6.6640625" style="125" customWidth="1"/>
    <col min="7" max="7" width="1.33203125" style="125" customWidth="1"/>
    <col min="8" max="8" width="3.44140625" style="125" customWidth="1"/>
    <col min="9" max="9" width="1.109375" style="125" customWidth="1"/>
    <col min="10" max="10" width="2.33203125" style="125" customWidth="1"/>
    <col min="11" max="11" width="2" style="125" customWidth="1"/>
    <col min="12" max="12" width="12.88671875" style="125" customWidth="1"/>
    <col min="13" max="13" width="4.88671875" style="125" customWidth="1"/>
    <col min="14" max="14" width="3.88671875" style="125" customWidth="1"/>
    <col min="15" max="15" width="5.33203125" style="125" customWidth="1"/>
    <col min="16" max="16" width="24.6640625" style="125" customWidth="1"/>
    <col min="17" max="17" width="1.109375" style="125" customWidth="1"/>
    <col min="18" max="18" width="14.6640625" style="125" hidden="1" customWidth="1"/>
    <col min="19" max="19" width="3" style="125" hidden="1" customWidth="1"/>
    <col min="20" max="20" width="23.77734375" style="125" hidden="1" customWidth="1"/>
    <col min="21" max="34" width="0" style="125" hidden="1" customWidth="1"/>
    <col min="35" max="16384" width="8.6640625" style="125"/>
  </cols>
  <sheetData>
    <row r="1" spans="1:34" ht="5.4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4" x14ac:dyDescent="0.3">
      <c r="A2" s="1"/>
      <c r="B2" s="240" t="s">
        <v>25</v>
      </c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2"/>
      <c r="Q2" s="1"/>
    </row>
    <row r="3" spans="1:34" ht="25.2" customHeight="1" x14ac:dyDescent="0.3">
      <c r="A3" s="1"/>
      <c r="B3" s="243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5"/>
      <c r="Q3" s="1"/>
    </row>
    <row r="4" spans="1:34" ht="52.8" customHeight="1" x14ac:dyDescent="0.3">
      <c r="A4" s="1"/>
      <c r="B4" s="2"/>
      <c r="D4" s="170"/>
      <c r="E4" s="246" t="s">
        <v>769</v>
      </c>
      <c r="F4" s="246"/>
      <c r="G4" s="246"/>
      <c r="H4" s="246"/>
      <c r="I4" s="246"/>
      <c r="J4" s="246"/>
      <c r="K4" s="246"/>
      <c r="L4" s="246"/>
      <c r="M4" s="246"/>
      <c r="N4" s="246"/>
      <c r="O4" s="170"/>
      <c r="P4" s="3"/>
      <c r="Q4" s="1"/>
    </row>
    <row r="5" spans="1:34" ht="24.6" customHeight="1" x14ac:dyDescent="0.3">
      <c r="A5" s="1"/>
      <c r="B5" s="4"/>
      <c r="C5" s="5"/>
      <c r="D5" s="5"/>
      <c r="E5" s="176" t="s">
        <v>0</v>
      </c>
      <c r="F5" s="176"/>
      <c r="G5" s="176"/>
      <c r="H5" s="176"/>
      <c r="I5" s="176"/>
      <c r="J5" s="176"/>
      <c r="K5" s="176"/>
      <c r="L5" s="176"/>
      <c r="M5" s="176"/>
      <c r="N5" s="176"/>
      <c r="O5" s="5"/>
      <c r="P5" s="6"/>
      <c r="Q5" s="1"/>
      <c r="V5" s="126" t="s">
        <v>678</v>
      </c>
      <c r="W5" s="126" t="s">
        <v>35</v>
      </c>
    </row>
    <row r="6" spans="1:34" ht="24" customHeight="1" x14ac:dyDescent="0.35">
      <c r="A6" s="1"/>
      <c r="B6" s="63" t="s">
        <v>1</v>
      </c>
      <c r="C6" s="310"/>
      <c r="D6" s="311" t="s">
        <v>786</v>
      </c>
      <c r="E6" s="311"/>
      <c r="F6" s="311"/>
      <c r="G6" s="311"/>
      <c r="H6" s="311"/>
      <c r="I6" s="311"/>
      <c r="J6" s="312"/>
      <c r="K6" s="129"/>
      <c r="L6" s="64" t="s">
        <v>2</v>
      </c>
      <c r="M6" s="250">
        <f ca="1">IF(MONTH(TODAY())=5,
IF(LEN(TRIM(D6))&lt;4, "Enter Customer Name In Column",
IF(M28="","Select Sales Consultant Name",TODAY())),"I N V A L I D")</f>
        <v>45434</v>
      </c>
      <c r="N6" s="251"/>
      <c r="O6" s="251"/>
      <c r="P6" s="252"/>
      <c r="Q6" s="1"/>
      <c r="T6" s="127" t="s">
        <v>677</v>
      </c>
      <c r="V6" s="126" t="s">
        <v>679</v>
      </c>
      <c r="W6" s="126" t="s">
        <v>36</v>
      </c>
    </row>
    <row r="7" spans="1:34" ht="24" customHeight="1" x14ac:dyDescent="0.35">
      <c r="A7" s="1"/>
      <c r="B7" s="63" t="s">
        <v>3</v>
      </c>
      <c r="C7" s="247"/>
      <c r="D7" s="248"/>
      <c r="E7" s="248"/>
      <c r="F7" s="248"/>
      <c r="G7" s="248"/>
      <c r="H7" s="248"/>
      <c r="I7" s="248"/>
      <c r="J7" s="249"/>
      <c r="K7" s="130"/>
      <c r="L7" s="64" t="s">
        <v>4</v>
      </c>
      <c r="M7" s="253" t="s">
        <v>65</v>
      </c>
      <c r="N7" s="254"/>
      <c r="O7" s="254"/>
      <c r="P7" s="255"/>
      <c r="Q7" s="1"/>
      <c r="T7" s="127" t="s">
        <v>685</v>
      </c>
      <c r="V7" s="126" t="s">
        <v>680</v>
      </c>
      <c r="W7" s="126" t="s">
        <v>37</v>
      </c>
    </row>
    <row r="8" spans="1:34" ht="24" customHeight="1" x14ac:dyDescent="0.35">
      <c r="A8" s="1"/>
      <c r="B8" s="65"/>
      <c r="C8" s="247"/>
      <c r="D8" s="248"/>
      <c r="E8" s="248"/>
      <c r="F8" s="248"/>
      <c r="G8" s="248"/>
      <c r="H8" s="248"/>
      <c r="I8" s="248"/>
      <c r="J8" s="249"/>
      <c r="K8" s="130"/>
      <c r="L8" s="64" t="s">
        <v>5</v>
      </c>
      <c r="M8" s="256" t="s">
        <v>550</v>
      </c>
      <c r="N8" s="257"/>
      <c r="O8" s="257"/>
      <c r="P8" s="258"/>
      <c r="Q8" s="1"/>
      <c r="T8" s="128" t="s">
        <v>686</v>
      </c>
      <c r="V8" s="126" t="s">
        <v>681</v>
      </c>
      <c r="W8" s="126" t="s">
        <v>38</v>
      </c>
    </row>
    <row r="9" spans="1:34" ht="24" customHeight="1" x14ac:dyDescent="0.35">
      <c r="A9" s="1"/>
      <c r="B9" s="63" t="s">
        <v>34</v>
      </c>
      <c r="C9" s="247"/>
      <c r="D9" s="248"/>
      <c r="E9" s="248"/>
      <c r="F9" s="248"/>
      <c r="G9" s="248"/>
      <c r="H9" s="248"/>
      <c r="I9" s="248"/>
      <c r="J9" s="249"/>
      <c r="K9" s="130"/>
      <c r="L9" s="64" t="s">
        <v>6</v>
      </c>
      <c r="M9" s="253" t="s">
        <v>508</v>
      </c>
      <c r="N9" s="254"/>
      <c r="O9" s="254"/>
      <c r="P9" s="255"/>
      <c r="Q9" s="1"/>
      <c r="V9" s="126" t="s">
        <v>682</v>
      </c>
      <c r="W9" s="126" t="s">
        <v>39</v>
      </c>
    </row>
    <row r="10" spans="1:34" ht="8.4" customHeight="1" x14ac:dyDescent="0.3">
      <c r="A10" s="1"/>
      <c r="B10" s="132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3"/>
      <c r="Q10" s="1"/>
      <c r="V10" s="126" t="s">
        <v>683</v>
      </c>
      <c r="W10" s="126" t="s">
        <v>40</v>
      </c>
    </row>
    <row r="11" spans="1:34" ht="26.4" customHeight="1" x14ac:dyDescent="0.3">
      <c r="A11" s="1"/>
      <c r="B11" s="259" t="s">
        <v>7</v>
      </c>
      <c r="C11" s="230" t="s">
        <v>8</v>
      </c>
      <c r="D11" s="231"/>
      <c r="E11" s="231"/>
      <c r="F11" s="231"/>
      <c r="G11" s="231"/>
      <c r="H11" s="231"/>
      <c r="I11" s="231"/>
      <c r="J11" s="231"/>
      <c r="K11" s="231"/>
      <c r="L11" s="263"/>
      <c r="M11" s="264">
        <f ca="1">IF(M6="I N V A L I D", 0,IF(M6="Enter Customer Name In Column",0,IF(M6="Select Sales Consultant Name",0, IFERROR(VLOOKUP(M8,Prices!D3:E178,2,0),0))))</f>
        <v>1012500</v>
      </c>
      <c r="N11" s="265"/>
      <c r="O11" s="265"/>
      <c r="P11" s="266"/>
      <c r="Q11" s="1"/>
      <c r="V11" s="126" t="s">
        <v>684</v>
      </c>
      <c r="W11" s="126" t="s">
        <v>41</v>
      </c>
    </row>
    <row r="12" spans="1:34" ht="26.4" customHeight="1" x14ac:dyDescent="0.3">
      <c r="A12" s="1"/>
      <c r="B12" s="260"/>
      <c r="C12" s="230" t="s">
        <v>9</v>
      </c>
      <c r="D12" s="231"/>
      <c r="E12" s="231"/>
      <c r="F12" s="231"/>
      <c r="G12" s="231"/>
      <c r="H12" s="231"/>
      <c r="I12" s="231"/>
      <c r="J12" s="231"/>
      <c r="K12" s="231"/>
      <c r="L12" s="263"/>
      <c r="M12" s="264">
        <f ca="1">IF(M11=0,0,IFERROR(ROUNDUP(VLOOKUP(M8,Prices!D3:F178,3,0),0),0))</f>
        <v>10125</v>
      </c>
      <c r="N12" s="265"/>
      <c r="O12" s="265"/>
      <c r="P12" s="266"/>
      <c r="Q12" s="1"/>
    </row>
    <row r="13" spans="1:34" ht="26.4" customHeight="1" x14ac:dyDescent="0.3">
      <c r="A13" s="1"/>
      <c r="B13" s="260"/>
      <c r="C13" s="236" t="s">
        <v>76</v>
      </c>
      <c r="D13" s="237"/>
      <c r="E13" s="237"/>
      <c r="F13" s="237"/>
      <c r="G13" s="237"/>
      <c r="H13" s="237"/>
      <c r="I13" s="237"/>
      <c r="J13" s="237"/>
      <c r="K13" s="237"/>
      <c r="L13" s="238"/>
      <c r="M13" s="316">
        <f ca="1">IF(M11=0,0,
IF(M6="I N V A L I D", 0,
IFERROR(IF(C13="Self Registration",
IF(M11=0,0,2500),
IF(C13="Registration (UP)",VLOOKUP(M8,Prices!D3:AU178,13,0)+IF(E4=Data!B167,0),
IF(C13="Registration (Individual Delhi)",VLOOKUP(M8,Prices!D3:AU178,14,0),
IF(C13="Registration (Company Delhi)", VLOOKUP(M8,Prices!D3:AU178,14,0)+VLOOKUP(M8,Prices!D3:AU178,16,0),
IF(C13="Registration (Haryana)",VLOOKUP(M8,Prices!D3:AU178,15,0)+Data!C43+IF(OR(E4=Data!B166,E4=Data!B167),2500),
IF(C13="Registration (BH Series UP)", VLOOKUP(M8,Prices!D3:AU178,19,0)+Data!C30,
IF(C13="Registration (BH Series Delhi)", VLOOKUP(M8,Prices!D3:AU178,19,0)+Data!C19,
IF(C13="Registration (BH Series Haryana)", VLOOKUP(M8,Prices!D3:AU178,19,0)+Data!C43,0)))))))),0)))</f>
        <v>8530</v>
      </c>
      <c r="N13" s="317"/>
      <c r="O13" s="317"/>
      <c r="P13" s="318"/>
      <c r="Q13" s="1"/>
    </row>
    <row r="14" spans="1:34" ht="26.4" customHeight="1" x14ac:dyDescent="0.3">
      <c r="A14" s="1"/>
      <c r="B14" s="260"/>
      <c r="C14" s="236" t="s">
        <v>37</v>
      </c>
      <c r="D14" s="237"/>
      <c r="E14" s="237"/>
      <c r="F14" s="237"/>
      <c r="G14" s="237"/>
      <c r="H14" s="237"/>
      <c r="I14" s="237"/>
      <c r="J14" s="237"/>
      <c r="K14" s="12"/>
      <c r="L14" s="303">
        <f ca="1">IF(M11=0,"",VLOOKUP(M8,Prices!D3:AU178,44,0))</f>
        <v>0.6</v>
      </c>
      <c r="M14" s="201">
        <f ca="1">IF(M11=0,0,
IF(M6="I N V A L I D",0,IFERROR(
IF(C14=Data!B7,0,
IF(ISNUMBER(SEARCH("Delhi",C13)),
IF(C14=Data!B7,0,IF(C14=Data!B1,VLOOKUP(M8,Prices!D3:AU178,5),
IF(C14=Data!B2,VLOOKUP(M8,Prices!D3:AU178,5,0)+VLOOKUP(M8,Prices!D3:AU178,11,0),
IF(C14=Data!B3,VLOOKUP(M8,Prices!D3:AU178,8,0)+VLOOKUP(M8,Prices!D3:AU178,9,0),
IF(C14=Data!B4,VLOOKUP(M8,Prices!D3:AU178,8,0)+VLOOKUP(M8,Prices!D3:AU178,10,0),
IF(C14=Data!B5,VLOOKUP(M8,Prices!D3:AU178,8,0)+VLOOKUP(M8,Prices!D3:AU178,11,0),
IF(C14=Data!B6,VLOOKUP(M8,Prices!D3:AU178,8,0)+VLOOKUP(M8,Prices!D3:AU178,12,0)+VLOOKUP(M8,Prices!D3:AU178,11,0)))))))),
IF(C14=Data!B7,0,IF(C14=Data!B1,VLOOKUP(M8,Prices!D3:AU178,4,0),
IF(C14=Data!B2,VLOOKUP(M8,Prices!D3:AU178,4,0)+VLOOKUP(M8,Prices!D3:AU178,11,0),
IF(C14=Data!B3,VLOOKUP(M8,Prices!D3:AU178,7,0)+VLOOKUP(M8,Prices!D3:AU178,9,0),
IF(C14=Data!B4,VLOOKUP(M8,Prices!D3:AU178,7,0)+VLOOKUP(M8,Prices!D3:AU178,10,0),
IF(C14=Data!B5,VLOOKUP(M8,Prices!D3:AU178,7,0)+VLOOKUP(M8,Prices!D3:AU178,11,0),
IF(C14=Data!B6,VLOOKUP(M8,Prices!D3:AU178,7,0)+VLOOKUP(M8,Prices!D3:AU178,12,0)+VLOOKUP(M8,Prices!D3:AU178,11,0)))))))))),0)))</f>
        <v>34077.70955</v>
      </c>
      <c r="N14" s="202"/>
      <c r="O14" s="202"/>
      <c r="P14" s="203"/>
      <c r="Q14" s="1"/>
      <c r="S14" s="125">
        <v>13</v>
      </c>
      <c r="T14" s="125" t="s">
        <v>250</v>
      </c>
      <c r="U14" s="239" t="s">
        <v>676</v>
      </c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</row>
    <row r="15" spans="1:34" ht="26.4" customHeight="1" x14ac:dyDescent="0.3">
      <c r="A15" s="1"/>
      <c r="B15" s="260"/>
      <c r="C15" s="236" t="s">
        <v>10</v>
      </c>
      <c r="D15" s="237"/>
      <c r="E15" s="237"/>
      <c r="F15" s="232" t="s">
        <v>787</v>
      </c>
      <c r="G15" s="232"/>
      <c r="H15" s="232"/>
      <c r="I15" s="232"/>
      <c r="J15" s="232"/>
      <c r="K15" s="232"/>
      <c r="L15" s="232"/>
      <c r="M15" s="201">
        <f ca="1">IF(M11=0,0,IFERROR(IF(F15="Applicable",VLOOKUP(M8,Prices!D3:AU178,17,0),0),0))</f>
        <v>9994</v>
      </c>
      <c r="N15" s="202"/>
      <c r="O15" s="202"/>
      <c r="P15" s="203"/>
      <c r="Q15" s="1"/>
      <c r="S15" s="125">
        <v>14</v>
      </c>
      <c r="T15" s="125" t="s">
        <v>251</v>
      </c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</row>
    <row r="16" spans="1:34" ht="26.4" customHeight="1" x14ac:dyDescent="0.3">
      <c r="A16" s="1"/>
      <c r="B16" s="260"/>
      <c r="C16" s="236" t="s">
        <v>767</v>
      </c>
      <c r="D16" s="237"/>
      <c r="E16" s="237"/>
      <c r="F16" s="232" t="s">
        <v>16</v>
      </c>
      <c r="G16" s="232"/>
      <c r="H16" s="232"/>
      <c r="I16" s="232"/>
      <c r="J16" s="232"/>
      <c r="K16" s="232"/>
      <c r="L16" s="232"/>
      <c r="M16" s="201">
        <f ca="1">IF(M11=0,0,
IFERROR(
IF(C16="Extended Warranty",
IF(F16="4th Yr/80K",VLOOKUP(M8,Prices!D3:AU178,41,0),
IF(F16="4th Yr/100K",VLOOKUP(M8,Prices!D3:AU178,42,0),
IF(F16="4th-5th Yr/100K",VLOOKUP(M8,Prices!D3:AU178,18,0),
IF(F16="4th-5th Yr/120K",VLOOKUP(M8,Prices!D3:AU178,25,0),
IF(F16="4th-5th Yr/140K",VLOOKUP(M8,Prices!D3:AU178,26,0),
IF(F16="4th-5th-6th-7th Yr/100K",VLOOKUP(M8,Prices!D3:AU178,32,0),0)))))),
IF(F16="4th Yr/80K",VLOOKUP(M8,Prices!D3:AU178,41,0)+2136,IF(F16="4th Yr/100K",VLOOKUP(M8,Prices!D3:AU178,42,0)+2136,
IF(F16="4th-5th Yr/100K",VLOOKUP(M8,Prices!D3:AU178,18,0)+2136,
IF(F16="4th-5th Yr/120K",VLOOKUP(M8,Prices!D3:AU178,25,0)+2136,
IF(F16="4th-5th Yr/140K",VLOOKUP(M8,Prices!D3:AU178,26,0)+2136,
IF(F16="4th-5th-6th-7th Yr/100K",VLOOKUP(M8,Prices!D3:AU178,32,0)+2136,0))))))),0))</f>
        <v>0</v>
      </c>
      <c r="N16" s="202"/>
      <c r="O16" s="202"/>
      <c r="P16" s="203"/>
      <c r="Q16" s="1"/>
      <c r="S16" s="125">
        <v>15</v>
      </c>
      <c r="T16" s="125" t="s">
        <v>252</v>
      </c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</row>
    <row r="17" spans="1:34" ht="26.4" customHeight="1" x14ac:dyDescent="0.3">
      <c r="A17" s="1"/>
      <c r="B17" s="260"/>
      <c r="C17" s="236" t="s">
        <v>31</v>
      </c>
      <c r="D17" s="237"/>
      <c r="E17" s="237"/>
      <c r="F17" s="232" t="s">
        <v>226</v>
      </c>
      <c r="G17" s="232"/>
      <c r="H17" s="232"/>
      <c r="I17" s="232"/>
      <c r="J17" s="232"/>
      <c r="K17" s="232"/>
      <c r="L17" s="232"/>
      <c r="M17" s="201">
        <f ca="1">IF(M11=0,0,IF(F17="SOT 2Yr/40K",VLOOKUP(M7,Data!B133:G145,2,0),IF(F17="SOT 3Yr/45K",VLOOKUP(M7,Data!B133:G145,3,0),IF(F17="SOT 4Yr/45K",VLOOKUP(M7,Data!B133:G145,4,0),IF(F17="SOT 4Yr/60K",VLOOKUP(M7,Data!B133:G145,5,0),IF(F17="SOT 5Yr/60K",VLOOKUP(M7,Data!B133:G145,6,0),
IF(F17="Super SOT 2Yr/20K",VLOOKUP(M8,Prices!D3:AU178,28,0),
IF(F17="Super SOT 3Yr/30K",VLOOKUP(M8,Prices!D3:AU178,29,0),
IF(F17="Super SOT 4Yr/40K",VLOOKUP(M8,Prices!D3:AU178,30,0),
IF(F17="Super SOT 5Yr/50K",VLOOKUP(M8,Prices!D3:AU178,31,0),0))))))))))</f>
        <v>11099</v>
      </c>
      <c r="N17" s="202"/>
      <c r="O17" s="202"/>
      <c r="P17" s="203"/>
      <c r="Q17" s="1"/>
      <c r="S17" s="125">
        <v>16</v>
      </c>
      <c r="T17" s="125" t="s">
        <v>253</v>
      </c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</row>
    <row r="18" spans="1:34" ht="26.4" customHeight="1" x14ac:dyDescent="0.3">
      <c r="A18" s="1"/>
      <c r="B18" s="260"/>
      <c r="C18" s="230" t="s">
        <v>12</v>
      </c>
      <c r="D18" s="231"/>
      <c r="E18" s="231"/>
      <c r="F18" s="232" t="s">
        <v>787</v>
      </c>
      <c r="G18" s="232"/>
      <c r="H18" s="232"/>
      <c r="I18" s="232"/>
      <c r="J18" s="232"/>
      <c r="K18" s="232"/>
      <c r="L18" s="232"/>
      <c r="M18" s="201">
        <f ca="1">IF(M11=0,0,IFERROR(IF(F18="Applicable",VLOOKUP(M8,Prices!D3:AU178,20,0),0),0))</f>
        <v>9500</v>
      </c>
      <c r="N18" s="202"/>
      <c r="O18" s="202"/>
      <c r="P18" s="203"/>
      <c r="Q18" s="1"/>
      <c r="S18" s="125">
        <v>17</v>
      </c>
      <c r="T18" s="125" t="s">
        <v>254</v>
      </c>
      <c r="U18" s="239"/>
      <c r="V18" s="239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</row>
    <row r="19" spans="1:34" ht="26.4" customHeight="1" x14ac:dyDescent="0.3">
      <c r="A19" s="1"/>
      <c r="B19" s="260"/>
      <c r="C19" s="230" t="s">
        <v>33</v>
      </c>
      <c r="D19" s="231"/>
      <c r="E19" s="231"/>
      <c r="F19" s="232" t="s">
        <v>787</v>
      </c>
      <c r="G19" s="232"/>
      <c r="H19" s="232"/>
      <c r="I19" s="232"/>
      <c r="J19" s="232"/>
      <c r="K19" s="232"/>
      <c r="L19" s="232"/>
      <c r="M19" s="201">
        <f ca="1">IF(M11=0,0,IFERROR(IF(F19="Applicable",600,0),0))</f>
        <v>600</v>
      </c>
      <c r="N19" s="202"/>
      <c r="O19" s="202"/>
      <c r="P19" s="203"/>
      <c r="Q19" s="1"/>
      <c r="S19" s="125">
        <v>18</v>
      </c>
      <c r="T19" s="125" t="s">
        <v>255</v>
      </c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</row>
    <row r="20" spans="1:34" ht="26.4" customHeight="1" thickBot="1" x14ac:dyDescent="0.35">
      <c r="A20" s="1"/>
      <c r="B20" s="260"/>
      <c r="C20" s="204" t="s">
        <v>13</v>
      </c>
      <c r="D20" s="205"/>
      <c r="E20" s="205"/>
      <c r="F20" s="205"/>
      <c r="G20" s="205"/>
      <c r="H20" s="205"/>
      <c r="I20" s="205"/>
      <c r="J20" s="205"/>
      <c r="K20" s="205"/>
      <c r="L20" s="206"/>
      <c r="M20" s="207">
        <v>0</v>
      </c>
      <c r="N20" s="208"/>
      <c r="O20" s="208"/>
      <c r="P20" s="209"/>
      <c r="Q20" s="1"/>
      <c r="S20" s="125">
        <v>19</v>
      </c>
      <c r="T20" s="125" t="s">
        <v>256</v>
      </c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</row>
    <row r="21" spans="1:34" ht="26.4" customHeight="1" thickBot="1" x14ac:dyDescent="0.35">
      <c r="A21" s="1"/>
      <c r="B21" s="261"/>
      <c r="C21" s="216" t="s">
        <v>26</v>
      </c>
      <c r="D21" s="217"/>
      <c r="E21" s="217"/>
      <c r="F21" s="217"/>
      <c r="G21" s="217"/>
      <c r="H21" s="217"/>
      <c r="I21" s="217"/>
      <c r="J21" s="217"/>
      <c r="K21" s="217"/>
      <c r="L21" s="218"/>
      <c r="M21" s="219">
        <f ca="1">SUM(M11:P20)</f>
        <v>1096425.70955</v>
      </c>
      <c r="N21" s="220"/>
      <c r="O21" s="220"/>
      <c r="P21" s="221"/>
      <c r="Q21" s="1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</row>
    <row r="22" spans="1:34" ht="26.4" customHeight="1" x14ac:dyDescent="0.3">
      <c r="A22" s="1"/>
      <c r="B22" s="260"/>
      <c r="C22" s="230" t="s">
        <v>14</v>
      </c>
      <c r="D22" s="231"/>
      <c r="E22" s="231"/>
      <c r="F22" s="232" t="s">
        <v>16</v>
      </c>
      <c r="G22" s="232"/>
      <c r="H22" s="232"/>
      <c r="I22" s="232"/>
      <c r="J22" s="232"/>
      <c r="K22" s="232"/>
      <c r="L22" s="232"/>
      <c r="M22" s="313">
        <f ca="1">IF(M11=0,0,IF(F22="APPLICABLE",VLOOKUP(M8,Prices!D3:AU178,22,0),0))</f>
        <v>0</v>
      </c>
      <c r="N22" s="314"/>
      <c r="O22" s="314"/>
      <c r="P22" s="315"/>
      <c r="Q22" s="1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</row>
    <row r="23" spans="1:34" ht="26.4" customHeight="1" x14ac:dyDescent="0.3">
      <c r="A23" s="1"/>
      <c r="B23" s="260"/>
      <c r="C23" s="230" t="s">
        <v>15</v>
      </c>
      <c r="D23" s="231"/>
      <c r="E23" s="231"/>
      <c r="F23" s="232" t="s">
        <v>16</v>
      </c>
      <c r="G23" s="232"/>
      <c r="H23" s="232"/>
      <c r="I23" s="232"/>
      <c r="J23" s="232"/>
      <c r="K23" s="232"/>
      <c r="L23" s="232"/>
      <c r="M23" s="233">
        <f ca="1">IF(M11=0,0,IF(F23="APPLICABLE",VLOOKUP(M8,Prices!D3:AU178,24,0),0))</f>
        <v>0</v>
      </c>
      <c r="N23" s="234"/>
      <c r="O23" s="234"/>
      <c r="P23" s="235"/>
      <c r="Q23" s="1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</row>
    <row r="24" spans="1:34" ht="26.4" customHeight="1" thickBot="1" x14ac:dyDescent="0.35">
      <c r="A24" s="1"/>
      <c r="B24" s="260"/>
      <c r="C24" s="185" t="s">
        <v>17</v>
      </c>
      <c r="D24" s="186"/>
      <c r="E24" s="186"/>
      <c r="F24" s="187" t="s">
        <v>16</v>
      </c>
      <c r="G24" s="187"/>
      <c r="H24" s="187"/>
      <c r="I24" s="187"/>
      <c r="J24" s="187"/>
      <c r="K24" s="187"/>
      <c r="L24" s="187"/>
      <c r="M24" s="188">
        <f ca="1">IF(M11=0,0,IFERROR(IF(F24="Not Applicable",0,IF(F24="Applicable",VLOOKUP(M8,Prices!D3:AU178,23,0),0)),0))</f>
        <v>0</v>
      </c>
      <c r="N24" s="189"/>
      <c r="O24" s="189"/>
      <c r="P24" s="190"/>
      <c r="Q24" s="1"/>
    </row>
    <row r="25" spans="1:34" ht="26.4" customHeight="1" thickBot="1" x14ac:dyDescent="0.35">
      <c r="A25" s="1"/>
      <c r="B25" s="261"/>
      <c r="C25" s="216" t="s">
        <v>27</v>
      </c>
      <c r="D25" s="217"/>
      <c r="E25" s="217"/>
      <c r="F25" s="217"/>
      <c r="G25" s="217"/>
      <c r="H25" s="217"/>
      <c r="I25" s="217"/>
      <c r="J25" s="217"/>
      <c r="K25" s="217"/>
      <c r="L25" s="218"/>
      <c r="M25" s="222">
        <f ca="1">SUM(M22:P24)</f>
        <v>0</v>
      </c>
      <c r="N25" s="223"/>
      <c r="O25" s="223"/>
      <c r="P25" s="224"/>
      <c r="Q25" s="1"/>
    </row>
    <row r="26" spans="1:34" ht="26.4" customHeight="1" thickBot="1" x14ac:dyDescent="0.35">
      <c r="A26" s="1"/>
      <c r="B26" s="262"/>
      <c r="C26" s="191" t="s">
        <v>28</v>
      </c>
      <c r="D26" s="192"/>
      <c r="E26" s="192"/>
      <c r="F26" s="192"/>
      <c r="G26" s="192"/>
      <c r="H26" s="192"/>
      <c r="I26" s="192"/>
      <c r="J26" s="192"/>
      <c r="K26" s="192"/>
      <c r="L26" s="193"/>
      <c r="M26" s="194">
        <f ca="1">M21-M25</f>
        <v>1096425.70955</v>
      </c>
      <c r="N26" s="195"/>
      <c r="O26" s="195"/>
      <c r="P26" s="196"/>
      <c r="Q26" s="1"/>
    </row>
    <row r="27" spans="1:34" ht="24" customHeight="1" thickBot="1" x14ac:dyDescent="0.35">
      <c r="A27" s="1"/>
      <c r="B27" s="197" t="str">
        <f ca="1">IFERROR(IF(M26=0,"",CHOOSE(LEFT(TEXT(M26,"000000000"))+1,,"One","Two","Three","Four","Five","Six","Seven","Eight","Nine")
&amp;CHOOSE(MID(TEXT(M26,"000000000"),1,1)+1,,,"Twenty ","Thirty ","Forty ","Fifty ","Sixty ","Seventy ","Eighty ","Ninety ")
&amp;IF(--MID(TEXT(M26,"000000000"),1,1)&lt;&gt;1,CHOOSE(MID(TEXT(M26,"000000000"),2,1)+1,,"One","Two","Three","Four","Five","Six","Seven","Eight","Nine"),
CHOOSE(MID(TEXT(M26,"000000000"),2,1)+1,"Ten","Eleven","Twelve","Thirteen","Fourteen","Fifteen","Sixteen","Seventeen","Eighteen","Nineteen"))
&amp;IF((--LEFT(TEXT(M26,"000000000"))+MID(TEXT(M26,"000000000"),1,1)+MID(TEXT(M26,"000000000"),2,1))=0,,IF(AND((--MID(TEXT(M26,"000000000"),3,1)+MID(TEXT(M26,"000000000"),4,1)+MID(TEXT(M26,"000000000"),5,1)+MID(TEXT(M26,"000000000"),6,1))=0,(--MID(TEXT(M26,"000000000"),7,1)+RIGHT(TEXT(M26,"000000000")))&gt;0)," Crore and "," Crore "))
&amp;CHOOSE(MID(TEXT(M26,"000000000"),3,1)+1,,," Twenty"," Thirty"," Forty"," Fifty"," Sixty"," Seventy"," Eighty"," Ninety")
&amp;IF(--MID(TEXT(M26,"000000000"),3,1)&lt;&gt;1,CHOOSE(MID(TEXT(M26,"000000000"),4,1)+1,," One"," Two"," Three"," Four"," Five"," Six"," Seven"," Eight"," Nine"),CHOOSE(MID(TEXT(M26,"000000000"),4,1)+1," Ten"," Eleven"," Twelve"," Thirteen"," Fourteen"," Fifteen"," Sixteen"," Seventeen"," Eighteen"," Nineteen"))
&amp;IF((--MID(TEXT(M26,"000000000"),3,1)+MID(TEXT(M26,"000000000"),4,1))=0,,IF(OR((--MID(TEXT(M26,"000000000"),3,1)+MID(TEXT(M26,"000000000"),4,1))&gt;0)," Lakh "," Lakh and "))
&amp;CHOOSE(MID(TEXT(M26,"000000000"),5,1)+1,,,"Twenty ","Thirty ","Forty ","Fifty ","Sixty ","Seventy ","Eighty ","Ninety ")
&amp;IF(--MID(TEXT(M26,"000000000"),5,1)&lt;&gt;1,CHOOSE(MID(TEXT(M26,"000000000"),6,1)+1,,"One","Two","Three","Four","Five","Six","Seven","Eight","Nine"),
CHOOSE(MID(TEXT(M26,"000000000"),6,1)+1,"Ten","Eleven","Twelve","Thirteen","Fourteen","Fifteen","Sixteen","Seventeen","Eighteen","Nineteen"))
&amp;IF((--MID(TEXT(M26,"000000000"),5,1)+MID(TEXT(M26,"000000000"),6,1))=0,,IF(OR((--MID(TEXT(M26,"000000000"),5,1)+MID(TEXT(M26,"000000000"),6,1))&gt;0)," Thousand "," Thousand and "))
&amp;CHOOSE(MID(TEXT(M26,"000000000"),7,1)+1,,"One","Two","Three","Four","Five","Six","Seven","Eight","Nine")
&amp;IF(--MID(TEXT(M26,"000000000"),7,1)=0,,IF(AND(--MID(TEXT(M26,"000000000"),8,1)=0,--RIGHT(TEXT(M26,"000000000"))=0)," Hundred "," Hundred and "))&amp;
CHOOSE(MID(TEXT(M26,"000000000"),8,1)+1,,,"Twenty ","Thirty ","Forty ","Fifty ","Sixty ","Seventy ","Eighty ","Ninety ")&amp;
IF(--MID(TEXT(M26,"000000000"),8,1)&lt;&gt;1,CHOOSE(RIGHT(TEXT(M26,"000000000"))+1,,"One","Two","Three","Four","Five","Six","Seven","Eight","Nine"),CHOOSE(RIGHT(TEXT(M26,"000000000"))+1,"Ten","Eleven","Twelve","Thirteen","Fourteen","Fifteen","Sixteen","Seventeen","Eighteen","Nineteen"))
&amp;" Rupees Only"),"")</f>
        <v xml:space="preserve"> Ten Lakh Ninety Six Thousand Four Hundred and Twenty Six Rupees Only</v>
      </c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9"/>
      <c r="N27" s="199"/>
      <c r="O27" s="199"/>
      <c r="P27" s="200"/>
      <c r="Q27" s="1"/>
    </row>
    <row r="28" spans="1:34" ht="36.75" customHeight="1" x14ac:dyDescent="0.3">
      <c r="A28" s="1"/>
      <c r="B28" s="225" t="s">
        <v>777</v>
      </c>
      <c r="C28" s="226"/>
      <c r="D28" s="227" t="str">
        <f ca="1">IF(M11=0,0,IF(B28="Waiting Car: -",VLOOKUP(M7,Data!J49:K61,2,0),"Available in Stock"))</f>
        <v>10-12 Weeks</v>
      </c>
      <c r="E28" s="227"/>
      <c r="F28" s="227"/>
      <c r="G28" s="227"/>
      <c r="H28" s="227"/>
      <c r="I28" s="227"/>
      <c r="J28" s="227"/>
      <c r="K28" s="227"/>
      <c r="L28" s="7" t="s">
        <v>19</v>
      </c>
      <c r="M28" s="228" t="s">
        <v>371</v>
      </c>
      <c r="N28" s="228"/>
      <c r="O28" s="228"/>
      <c r="P28" s="229"/>
      <c r="Q28" s="1"/>
    </row>
    <row r="29" spans="1:34" ht="24.6" customHeight="1" x14ac:dyDescent="0.3">
      <c r="A29" s="1"/>
      <c r="B29" s="177" t="s">
        <v>18</v>
      </c>
      <c r="C29" s="178"/>
      <c r="D29" s="172"/>
      <c r="E29" s="172"/>
      <c r="F29" s="172"/>
      <c r="G29" s="172"/>
      <c r="H29" s="172"/>
      <c r="I29" s="172"/>
      <c r="J29" s="172"/>
      <c r="K29" s="172"/>
      <c r="L29" s="173"/>
      <c r="M29" s="174"/>
      <c r="N29" s="174"/>
      <c r="O29" s="174"/>
      <c r="P29" s="175"/>
      <c r="Q29" s="1"/>
    </row>
    <row r="30" spans="1:34" ht="16.5" customHeight="1" x14ac:dyDescent="0.3">
      <c r="A30" s="1"/>
      <c r="B30" s="179" t="s">
        <v>29</v>
      </c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1"/>
      <c r="Q30" s="1"/>
    </row>
    <row r="31" spans="1:34" ht="16.5" customHeight="1" x14ac:dyDescent="0.3">
      <c r="A31" s="1"/>
      <c r="B31" s="182" t="s">
        <v>779</v>
      </c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4"/>
      <c r="Q31" s="1"/>
    </row>
    <row r="32" spans="1:34" ht="16.5" customHeight="1" x14ac:dyDescent="0.3">
      <c r="A32" s="1"/>
      <c r="B32" s="179" t="s">
        <v>20</v>
      </c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1"/>
      <c r="Q32" s="1"/>
    </row>
    <row r="33" spans="1:17" ht="16.5" customHeight="1" x14ac:dyDescent="0.3">
      <c r="A33" s="1"/>
      <c r="B33" s="179" t="s">
        <v>30</v>
      </c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1"/>
      <c r="Q33" s="1"/>
    </row>
    <row r="34" spans="1:17" ht="16.5" customHeight="1" x14ac:dyDescent="0.3">
      <c r="A34" s="1"/>
      <c r="B34" s="179" t="s">
        <v>21</v>
      </c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1"/>
      <c r="Q34" s="1"/>
    </row>
    <row r="35" spans="1:17" ht="16.5" customHeight="1" x14ac:dyDescent="0.3">
      <c r="A35" s="1"/>
      <c r="B35" s="179" t="s">
        <v>22</v>
      </c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1"/>
      <c r="Q35" s="1"/>
    </row>
    <row r="36" spans="1:17" ht="16.5" customHeight="1" x14ac:dyDescent="0.3">
      <c r="A36" s="1"/>
      <c r="B36" s="179" t="s">
        <v>23</v>
      </c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1"/>
      <c r="Q36" s="1"/>
    </row>
    <row r="37" spans="1:17" ht="16.5" customHeight="1" x14ac:dyDescent="0.3">
      <c r="A37" s="1"/>
      <c r="B37" s="210" t="s">
        <v>24</v>
      </c>
      <c r="C37" s="211"/>
      <c r="D37" s="211"/>
      <c r="E37" s="211"/>
      <c r="F37" s="211"/>
      <c r="G37" s="211"/>
      <c r="H37" s="211"/>
      <c r="I37" s="211"/>
      <c r="J37" s="211"/>
      <c r="K37" s="211"/>
      <c r="L37" s="211"/>
      <c r="M37" s="211"/>
      <c r="N37" s="211"/>
      <c r="O37" s="211"/>
      <c r="P37" s="212"/>
      <c r="Q37" s="1"/>
    </row>
    <row r="38" spans="1:17" ht="16.5" customHeight="1" thickBot="1" x14ac:dyDescent="0.35">
      <c r="A38" s="1"/>
      <c r="B38" s="213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5"/>
      <c r="Q38" s="1"/>
    </row>
    <row r="39" spans="1:17" ht="6" customHeight="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</sheetData>
  <sheetProtection algorithmName="SHA-512" hashValue="C/BGiocj7y/9mteST9x1upwQ59H6iIhlGa2EPv3RMV+MF0ld6S4mpva/EryHTe4qS0GeaN9nHyc9pUSmaFPz/w==" saltValue="Yg7sGifa0ZRfEyCb5959lQ==" spinCount="100000" sheet="1" objects="1" scenarios="1"/>
  <protectedRanges>
    <protectedRange sqref="B27" name="Range1"/>
  </protectedRanges>
  <mergeCells count="66">
    <mergeCell ref="D6:J6"/>
    <mergeCell ref="U14:AH23"/>
    <mergeCell ref="B2:P3"/>
    <mergeCell ref="E4:N4"/>
    <mergeCell ref="M6:P6"/>
    <mergeCell ref="C7:J7"/>
    <mergeCell ref="M7:P7"/>
    <mergeCell ref="C8:J8"/>
    <mergeCell ref="M8:P8"/>
    <mergeCell ref="C9:J9"/>
    <mergeCell ref="M9:P9"/>
    <mergeCell ref="B11:B26"/>
    <mergeCell ref="C11:L11"/>
    <mergeCell ref="M11:P11"/>
    <mergeCell ref="C12:L12"/>
    <mergeCell ref="M12:P12"/>
    <mergeCell ref="M13:P13"/>
    <mergeCell ref="C15:E15"/>
    <mergeCell ref="F15:L15"/>
    <mergeCell ref="M15:P15"/>
    <mergeCell ref="M14:P14"/>
    <mergeCell ref="C14:J14"/>
    <mergeCell ref="C13:L13"/>
    <mergeCell ref="C19:E19"/>
    <mergeCell ref="F19:L19"/>
    <mergeCell ref="C16:E16"/>
    <mergeCell ref="F16:L16"/>
    <mergeCell ref="M17:P17"/>
    <mergeCell ref="M18:P18"/>
    <mergeCell ref="C17:E17"/>
    <mergeCell ref="F17:L17"/>
    <mergeCell ref="M16:P16"/>
    <mergeCell ref="C18:E18"/>
    <mergeCell ref="F18:L18"/>
    <mergeCell ref="B36:P36"/>
    <mergeCell ref="B37:P38"/>
    <mergeCell ref="C21:L21"/>
    <mergeCell ref="M21:P21"/>
    <mergeCell ref="C25:L25"/>
    <mergeCell ref="M25:P25"/>
    <mergeCell ref="B28:C28"/>
    <mergeCell ref="D28:K28"/>
    <mergeCell ref="M28:P28"/>
    <mergeCell ref="M22:P22"/>
    <mergeCell ref="C23:E23"/>
    <mergeCell ref="F23:L23"/>
    <mergeCell ref="M23:P23"/>
    <mergeCell ref="C22:E22"/>
    <mergeCell ref="F22:L22"/>
    <mergeCell ref="B30:P30"/>
    <mergeCell ref="E5:N5"/>
    <mergeCell ref="B29:C29"/>
    <mergeCell ref="B33:P33"/>
    <mergeCell ref="B34:P34"/>
    <mergeCell ref="B35:P35"/>
    <mergeCell ref="B31:P31"/>
    <mergeCell ref="B32:P32"/>
    <mergeCell ref="C24:E24"/>
    <mergeCell ref="F24:L24"/>
    <mergeCell ref="M24:P24"/>
    <mergeCell ref="C26:L26"/>
    <mergeCell ref="M26:P26"/>
    <mergeCell ref="B27:P27"/>
    <mergeCell ref="M19:P19"/>
    <mergeCell ref="C20:L20"/>
    <mergeCell ref="M20:P20"/>
  </mergeCells>
  <dataValidations xWindow="382" yWindow="547" count="14">
    <dataValidation type="list" allowBlank="1" showInputMessage="1" showErrorMessage="1" sqref="C16:E16" xr:uid="{AFEC4094-369F-463F-9BD5-05387DD21E4C}">
      <formula1>"Extended Warranty, Extended Warranty &amp; RSA 5Yr"</formula1>
    </dataValidation>
    <dataValidation type="list" allowBlank="1" showInputMessage="1" showErrorMessage="1" sqref="F17:L17" xr:uid="{A52DC6CC-5A65-4757-983D-36BDACDE7573}">
      <formula1>SOT</formula1>
    </dataValidation>
    <dataValidation type="list" allowBlank="1" showInputMessage="1" prompt="Corporate List" sqref="F22:L23" xr:uid="{ECB5ADE1-FF66-4AA8-BB65-ED2C0A4EBEDA}">
      <formula1>"Applicable, Not Applicable"</formula1>
    </dataValidation>
    <dataValidation allowBlank="1" showInputMessage="1" showErrorMessage="1" prompt="Editable Cell : Value Can be Changed" sqref="C20:C21 D20:L20" xr:uid="{3C2C7513-7CA4-4E6E-9ED3-61AA2B39E6A7}"/>
    <dataValidation type="list" allowBlank="1" showInputMessage="1" showErrorMessage="1" prompt="Exchange" sqref="F24:L24" xr:uid="{A76AEDE3-81A7-4D0D-AEAB-A62E96CAED9A}">
      <formula1>"Applicable, Not Applicable"</formula1>
    </dataValidation>
    <dataValidation type="list" allowBlank="1" showInputMessage="1" showErrorMessage="1" prompt="Coatings" sqref="F18:L18" xr:uid="{811275E9-CE81-4F90-A811-80A991071CBE}">
      <formula1>"Applicable, Not Applicable"</formula1>
    </dataValidation>
    <dataValidation type="list" allowBlank="1" showInputMessage="1" showErrorMessage="1" prompt="E.Kit" sqref="F15:L15 F19:L19" xr:uid="{C537950E-6B92-44FC-932D-15FD5A3E1DBD}">
      <formula1>"Applicable, Not Applicable"</formula1>
    </dataValidation>
    <dataValidation allowBlank="1" showInputMessage="1" showErrorMessage="1" prompt="Address" sqref="C7:J7" xr:uid="{1683537C-3C25-4CCF-8DD6-263886FBB13C}"/>
    <dataValidation allowBlank="1" showInputMessage="1" showErrorMessage="1" prompt="Customer Name" sqref="D6" xr:uid="{EE63D301-1862-45AA-B6E7-1AC1AEBAA97C}"/>
    <dataValidation type="list" allowBlank="1" showInputMessage="1" showErrorMessage="1" sqref="M9:P9" xr:uid="{36933E46-8A48-4856-9F3F-50FC3DB5BD50}">
      <formula1>INDIRECT(SUBSTITUTE(M8&amp;"c"," ",""))</formula1>
    </dataValidation>
    <dataValidation type="list" allowBlank="1" showInputMessage="1" showErrorMessage="1" sqref="M8:P8" xr:uid="{2A821E71-7D44-455A-A369-BC53B048062B}">
      <formula1>IF($M$9="",INDIRECT(SUBSTITUTE($M$7," ","")),INDIRECT("abc"))</formula1>
    </dataValidation>
    <dataValidation type="list" allowBlank="1" showInputMessage="1" showErrorMessage="1" sqref="C13:L13" xr:uid="{5D2B280E-8356-4F21-8B2B-3C5AEF5B9547}">
      <formula1>REGISTRATION</formula1>
    </dataValidation>
    <dataValidation type="list" allowBlank="1" showInputMessage="1" showErrorMessage="1" sqref="M7:P7" xr:uid="{E15A381D-AAF9-4108-9936-D97BED1A3576}">
      <formula1>IF($M$8="", Models, INDIRECT("abc"))</formula1>
    </dataValidation>
    <dataValidation type="list" allowBlank="1" showInputMessage="1" showErrorMessage="1" sqref="F16:L16" xr:uid="{61106925-DFAA-4297-92FA-FFDB84F5E4D7}">
      <formula1>EW</formula1>
    </dataValidation>
  </dataValidations>
  <pageMargins left="0.43307086614173229" right="0.23622047244094491" top="0.94488188976377963" bottom="0.74803149606299213" header="0.31496062992125984" footer="0.31496062992125984"/>
  <pageSetup scale="8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382" yWindow="547" count="5">
        <x14:dataValidation type="list" allowBlank="1" showInputMessage="1" showErrorMessage="1" xr:uid="{53D2A478-CE25-4B21-BDAF-0306BC4EE932}">
          <x14:formula1>
            <xm:f>Data!$B$49:$B$71</xm:f>
          </x14:formula1>
          <xm:sqref>M28:P29</xm:sqref>
        </x14:dataValidation>
        <x14:dataValidation type="list" allowBlank="1" showInputMessage="1" showErrorMessage="1" xr:uid="{8D7ECDD7-0FA3-433D-8FDB-3A224100220F}">
          <x14:formula1>
            <xm:f>Data!$B$1:$B$7</xm:f>
          </x14:formula1>
          <xm:sqref>C14:J14</xm:sqref>
        </x14:dataValidation>
        <x14:dataValidation type="list" allowBlank="1" showInputMessage="1" showErrorMessage="1" xr:uid="{2EC61F1A-6880-463C-A569-29E074559D03}">
          <x14:formula1>
            <xm:f>Data!$B$166:$B$167</xm:f>
          </x14:formula1>
          <xm:sqref>E4</xm:sqref>
        </x14:dataValidation>
        <x14:dataValidation type="list" allowBlank="1" showInputMessage="1" showErrorMessage="1" xr:uid="{43B27943-1C7A-4027-8138-FE91297E56CA}">
          <x14:formula1>
            <xm:f>Data!$I$49:$I$50</xm:f>
          </x14:formula1>
          <xm:sqref>B28:C28</xm:sqref>
        </x14:dataValidation>
        <x14:dataValidation type="list" errorStyle="information" allowBlank="1" showInputMessage="1" showErrorMessage="1" errorTitle="Title" error="Please Enter Title" prompt="Title" xr:uid="{8B4A55C2-2B80-452C-88D0-AEF8FA26FD2F}">
          <x14:formula1>
            <xm:f>Data!$L$49:$L$54</xm:f>
          </x14:formula1>
          <xm:sqref>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F9AA-5ECD-41F0-BF6A-3F4A57DEF57C}">
  <sheetPr codeName="Sheet2"/>
  <dimension ref="A1:AZ168"/>
  <sheetViews>
    <sheetView topLeftCell="G40" zoomScale="115" zoomScaleNormal="115" workbookViewId="0">
      <selection activeCell="L46" sqref="L46"/>
    </sheetView>
  </sheetViews>
  <sheetFormatPr defaultRowHeight="14.4" x14ac:dyDescent="0.3"/>
  <cols>
    <col min="2" max="2" width="37" bestFit="1" customWidth="1"/>
    <col min="3" max="3" width="18.5546875" bestFit="1" customWidth="1"/>
    <col min="4" max="4" width="21.5546875" bestFit="1" customWidth="1"/>
    <col min="7" max="7" width="28.109375" customWidth="1"/>
    <col min="8" max="8" width="5.5546875" customWidth="1"/>
    <col min="9" max="13" width="25.33203125" customWidth="1"/>
    <col min="14" max="14" width="29.77734375" bestFit="1" customWidth="1"/>
    <col min="15" max="15" width="25.33203125" customWidth="1"/>
    <col min="16" max="16" width="43.5546875" customWidth="1"/>
    <col min="17" max="17" width="36.44140625" customWidth="1"/>
    <col min="18" max="18" width="36.5546875" customWidth="1"/>
    <col min="19" max="20" width="25.33203125" customWidth="1"/>
    <col min="21" max="21" width="29.88671875" bestFit="1" customWidth="1"/>
    <col min="22" max="22" width="28" bestFit="1" customWidth="1"/>
    <col min="23" max="23" width="7" customWidth="1"/>
    <col min="24" max="24" width="12.77734375" style="56" bestFit="1" customWidth="1"/>
    <col min="25" max="26" width="31.77734375" style="40" bestFit="1" customWidth="1"/>
    <col min="27" max="27" width="29.6640625" style="40" bestFit="1" customWidth="1"/>
    <col min="28" max="28" width="3.5546875" customWidth="1"/>
    <col min="29" max="29" width="12.77734375" style="40" bestFit="1" customWidth="1"/>
    <col min="30" max="30" width="36.109375" bestFit="1" customWidth="1"/>
    <col min="31" max="31" width="34.5546875" bestFit="1" customWidth="1"/>
    <col min="32" max="32" width="29.6640625" bestFit="1" customWidth="1"/>
    <col min="33" max="33" width="9" bestFit="1" customWidth="1"/>
    <col min="34" max="34" width="8.5546875" bestFit="1" customWidth="1"/>
    <col min="35" max="35" width="10" bestFit="1" customWidth="1"/>
    <col min="36" max="36" width="30" bestFit="1" customWidth="1"/>
    <col min="37" max="37" width="28" bestFit="1" customWidth="1"/>
    <col min="38" max="38" width="28.33203125" bestFit="1" customWidth="1"/>
    <col min="39" max="39" width="29.33203125" bestFit="1" customWidth="1"/>
    <col min="40" max="41" width="25.6640625" bestFit="1" customWidth="1"/>
    <col min="42" max="42" width="27.77734375" bestFit="1" customWidth="1"/>
    <col min="43" max="43" width="31.77734375" bestFit="1" customWidth="1"/>
  </cols>
  <sheetData>
    <row r="1" spans="1:32" x14ac:dyDescent="0.3">
      <c r="A1" t="s">
        <v>678</v>
      </c>
      <c r="B1" t="s">
        <v>35</v>
      </c>
      <c r="F1" t="s">
        <v>473</v>
      </c>
      <c r="I1" t="s">
        <v>56</v>
      </c>
      <c r="J1" t="s">
        <v>289</v>
      </c>
      <c r="K1" t="s">
        <v>57</v>
      </c>
      <c r="L1" t="s">
        <v>90</v>
      </c>
      <c r="M1" t="s">
        <v>67</v>
      </c>
      <c r="N1" t="s">
        <v>65</v>
      </c>
      <c r="O1" t="s">
        <v>68</v>
      </c>
      <c r="P1" t="s">
        <v>325</v>
      </c>
      <c r="Q1" t="s">
        <v>70</v>
      </c>
      <c r="R1" t="s">
        <v>69</v>
      </c>
      <c r="S1" t="s">
        <v>64</v>
      </c>
      <c r="T1" t="s">
        <v>91</v>
      </c>
      <c r="X1" s="48" t="s">
        <v>605</v>
      </c>
      <c r="Y1" s="49" t="s">
        <v>603</v>
      </c>
      <c r="Z1" s="49" t="s">
        <v>601</v>
      </c>
      <c r="AA1" s="50" t="s">
        <v>602</v>
      </c>
      <c r="AC1" s="47" t="s">
        <v>605</v>
      </c>
      <c r="AD1" s="69" t="s">
        <v>603</v>
      </c>
      <c r="AE1" s="70" t="s">
        <v>601</v>
      </c>
      <c r="AF1" s="71" t="s">
        <v>602</v>
      </c>
    </row>
    <row r="2" spans="1:32" x14ac:dyDescent="0.3">
      <c r="A2" t="s">
        <v>679</v>
      </c>
      <c r="B2" t="s">
        <v>36</v>
      </c>
      <c r="F2" t="s">
        <v>56</v>
      </c>
      <c r="G2" s="22">
        <v>1</v>
      </c>
      <c r="I2" s="23" t="s">
        <v>394</v>
      </c>
      <c r="J2" s="23" t="s">
        <v>604</v>
      </c>
      <c r="K2" s="23" t="s">
        <v>414</v>
      </c>
      <c r="L2" s="23" t="s">
        <v>420</v>
      </c>
      <c r="M2" s="23" t="s">
        <v>425</v>
      </c>
      <c r="N2" s="23" t="s">
        <v>433</v>
      </c>
      <c r="O2" s="23" t="s">
        <v>443</v>
      </c>
      <c r="P2" s="15" t="s">
        <v>317</v>
      </c>
      <c r="Q2" s="23" t="s">
        <v>659</v>
      </c>
      <c r="R2" s="84" t="s">
        <v>620</v>
      </c>
      <c r="S2" s="23" t="s">
        <v>457</v>
      </c>
      <c r="T2" s="23" t="s">
        <v>465</v>
      </c>
      <c r="V2" t="str">
        <f t="shared" ref="V2:V9" si="0">CONCATENATE(SUBSTITUTE(T2," ",""),"c")</f>
        <v>VENUENline1.0TN6MTc</v>
      </c>
      <c r="W2" s="21"/>
      <c r="X2" s="286" t="s">
        <v>606</v>
      </c>
      <c r="Y2" s="52" t="s">
        <v>474</v>
      </c>
      <c r="Z2" s="52" t="s">
        <v>395</v>
      </c>
      <c r="AA2" s="53" t="s">
        <v>484</v>
      </c>
      <c r="AC2" s="77"/>
      <c r="AD2" s="78" t="str">
        <f>CONCATENATE(SUBSTITUTE(AE2," ",""),"c")</f>
        <v>EXTEREXc</v>
      </c>
      <c r="AE2" s="78" t="s">
        <v>604</v>
      </c>
      <c r="AF2" s="79" t="s">
        <v>484</v>
      </c>
    </row>
    <row r="3" spans="1:32" x14ac:dyDescent="0.3">
      <c r="A3" t="s">
        <v>680</v>
      </c>
      <c r="B3" t="s">
        <v>37</v>
      </c>
      <c r="F3" t="s">
        <v>289</v>
      </c>
      <c r="G3" s="22">
        <v>2</v>
      </c>
      <c r="I3" s="23" t="s">
        <v>395</v>
      </c>
      <c r="J3" s="23" t="s">
        <v>533</v>
      </c>
      <c r="K3" s="23" t="s">
        <v>415</v>
      </c>
      <c r="L3" s="23" t="s">
        <v>421</v>
      </c>
      <c r="M3" s="23" t="s">
        <v>426</v>
      </c>
      <c r="N3" s="23" t="s">
        <v>434</v>
      </c>
      <c r="O3" s="23" t="s">
        <v>444</v>
      </c>
      <c r="P3" s="87" t="s">
        <v>663</v>
      </c>
      <c r="Q3" s="23" t="s">
        <v>660</v>
      </c>
      <c r="R3" s="84" t="s">
        <v>622</v>
      </c>
      <c r="S3" s="23" t="s">
        <v>458</v>
      </c>
      <c r="T3" s="23" t="s">
        <v>466</v>
      </c>
      <c r="V3" t="str">
        <f t="shared" si="0"/>
        <v>VENUENline1.0TN6DTMTc</v>
      </c>
      <c r="X3" s="287"/>
      <c r="Y3" s="40" t="s">
        <v>475</v>
      </c>
      <c r="Z3" s="40" t="s">
        <v>396</v>
      </c>
      <c r="AA3" s="54" t="s">
        <v>487</v>
      </c>
    </row>
    <row r="4" spans="1:32" x14ac:dyDescent="0.3">
      <c r="A4" t="s">
        <v>681</v>
      </c>
      <c r="B4" t="s">
        <v>38</v>
      </c>
      <c r="F4" t="s">
        <v>57</v>
      </c>
      <c r="G4" s="22">
        <v>3</v>
      </c>
      <c r="I4" s="23" t="s">
        <v>396</v>
      </c>
      <c r="J4" s="23" t="s">
        <v>406</v>
      </c>
      <c r="K4" s="23" t="s">
        <v>416</v>
      </c>
      <c r="L4" s="23" t="s">
        <v>422</v>
      </c>
      <c r="M4" s="23" t="s">
        <v>427</v>
      </c>
      <c r="N4" s="26" t="s">
        <v>547</v>
      </c>
      <c r="O4" s="23" t="s">
        <v>445</v>
      </c>
      <c r="P4" s="15" t="s">
        <v>318</v>
      </c>
      <c r="Q4" s="23" t="s">
        <v>653</v>
      </c>
      <c r="R4" s="84" t="s">
        <v>624</v>
      </c>
      <c r="S4" s="23" t="s">
        <v>459</v>
      </c>
      <c r="T4" s="23" t="s">
        <v>467</v>
      </c>
      <c r="V4" t="str">
        <f t="shared" si="0"/>
        <v>VENUENline1.0TN8MTc</v>
      </c>
      <c r="X4" s="287"/>
      <c r="Y4" s="40" t="s">
        <v>476</v>
      </c>
      <c r="Z4" s="40" t="s">
        <v>398</v>
      </c>
      <c r="AA4" s="54" t="s">
        <v>490</v>
      </c>
      <c r="AC4" s="47" t="s">
        <v>605</v>
      </c>
      <c r="AD4" s="69" t="s">
        <v>603</v>
      </c>
      <c r="AE4" s="70" t="s">
        <v>601</v>
      </c>
      <c r="AF4" s="71" t="s">
        <v>602</v>
      </c>
    </row>
    <row r="5" spans="1:32" x14ac:dyDescent="0.3">
      <c r="A5" t="s">
        <v>682</v>
      </c>
      <c r="B5" t="s">
        <v>39</v>
      </c>
      <c r="F5" t="s">
        <v>90</v>
      </c>
      <c r="G5" s="22">
        <v>4</v>
      </c>
      <c r="I5" s="23" t="s">
        <v>397</v>
      </c>
      <c r="J5" s="23" t="s">
        <v>534</v>
      </c>
      <c r="K5" s="23" t="s">
        <v>737</v>
      </c>
      <c r="L5" s="26" t="s">
        <v>548</v>
      </c>
      <c r="M5" s="26" t="s">
        <v>549</v>
      </c>
      <c r="N5" s="26" t="s">
        <v>550</v>
      </c>
      <c r="O5" s="26" t="s">
        <v>551</v>
      </c>
      <c r="P5" s="15" t="s">
        <v>319</v>
      </c>
      <c r="Q5" s="23" t="s">
        <v>656</v>
      </c>
      <c r="R5" s="84" t="s">
        <v>613</v>
      </c>
      <c r="S5" s="23" t="s">
        <v>460</v>
      </c>
      <c r="T5" s="23" t="s">
        <v>468</v>
      </c>
      <c r="V5" t="str">
        <f t="shared" si="0"/>
        <v>VENUENline1.0TN8DTMTc</v>
      </c>
      <c r="X5" s="287"/>
      <c r="Y5" s="40" t="s">
        <v>477</v>
      </c>
      <c r="Z5" s="40" t="s">
        <v>399</v>
      </c>
      <c r="AA5" s="54" t="s">
        <v>491</v>
      </c>
      <c r="AC5" s="274"/>
      <c r="AD5" s="72" t="str">
        <f t="shared" ref="AD5:AD16" si="1">CONCATENATE(SUBSTITUTE(AE5," ",""),"c")</f>
        <v>EXTEREXOc</v>
      </c>
      <c r="AE5" s="72" t="s">
        <v>533</v>
      </c>
      <c r="AF5" s="73" t="s">
        <v>484</v>
      </c>
    </row>
    <row r="6" spans="1:32" x14ac:dyDescent="0.3">
      <c r="A6" t="s">
        <v>683</v>
      </c>
      <c r="B6" t="s">
        <v>40</v>
      </c>
      <c r="F6" t="s">
        <v>67</v>
      </c>
      <c r="G6" s="22">
        <v>5</v>
      </c>
      <c r="I6" s="23" t="s">
        <v>398</v>
      </c>
      <c r="J6" s="23" t="s">
        <v>407</v>
      </c>
      <c r="K6" s="26" t="s">
        <v>735</v>
      </c>
      <c r="L6" s="23" t="s">
        <v>612</v>
      </c>
      <c r="M6" s="23" t="s">
        <v>428</v>
      </c>
      <c r="N6" s="23" t="s">
        <v>435</v>
      </c>
      <c r="O6" s="26" t="s">
        <v>553</v>
      </c>
      <c r="P6" s="87" t="s">
        <v>664</v>
      </c>
      <c r="Q6" s="23" t="s">
        <v>657</v>
      </c>
      <c r="R6" s="84" t="s">
        <v>626</v>
      </c>
      <c r="S6" s="23" t="s">
        <v>461</v>
      </c>
      <c r="T6" s="23" t="s">
        <v>469</v>
      </c>
      <c r="V6" t="str">
        <f t="shared" si="0"/>
        <v>VENUENline1.0TN6DCTc</v>
      </c>
      <c r="X6" s="287"/>
      <c r="Y6" s="40" t="s">
        <v>478</v>
      </c>
      <c r="Z6" s="40" t="s">
        <v>400</v>
      </c>
      <c r="AA6" s="54" t="s">
        <v>492</v>
      </c>
      <c r="AC6" s="275"/>
      <c r="AD6" s="74" t="str">
        <f t="shared" si="1"/>
        <v>EXTERSc</v>
      </c>
      <c r="AE6" s="74" t="s">
        <v>406</v>
      </c>
      <c r="AF6" s="75" t="s">
        <v>496</v>
      </c>
    </row>
    <row r="7" spans="1:32" x14ac:dyDescent="0.3">
      <c r="A7" t="s">
        <v>684</v>
      </c>
      <c r="B7" t="s">
        <v>41</v>
      </c>
      <c r="F7" t="s">
        <v>65</v>
      </c>
      <c r="G7" s="22">
        <v>6</v>
      </c>
      <c r="I7" s="23" t="s">
        <v>399</v>
      </c>
      <c r="J7" s="23" t="s">
        <v>408</v>
      </c>
      <c r="K7" s="26" t="s">
        <v>736</v>
      </c>
      <c r="L7" s="23" t="s">
        <v>423</v>
      </c>
      <c r="M7" s="26" t="s">
        <v>555</v>
      </c>
      <c r="N7" s="23" t="s">
        <v>436</v>
      </c>
      <c r="O7" s="23" t="s">
        <v>446</v>
      </c>
      <c r="P7" s="15" t="s">
        <v>320</v>
      </c>
      <c r="Q7" s="23" t="s">
        <v>654</v>
      </c>
      <c r="R7" s="84" t="s">
        <v>628</v>
      </c>
      <c r="S7" s="23" t="s">
        <v>462</v>
      </c>
      <c r="T7" s="23" t="s">
        <v>470</v>
      </c>
      <c r="V7" t="str">
        <f t="shared" si="0"/>
        <v>VENUENline1.0TN6DTDCTc</v>
      </c>
      <c r="X7" s="287"/>
      <c r="Y7" s="40" t="s">
        <v>479</v>
      </c>
      <c r="Z7" s="40" t="s">
        <v>401</v>
      </c>
      <c r="AA7" s="54" t="s">
        <v>486</v>
      </c>
      <c r="AC7" s="275"/>
      <c r="AD7" s="74" t="str">
        <f t="shared" si="1"/>
        <v>EXTERSOc</v>
      </c>
      <c r="AE7" s="74" t="s">
        <v>534</v>
      </c>
      <c r="AF7" s="75" t="s">
        <v>498</v>
      </c>
    </row>
    <row r="8" spans="1:32" x14ac:dyDescent="0.3">
      <c r="F8" t="s">
        <v>68</v>
      </c>
      <c r="G8" s="22">
        <v>7</v>
      </c>
      <c r="I8" s="23" t="s">
        <v>400</v>
      </c>
      <c r="J8" s="23" t="s">
        <v>535</v>
      </c>
      <c r="K8" s="23" t="s">
        <v>418</v>
      </c>
      <c r="L8" s="23" t="s">
        <v>424</v>
      </c>
      <c r="M8" s="23" t="s">
        <v>429</v>
      </c>
      <c r="N8" s="23" t="s">
        <v>437</v>
      </c>
      <c r="O8" s="23" t="s">
        <v>447</v>
      </c>
      <c r="P8" s="15" t="s">
        <v>321</v>
      </c>
      <c r="Q8" s="23" t="s">
        <v>658</v>
      </c>
      <c r="R8" s="84" t="s">
        <v>630</v>
      </c>
      <c r="S8" s="23" t="s">
        <v>463</v>
      </c>
      <c r="T8" s="23" t="s">
        <v>471</v>
      </c>
      <c r="V8" t="str">
        <f t="shared" si="0"/>
        <v>VENUENline1.0TN8DCTc</v>
      </c>
      <c r="X8" s="287"/>
      <c r="Y8" s="40" t="s">
        <v>480</v>
      </c>
      <c r="Z8" s="40" t="s">
        <v>402</v>
      </c>
      <c r="AA8" s="54" t="s">
        <v>489</v>
      </c>
      <c r="AC8" s="275"/>
      <c r="AD8" s="74" t="str">
        <f t="shared" si="1"/>
        <v>EXTERSXc</v>
      </c>
      <c r="AE8" s="74" t="s">
        <v>407</v>
      </c>
      <c r="AF8" s="75" t="s">
        <v>500</v>
      </c>
    </row>
    <row r="9" spans="1:32" x14ac:dyDescent="0.3">
      <c r="B9" t="s">
        <v>42</v>
      </c>
      <c r="F9" t="s">
        <v>325</v>
      </c>
      <c r="G9" s="22">
        <v>8</v>
      </c>
      <c r="I9" s="23" t="s">
        <v>401</v>
      </c>
      <c r="J9" s="23" t="s">
        <v>536</v>
      </c>
      <c r="K9" s="26" t="s">
        <v>556</v>
      </c>
      <c r="M9" s="23" t="s">
        <v>430</v>
      </c>
      <c r="N9" s="23" t="s">
        <v>438</v>
      </c>
      <c r="O9" s="23" t="s">
        <v>448</v>
      </c>
      <c r="P9" s="87" t="s">
        <v>665</v>
      </c>
      <c r="Q9" s="23" t="s">
        <v>655</v>
      </c>
      <c r="R9" s="84" t="s">
        <v>648</v>
      </c>
      <c r="S9" s="23" t="s">
        <v>464</v>
      </c>
      <c r="T9" s="23" t="s">
        <v>472</v>
      </c>
      <c r="V9" t="str">
        <f t="shared" si="0"/>
        <v>VENUENline1.0TN8DTDCTc</v>
      </c>
      <c r="X9" s="287"/>
      <c r="Y9" s="40" t="s">
        <v>481</v>
      </c>
      <c r="Z9" s="40" t="s">
        <v>403</v>
      </c>
      <c r="AA9" s="289"/>
      <c r="AC9" s="275"/>
      <c r="AD9" s="74" t="str">
        <f t="shared" si="1"/>
        <v>EXTERSXOc</v>
      </c>
      <c r="AE9" s="74" t="s">
        <v>535</v>
      </c>
      <c r="AF9" s="75" t="s">
        <v>501</v>
      </c>
    </row>
    <row r="10" spans="1:32" x14ac:dyDescent="0.3">
      <c r="B10" t="s">
        <v>43</v>
      </c>
      <c r="C10">
        <v>1500</v>
      </c>
      <c r="F10" t="s">
        <v>70</v>
      </c>
      <c r="G10" s="22">
        <v>9</v>
      </c>
      <c r="I10" s="23" t="s">
        <v>402</v>
      </c>
      <c r="J10" s="23" t="s">
        <v>537</v>
      </c>
      <c r="K10" s="26" t="s">
        <v>731</v>
      </c>
      <c r="M10" s="23" t="s">
        <v>431</v>
      </c>
      <c r="N10" s="26" t="s">
        <v>559</v>
      </c>
      <c r="O10" s="23" t="s">
        <v>449</v>
      </c>
      <c r="P10" s="15" t="s">
        <v>322</v>
      </c>
      <c r="R10" s="84" t="s">
        <v>632</v>
      </c>
      <c r="X10" s="287"/>
      <c r="Y10" s="40" t="s">
        <v>482</v>
      </c>
      <c r="Z10" s="40" t="s">
        <v>404</v>
      </c>
      <c r="AA10" s="289"/>
      <c r="AC10" s="275"/>
      <c r="AD10" s="74" t="str">
        <f t="shared" si="1"/>
        <v>EXTERSXOCONNECTc</v>
      </c>
      <c r="AE10" s="74" t="s">
        <v>536</v>
      </c>
      <c r="AF10" s="75" t="s">
        <v>486</v>
      </c>
    </row>
    <row r="11" spans="1:32" x14ac:dyDescent="0.3">
      <c r="B11" t="s">
        <v>44</v>
      </c>
      <c r="C11">
        <v>600</v>
      </c>
      <c r="F11" t="s">
        <v>69</v>
      </c>
      <c r="G11" s="22">
        <v>10</v>
      </c>
      <c r="I11" s="23" t="s">
        <v>403</v>
      </c>
      <c r="J11" s="23" t="s">
        <v>409</v>
      </c>
      <c r="K11" s="23" t="s">
        <v>419</v>
      </c>
      <c r="M11" s="23" t="s">
        <v>432</v>
      </c>
      <c r="N11" s="26" t="s">
        <v>560</v>
      </c>
      <c r="O11" s="23" t="s">
        <v>450</v>
      </c>
      <c r="P11" s="15" t="s">
        <v>323</v>
      </c>
      <c r="R11" s="84" t="s">
        <v>650</v>
      </c>
      <c r="X11" s="288"/>
      <c r="Y11" s="46" t="s">
        <v>483</v>
      </c>
      <c r="Z11" s="46" t="s">
        <v>405</v>
      </c>
      <c r="AA11" s="290"/>
      <c r="AC11" s="275"/>
      <c r="AD11" s="74" t="str">
        <f t="shared" si="1"/>
        <v>EXTERSAMTc</v>
      </c>
      <c r="AE11" s="74" t="s">
        <v>409</v>
      </c>
      <c r="AF11" s="297"/>
    </row>
    <row r="12" spans="1:32" x14ac:dyDescent="0.3">
      <c r="B12" t="s">
        <v>45</v>
      </c>
      <c r="C12">
        <v>200</v>
      </c>
      <c r="F12" t="s">
        <v>64</v>
      </c>
      <c r="G12" s="22">
        <v>11</v>
      </c>
      <c r="I12" s="23" t="s">
        <v>404</v>
      </c>
      <c r="J12" s="23" t="s">
        <v>410</v>
      </c>
      <c r="K12" s="26" t="s">
        <v>734</v>
      </c>
      <c r="M12" s="26" t="s">
        <v>562</v>
      </c>
      <c r="N12" s="26" t="s">
        <v>563</v>
      </c>
      <c r="O12" s="23" t="s">
        <v>451</v>
      </c>
      <c r="P12" s="87" t="s">
        <v>666</v>
      </c>
      <c r="R12" s="84" t="s">
        <v>634</v>
      </c>
      <c r="AC12" s="275"/>
      <c r="AD12" s="74" t="str">
        <f t="shared" si="1"/>
        <v>EXTERSXAMTc</v>
      </c>
      <c r="AE12" s="74" t="s">
        <v>410</v>
      </c>
      <c r="AF12" s="297"/>
    </row>
    <row r="13" spans="1:32" ht="15" thickBot="1" x14ac:dyDescent="0.35">
      <c r="B13" t="s">
        <v>46</v>
      </c>
      <c r="C13">
        <v>4000</v>
      </c>
      <c r="F13" t="s">
        <v>91</v>
      </c>
      <c r="G13" s="22">
        <v>12</v>
      </c>
      <c r="I13" s="23" t="s">
        <v>405</v>
      </c>
      <c r="J13" s="23" t="s">
        <v>411</v>
      </c>
      <c r="K13" s="26" t="s">
        <v>733</v>
      </c>
      <c r="M13" s="26" t="s">
        <v>565</v>
      </c>
      <c r="N13" s="26" t="s">
        <v>566</v>
      </c>
      <c r="O13" s="26" t="s">
        <v>567</v>
      </c>
      <c r="P13" s="16" t="s">
        <v>324</v>
      </c>
      <c r="R13" s="84" t="s">
        <v>614</v>
      </c>
      <c r="X13" s="48" t="s">
        <v>605</v>
      </c>
      <c r="Y13" s="49" t="s">
        <v>603</v>
      </c>
      <c r="Z13" s="49" t="s">
        <v>601</v>
      </c>
      <c r="AA13" s="50" t="s">
        <v>602</v>
      </c>
      <c r="AC13" s="275"/>
      <c r="AD13" s="74" t="str">
        <f t="shared" si="1"/>
        <v>EXTERSXOAMTc</v>
      </c>
      <c r="AE13" s="74" t="s">
        <v>568</v>
      </c>
      <c r="AF13" s="297"/>
    </row>
    <row r="14" spans="1:32" x14ac:dyDescent="0.3">
      <c r="B14" t="s">
        <v>47</v>
      </c>
      <c r="C14">
        <v>30</v>
      </c>
      <c r="J14" s="26" t="s">
        <v>538</v>
      </c>
      <c r="K14" s="26" t="s">
        <v>732</v>
      </c>
      <c r="M14" s="26" t="s">
        <v>540</v>
      </c>
      <c r="N14" s="26" t="s">
        <v>541</v>
      </c>
      <c r="O14" s="26" t="s">
        <v>542</v>
      </c>
      <c r="R14" s="84" t="s">
        <v>617</v>
      </c>
      <c r="X14" s="267" t="s">
        <v>56</v>
      </c>
      <c r="Y14" s="40" t="str">
        <f>CONCATENATE(SUBSTITUTE(Z14," ",""),"c")</f>
        <v>NIOSSportzDTc</v>
      </c>
      <c r="Z14" s="40" t="s">
        <v>397</v>
      </c>
      <c r="AA14" s="54" t="s">
        <v>485</v>
      </c>
      <c r="AC14" s="275"/>
      <c r="AD14" s="74" t="str">
        <f t="shared" si="1"/>
        <v>EXTERSXOCONNECTAMTc</v>
      </c>
      <c r="AE14" s="74" t="s">
        <v>543</v>
      </c>
      <c r="AF14" s="297"/>
    </row>
    <row r="15" spans="1:32" x14ac:dyDescent="0.3">
      <c r="B15" t="s">
        <v>48</v>
      </c>
      <c r="C15">
        <v>400</v>
      </c>
      <c r="J15" s="26" t="s">
        <v>543</v>
      </c>
      <c r="M15" s="26" t="s">
        <v>544</v>
      </c>
      <c r="N15" s="26" t="s">
        <v>545</v>
      </c>
      <c r="O15" s="26" t="s">
        <v>546</v>
      </c>
      <c r="R15" s="23" t="s">
        <v>636</v>
      </c>
      <c r="X15" s="268"/>
      <c r="Y15" s="46"/>
      <c r="Z15" s="46"/>
      <c r="AA15" s="55" t="s">
        <v>488</v>
      </c>
      <c r="AC15" s="275"/>
      <c r="AD15" s="74" t="str">
        <f t="shared" si="1"/>
        <v>EXTERSCNGc</v>
      </c>
      <c r="AE15" s="74" t="s">
        <v>412</v>
      </c>
      <c r="AF15" s="297"/>
    </row>
    <row r="16" spans="1:32" x14ac:dyDescent="0.3">
      <c r="B16" t="s">
        <v>49</v>
      </c>
      <c r="C16">
        <v>500</v>
      </c>
      <c r="J16" s="26" t="s">
        <v>569</v>
      </c>
      <c r="N16" s="26" t="s">
        <v>570</v>
      </c>
      <c r="O16" s="26" t="s">
        <v>571</v>
      </c>
      <c r="R16" s="23" t="s">
        <v>638</v>
      </c>
      <c r="Y16" s="56"/>
      <c r="Z16" s="56"/>
      <c r="AA16" s="56"/>
      <c r="AC16" s="276"/>
      <c r="AD16" s="76" t="str">
        <f t="shared" si="1"/>
        <v>EXTERSXCNGc</v>
      </c>
      <c r="AE16" s="76" t="s">
        <v>413</v>
      </c>
      <c r="AF16" s="298"/>
    </row>
    <row r="17" spans="2:37" x14ac:dyDescent="0.3">
      <c r="B17" t="s">
        <v>50</v>
      </c>
      <c r="C17">
        <v>2000</v>
      </c>
      <c r="G17" t="s">
        <v>72</v>
      </c>
      <c r="J17" s="23" t="s">
        <v>412</v>
      </c>
      <c r="N17" s="26" t="s">
        <v>572</v>
      </c>
      <c r="O17" s="26" t="s">
        <v>573</v>
      </c>
      <c r="R17" s="23" t="s">
        <v>640</v>
      </c>
    </row>
    <row r="18" spans="2:37" x14ac:dyDescent="0.3">
      <c r="B18" t="s">
        <v>51</v>
      </c>
      <c r="C18">
        <v>2000</v>
      </c>
      <c r="G18" t="s">
        <v>73</v>
      </c>
      <c r="J18" s="23" t="s">
        <v>413</v>
      </c>
      <c r="N18" s="26" t="s">
        <v>574</v>
      </c>
      <c r="O18" s="26" t="s">
        <v>575</v>
      </c>
      <c r="R18" s="23" t="s">
        <v>615</v>
      </c>
      <c r="X18" s="48" t="s">
        <v>605</v>
      </c>
      <c r="Y18" s="49" t="s">
        <v>603</v>
      </c>
      <c r="Z18" s="49" t="s">
        <v>601</v>
      </c>
      <c r="AA18" s="50" t="s">
        <v>602</v>
      </c>
      <c r="AC18" s="47" t="s">
        <v>605</v>
      </c>
      <c r="AD18" s="69" t="s">
        <v>603</v>
      </c>
      <c r="AE18" s="70" t="s">
        <v>601</v>
      </c>
      <c r="AF18" s="71" t="s">
        <v>602</v>
      </c>
    </row>
    <row r="19" spans="2:37" x14ac:dyDescent="0.3">
      <c r="C19">
        <v>11230</v>
      </c>
      <c r="G19" t="s">
        <v>74</v>
      </c>
      <c r="N19" s="26" t="s">
        <v>576</v>
      </c>
      <c r="O19" s="23" t="s">
        <v>452</v>
      </c>
      <c r="R19" s="23" t="s">
        <v>642</v>
      </c>
      <c r="X19" s="287" t="s">
        <v>607</v>
      </c>
      <c r="Y19" s="301" t="str">
        <f t="shared" ref="Y19" si="2">CONCATENATE(SUBSTITUTE(Z19," ",""),"c")</f>
        <v>NIOSErac</v>
      </c>
      <c r="Z19" s="301" t="s">
        <v>394</v>
      </c>
      <c r="AA19" s="54" t="s">
        <v>484</v>
      </c>
      <c r="AC19" s="269"/>
      <c r="AD19" s="41" t="s">
        <v>493</v>
      </c>
      <c r="AE19" s="41" t="s">
        <v>408</v>
      </c>
      <c r="AF19" s="42" t="s">
        <v>495</v>
      </c>
    </row>
    <row r="20" spans="2:37" x14ac:dyDescent="0.3">
      <c r="G20" t="s">
        <v>75</v>
      </c>
      <c r="N20" s="23" t="s">
        <v>746</v>
      </c>
      <c r="O20" s="23" t="s">
        <v>453</v>
      </c>
      <c r="R20" s="23" t="s">
        <v>644</v>
      </c>
      <c r="X20" s="287"/>
      <c r="Y20" s="301"/>
      <c r="Z20" s="301"/>
      <c r="AA20" s="54" t="s">
        <v>486</v>
      </c>
      <c r="AC20" s="270"/>
      <c r="AD20" t="s">
        <v>599</v>
      </c>
      <c r="AE20" t="s">
        <v>537</v>
      </c>
      <c r="AF20" s="43" t="s">
        <v>497</v>
      </c>
    </row>
    <row r="21" spans="2:37" x14ac:dyDescent="0.3">
      <c r="G21" t="s">
        <v>76</v>
      </c>
      <c r="N21" s="23" t="s">
        <v>440</v>
      </c>
      <c r="O21" s="23" t="s">
        <v>454</v>
      </c>
      <c r="R21" s="23" t="s">
        <v>652</v>
      </c>
      <c r="X21" s="288"/>
      <c r="Y21" s="302"/>
      <c r="Z21" s="302"/>
      <c r="AA21" s="55" t="s">
        <v>489</v>
      </c>
      <c r="AC21" s="270"/>
      <c r="AD21" t="s">
        <v>494</v>
      </c>
      <c r="AE21" t="s">
        <v>411</v>
      </c>
      <c r="AF21" s="43" t="s">
        <v>499</v>
      </c>
      <c r="AG21" s="21"/>
      <c r="AH21" s="21"/>
      <c r="AI21" s="21"/>
      <c r="AJ21" s="21"/>
      <c r="AK21" s="21"/>
    </row>
    <row r="22" spans="2:37" x14ac:dyDescent="0.3">
      <c r="G22" t="s">
        <v>77</v>
      </c>
      <c r="N22" s="23" t="s">
        <v>441</v>
      </c>
      <c r="O22" s="26" t="s">
        <v>577</v>
      </c>
      <c r="R22" s="23" t="s">
        <v>646</v>
      </c>
      <c r="AC22" s="271"/>
      <c r="AD22" s="44" t="s">
        <v>600</v>
      </c>
      <c r="AE22" s="44" t="s">
        <v>569</v>
      </c>
      <c r="AF22" s="45"/>
      <c r="AG22" s="21"/>
      <c r="AH22" s="21"/>
      <c r="AI22" s="21"/>
      <c r="AJ22" s="21"/>
      <c r="AK22" s="21"/>
    </row>
    <row r="23" spans="2:37" x14ac:dyDescent="0.3">
      <c r="G23" t="s">
        <v>78</v>
      </c>
      <c r="N23" s="26" t="s">
        <v>578</v>
      </c>
      <c r="O23" s="26" t="s">
        <v>579</v>
      </c>
      <c r="R23" s="23" t="s">
        <v>616</v>
      </c>
      <c r="X23" s="51" t="s">
        <v>605</v>
      </c>
      <c r="Y23" s="57" t="s">
        <v>603</v>
      </c>
      <c r="Z23" s="57" t="s">
        <v>601</v>
      </c>
      <c r="AA23" s="58" t="s">
        <v>602</v>
      </c>
      <c r="AG23" s="21"/>
      <c r="AH23" s="21"/>
      <c r="AI23" s="21"/>
      <c r="AJ23" s="21"/>
      <c r="AK23" s="21"/>
    </row>
    <row r="24" spans="2:37" x14ac:dyDescent="0.3">
      <c r="B24" t="s">
        <v>52</v>
      </c>
      <c r="G24" t="s">
        <v>79</v>
      </c>
      <c r="N24" s="26" t="s">
        <v>580</v>
      </c>
      <c r="O24" s="23" t="s">
        <v>455</v>
      </c>
      <c r="R24" s="23" t="s">
        <v>618</v>
      </c>
      <c r="X24" s="286" t="s">
        <v>608</v>
      </c>
      <c r="Y24" s="52" t="str">
        <f t="shared" ref="Y24:Y32" si="3">CONCATENATE(SUBSTITUTE(Z24," ",""),"c")</f>
        <v>Newi20EraMTc</v>
      </c>
      <c r="Z24" s="52" t="s">
        <v>414</v>
      </c>
      <c r="AA24" s="53" t="s">
        <v>484</v>
      </c>
      <c r="AC24" s="66" t="s">
        <v>605</v>
      </c>
      <c r="AD24" s="67" t="s">
        <v>603</v>
      </c>
      <c r="AE24" s="31" t="s">
        <v>601</v>
      </c>
      <c r="AF24" s="68" t="s">
        <v>602</v>
      </c>
      <c r="AG24" s="21"/>
      <c r="AH24" s="21"/>
      <c r="AI24" s="21"/>
      <c r="AJ24" s="21"/>
      <c r="AK24" s="21"/>
    </row>
    <row r="25" spans="2:37" x14ac:dyDescent="0.3">
      <c r="B25" t="s">
        <v>43</v>
      </c>
      <c r="C25">
        <v>1500</v>
      </c>
      <c r="G25" t="s">
        <v>80</v>
      </c>
      <c r="N25" s="23" t="s">
        <v>442</v>
      </c>
      <c r="O25" s="23" t="s">
        <v>456</v>
      </c>
      <c r="X25" s="287"/>
      <c r="Y25" s="40" t="str">
        <f t="shared" si="3"/>
        <v>Newi20MagnaMTc</v>
      </c>
      <c r="Z25" s="40" t="s">
        <v>415</v>
      </c>
      <c r="AA25" s="54" t="s">
        <v>487</v>
      </c>
      <c r="AC25" s="269"/>
      <c r="AD25" s="41" t="str">
        <f t="shared" ref="AD25:AD31" si="4">CONCATENATE(SUBSTITUTE(AE25," ",""),"c")</f>
        <v>AuraEc</v>
      </c>
      <c r="AE25" s="41" t="s">
        <v>420</v>
      </c>
      <c r="AF25" s="42" t="s">
        <v>484</v>
      </c>
      <c r="AG25" s="21"/>
      <c r="AH25" s="21"/>
      <c r="AI25" s="21"/>
      <c r="AJ25" s="21"/>
      <c r="AK25" s="21"/>
    </row>
    <row r="26" spans="2:37" x14ac:dyDescent="0.3">
      <c r="B26" t="s">
        <v>44</v>
      </c>
      <c r="C26">
        <v>600</v>
      </c>
      <c r="N26" s="26" t="s">
        <v>582</v>
      </c>
      <c r="O26" s="26" t="s">
        <v>583</v>
      </c>
      <c r="X26" s="287"/>
      <c r="Y26" s="40" t="str">
        <f t="shared" si="3"/>
        <v>Newi20SportzMTc</v>
      </c>
      <c r="Z26" s="40" t="s">
        <v>416</v>
      </c>
      <c r="AA26" s="54" t="s">
        <v>498</v>
      </c>
      <c r="AC26" s="270"/>
      <c r="AD26" t="str">
        <f t="shared" si="4"/>
        <v>AuraSc</v>
      </c>
      <c r="AE26" t="s">
        <v>421</v>
      </c>
      <c r="AF26" s="43" t="s">
        <v>490</v>
      </c>
      <c r="AG26" s="21"/>
      <c r="AH26" s="21"/>
      <c r="AI26" s="21"/>
      <c r="AJ26" s="21"/>
      <c r="AK26" s="21"/>
    </row>
    <row r="27" spans="2:37" x14ac:dyDescent="0.3">
      <c r="B27" t="s">
        <v>48</v>
      </c>
      <c r="C27">
        <v>400</v>
      </c>
      <c r="N27" s="26" t="s">
        <v>584</v>
      </c>
      <c r="O27" s="26" t="s">
        <v>585</v>
      </c>
      <c r="X27" s="287"/>
      <c r="Y27" s="40" t="str">
        <f t="shared" si="3"/>
        <v>Newi20SportzOMTc</v>
      </c>
      <c r="Z27" s="40" t="s">
        <v>552</v>
      </c>
      <c r="AA27" s="54" t="s">
        <v>501</v>
      </c>
      <c r="AC27" s="270"/>
      <c r="AD27" t="str">
        <f t="shared" si="4"/>
        <v>AuraSXc</v>
      </c>
      <c r="AE27" t="s">
        <v>422</v>
      </c>
      <c r="AF27" s="43" t="s">
        <v>501</v>
      </c>
      <c r="AG27" s="21"/>
      <c r="AH27" s="21"/>
      <c r="AI27" s="21"/>
      <c r="AJ27" s="21"/>
      <c r="AK27" s="21"/>
    </row>
    <row r="28" spans="2:37" x14ac:dyDescent="0.3">
      <c r="B28" t="s">
        <v>49</v>
      </c>
      <c r="C28">
        <v>500</v>
      </c>
      <c r="F28" t="s">
        <v>56</v>
      </c>
      <c r="G28" t="s">
        <v>81</v>
      </c>
      <c r="O28" s="26" t="s">
        <v>586</v>
      </c>
      <c r="X28" s="287"/>
      <c r="Y28" s="40" t="str">
        <f t="shared" si="3"/>
        <v>Newi20AstaMTc</v>
      </c>
      <c r="Z28" s="40" t="s">
        <v>418</v>
      </c>
      <c r="AA28" s="54" t="s">
        <v>486</v>
      </c>
      <c r="AC28" s="270"/>
      <c r="AD28" t="str">
        <f t="shared" si="4"/>
        <v>AuraSXOc</v>
      </c>
      <c r="AE28" t="s">
        <v>548</v>
      </c>
      <c r="AF28" s="43" t="s">
        <v>492</v>
      </c>
      <c r="AG28" s="21"/>
      <c r="AH28" s="21"/>
      <c r="AI28" s="21"/>
      <c r="AJ28" s="21"/>
      <c r="AK28" s="21"/>
    </row>
    <row r="29" spans="2:37" x14ac:dyDescent="0.3">
      <c r="B29" t="s">
        <v>51</v>
      </c>
      <c r="C29">
        <v>2000</v>
      </c>
      <c r="F29" t="s">
        <v>58</v>
      </c>
      <c r="G29" t="s">
        <v>82</v>
      </c>
      <c r="O29" s="26" t="s">
        <v>587</v>
      </c>
      <c r="X29" s="287"/>
      <c r="Y29" s="40" t="str">
        <f t="shared" si="3"/>
        <v>Newi20AstaOMTc</v>
      </c>
      <c r="Z29" s="40" t="s">
        <v>556</v>
      </c>
      <c r="AA29" s="54" t="s">
        <v>489</v>
      </c>
      <c r="AC29" s="270"/>
      <c r="AD29" t="str">
        <f t="shared" si="4"/>
        <v>AuraSXPlusAMTc</v>
      </c>
      <c r="AE29" t="s">
        <v>612</v>
      </c>
      <c r="AF29" s="43" t="s">
        <v>486</v>
      </c>
      <c r="AG29" s="21"/>
      <c r="AH29" s="21"/>
      <c r="AI29" s="21"/>
      <c r="AJ29" s="21"/>
      <c r="AK29" s="21"/>
    </row>
    <row r="30" spans="2:37" x14ac:dyDescent="0.3">
      <c r="C30">
        <v>5000</v>
      </c>
      <c r="F30" t="s">
        <v>57</v>
      </c>
      <c r="G30" t="s">
        <v>83</v>
      </c>
      <c r="X30" s="287"/>
      <c r="Y30" s="40" t="str">
        <f t="shared" si="3"/>
        <v>Newi20SportziVTc</v>
      </c>
      <c r="Z30" s="40" t="s">
        <v>419</v>
      </c>
      <c r="AA30" s="289"/>
      <c r="AC30" s="270"/>
      <c r="AD30" t="str">
        <f t="shared" si="4"/>
        <v>AuraSCNGc</v>
      </c>
      <c r="AE30" t="s">
        <v>423</v>
      </c>
      <c r="AF30" s="43" t="s">
        <v>503</v>
      </c>
    </row>
    <row r="31" spans="2:37" x14ac:dyDescent="0.3">
      <c r="F31" t="s">
        <v>64</v>
      </c>
      <c r="G31" t="s">
        <v>83</v>
      </c>
      <c r="X31" s="287"/>
      <c r="Y31" s="40" t="str">
        <f t="shared" si="3"/>
        <v>Newi20SportzOiVTc</v>
      </c>
      <c r="Z31" s="40" t="s">
        <v>561</v>
      </c>
      <c r="AA31" s="289"/>
      <c r="AC31" s="271"/>
      <c r="AD31" s="44" t="str">
        <f t="shared" si="4"/>
        <v>AuraSXCNGc</v>
      </c>
      <c r="AE31" s="44" t="s">
        <v>424</v>
      </c>
      <c r="AF31" s="45"/>
    </row>
    <row r="32" spans="2:37" x14ac:dyDescent="0.3">
      <c r="F32" t="s">
        <v>65</v>
      </c>
      <c r="G32" t="s">
        <v>84</v>
      </c>
      <c r="X32" s="288"/>
      <c r="Y32" s="46" t="str">
        <f t="shared" si="3"/>
        <v>Newi20AstaOiVTc</v>
      </c>
      <c r="Z32" s="46" t="s">
        <v>564</v>
      </c>
      <c r="AA32" s="290"/>
    </row>
    <row r="33" spans="2:32" x14ac:dyDescent="0.3">
      <c r="B33" t="s">
        <v>53</v>
      </c>
      <c r="F33" t="s">
        <v>66</v>
      </c>
      <c r="G33" t="s">
        <v>84</v>
      </c>
      <c r="Y33" s="56"/>
      <c r="Z33" s="56"/>
      <c r="AA33" s="56"/>
      <c r="AB33" s="34"/>
      <c r="AC33" s="80" t="s">
        <v>605</v>
      </c>
      <c r="AD33" s="82" t="s">
        <v>603</v>
      </c>
      <c r="AE33" s="82" t="s">
        <v>601</v>
      </c>
      <c r="AF33" s="81" t="s">
        <v>602</v>
      </c>
    </row>
    <row r="34" spans="2:32" x14ac:dyDescent="0.3">
      <c r="B34" t="s">
        <v>54</v>
      </c>
      <c r="C34">
        <v>600</v>
      </c>
      <c r="F34" t="s">
        <v>67</v>
      </c>
      <c r="G34" t="s">
        <v>85</v>
      </c>
      <c r="X34" s="48" t="s">
        <v>605</v>
      </c>
      <c r="Y34" s="49" t="s">
        <v>603</v>
      </c>
      <c r="Z34" s="49" t="s">
        <v>601</v>
      </c>
      <c r="AA34" s="50" t="s">
        <v>602</v>
      </c>
      <c r="AC34" s="274" t="s">
        <v>67</v>
      </c>
      <c r="AD34" s="72" t="str">
        <f t="shared" ref="AD34:AD43" si="5">CONCATENATE(SUBSTITUTE(AE34," ",""),"c")</f>
        <v>Verna1.5MPiMTEXc</v>
      </c>
      <c r="AE34" s="72" t="s">
        <v>425</v>
      </c>
      <c r="AF34" s="73" t="s">
        <v>484</v>
      </c>
    </row>
    <row r="35" spans="2:32" x14ac:dyDescent="0.3">
      <c r="B35" t="s">
        <v>43</v>
      </c>
      <c r="C35">
        <v>1500</v>
      </c>
      <c r="F35" t="s">
        <v>68</v>
      </c>
      <c r="G35" t="s">
        <v>86</v>
      </c>
      <c r="X35" s="287" t="s">
        <v>609</v>
      </c>
      <c r="Y35" s="40" t="str">
        <f t="shared" ref="Y35:Y38" si="6">CONCATENATE(SUBSTITUTE(Z35," ",""),"c")</f>
        <v>Newi20SportzMTDTc</v>
      </c>
      <c r="Z35" s="40" t="s">
        <v>417</v>
      </c>
      <c r="AA35" s="54" t="s">
        <v>495</v>
      </c>
      <c r="AC35" s="275"/>
      <c r="AD35" s="74" t="str">
        <f t="shared" si="5"/>
        <v>Verna1.5MPiMTSc</v>
      </c>
      <c r="AE35" s="74" t="s">
        <v>426</v>
      </c>
      <c r="AF35" s="75" t="s">
        <v>504</v>
      </c>
    </row>
    <row r="36" spans="2:32" x14ac:dyDescent="0.3">
      <c r="B36" t="s">
        <v>45</v>
      </c>
      <c r="C36">
        <v>200</v>
      </c>
      <c r="F36" t="s">
        <v>69</v>
      </c>
      <c r="G36" t="s">
        <v>87</v>
      </c>
      <c r="X36" s="287"/>
      <c r="Y36" s="40" t="str">
        <f t="shared" si="6"/>
        <v>Newi20SportzOMTDTc</v>
      </c>
      <c r="Z36" s="40" t="s">
        <v>554</v>
      </c>
      <c r="AA36" s="54" t="s">
        <v>502</v>
      </c>
      <c r="AC36" s="275"/>
      <c r="AD36" s="74" t="str">
        <f t="shared" si="5"/>
        <v>Verna1.5MPiMTSXc</v>
      </c>
      <c r="AE36" s="74" t="s">
        <v>427</v>
      </c>
      <c r="AF36" s="75" t="s">
        <v>498</v>
      </c>
    </row>
    <row r="37" spans="2:32" x14ac:dyDescent="0.3">
      <c r="B37" t="s">
        <v>55</v>
      </c>
      <c r="C37">
        <v>500</v>
      </c>
      <c r="F37" t="s">
        <v>70</v>
      </c>
      <c r="G37" t="s">
        <v>88</v>
      </c>
      <c r="X37" s="287"/>
      <c r="Y37" s="40" t="str">
        <f t="shared" si="6"/>
        <v>Newi20AstaOMTDTc</v>
      </c>
      <c r="Z37" s="40" t="s">
        <v>558</v>
      </c>
      <c r="AA37" s="289"/>
      <c r="AC37" s="275"/>
      <c r="AD37" s="74" t="str">
        <f t="shared" si="5"/>
        <v>Verna1.5MPiMTSXOc</v>
      </c>
      <c r="AE37" s="74" t="s">
        <v>549</v>
      </c>
      <c r="AF37" s="75" t="s">
        <v>501</v>
      </c>
    </row>
    <row r="38" spans="2:32" x14ac:dyDescent="0.3">
      <c r="B38" t="s">
        <v>47</v>
      </c>
      <c r="C38">
        <v>30</v>
      </c>
      <c r="F38" t="s">
        <v>71</v>
      </c>
      <c r="G38" t="s">
        <v>89</v>
      </c>
      <c r="X38" s="288"/>
      <c r="Y38" s="46" t="str">
        <f t="shared" si="6"/>
        <v>Newi20AstaOiVTDTc</v>
      </c>
      <c r="Z38" s="46" t="s">
        <v>539</v>
      </c>
      <c r="AA38" s="290"/>
      <c r="AC38" s="275"/>
      <c r="AD38" s="74" t="str">
        <f t="shared" si="5"/>
        <v>Verna1.5MPiiVTSXc</v>
      </c>
      <c r="AE38" s="74" t="s">
        <v>428</v>
      </c>
      <c r="AF38" s="75" t="s">
        <v>506</v>
      </c>
    </row>
    <row r="39" spans="2:32" x14ac:dyDescent="0.3">
      <c r="B39" t="s">
        <v>50</v>
      </c>
      <c r="C39">
        <v>300</v>
      </c>
      <c r="AC39" s="275"/>
      <c r="AD39" s="74" t="str">
        <f t="shared" si="5"/>
        <v>Verna1.5MPiiVTSXOc</v>
      </c>
      <c r="AE39" s="74" t="s">
        <v>555</v>
      </c>
      <c r="AF39" s="75" t="s">
        <v>486</v>
      </c>
    </row>
    <row r="40" spans="2:32" x14ac:dyDescent="0.3">
      <c r="B40" t="s">
        <v>48</v>
      </c>
      <c r="C40">
        <v>400</v>
      </c>
      <c r="X40" s="48" t="s">
        <v>605</v>
      </c>
      <c r="Y40" s="49" t="s">
        <v>603</v>
      </c>
      <c r="Z40" s="49" t="s">
        <v>601</v>
      </c>
      <c r="AA40" s="50" t="s">
        <v>602</v>
      </c>
      <c r="AC40" s="275"/>
      <c r="AD40" s="74" t="str">
        <f t="shared" si="5"/>
        <v>Verna1.5TurboGDiMTSXc</v>
      </c>
      <c r="AE40" s="74" t="s">
        <v>429</v>
      </c>
      <c r="AF40" s="75" t="s">
        <v>489</v>
      </c>
    </row>
    <row r="41" spans="2:32" x14ac:dyDescent="0.3">
      <c r="B41" t="s">
        <v>49</v>
      </c>
      <c r="C41">
        <v>500</v>
      </c>
      <c r="X41" s="287" t="s">
        <v>611</v>
      </c>
      <c r="Y41" s="40" t="s">
        <v>525</v>
      </c>
      <c r="Z41" s="40" t="s">
        <v>457</v>
      </c>
      <c r="AA41" s="54" t="s">
        <v>484</v>
      </c>
      <c r="AC41" s="275"/>
      <c r="AD41" s="74" t="str">
        <f t="shared" si="5"/>
        <v>Verna1.5TurboGDiDCTSXc</v>
      </c>
      <c r="AE41" s="74" t="s">
        <v>431</v>
      </c>
      <c r="AF41" s="297"/>
    </row>
    <row r="42" spans="2:32" x14ac:dyDescent="0.3">
      <c r="B42" t="s">
        <v>51</v>
      </c>
      <c r="C42">
        <v>2000</v>
      </c>
      <c r="X42" s="287"/>
      <c r="Y42" s="40" t="s">
        <v>526</v>
      </c>
      <c r="Z42" s="40" t="s">
        <v>459</v>
      </c>
      <c r="AA42" s="60" t="s">
        <v>504</v>
      </c>
      <c r="AC42" s="275"/>
      <c r="AD42" s="74" t="str">
        <f t="shared" si="5"/>
        <v>Verna1.5TurboGDiMTSXOc</v>
      </c>
      <c r="AE42" s="74" t="s">
        <v>562</v>
      </c>
      <c r="AF42" s="297"/>
    </row>
    <row r="43" spans="2:32" x14ac:dyDescent="0.3">
      <c r="C43">
        <v>6030</v>
      </c>
      <c r="X43" s="287"/>
      <c r="Y43" s="40" t="s">
        <v>527</v>
      </c>
      <c r="Z43" s="40" t="s">
        <v>461</v>
      </c>
      <c r="AA43" s="54" t="s">
        <v>501</v>
      </c>
      <c r="AC43" s="276"/>
      <c r="AD43" s="76" t="str">
        <f t="shared" si="5"/>
        <v>Verna1.5TurboGDiDCTSXOc</v>
      </c>
      <c r="AE43" s="76" t="s">
        <v>540</v>
      </c>
      <c r="AF43" s="298"/>
    </row>
    <row r="44" spans="2:32" x14ac:dyDescent="0.3">
      <c r="X44" s="287"/>
      <c r="Y44" s="40" t="s">
        <v>528</v>
      </c>
      <c r="Z44" s="40" t="s">
        <v>463</v>
      </c>
      <c r="AA44" s="54" t="s">
        <v>519</v>
      </c>
      <c r="AB44" s="21"/>
    </row>
    <row r="45" spans="2:32" x14ac:dyDescent="0.3">
      <c r="X45" s="288"/>
      <c r="Y45" s="46"/>
      <c r="Z45" s="46"/>
      <c r="AA45" s="55" t="s">
        <v>486</v>
      </c>
      <c r="AC45" s="47" t="s">
        <v>605</v>
      </c>
      <c r="AD45" s="57" t="s">
        <v>603</v>
      </c>
      <c r="AE45" s="57" t="s">
        <v>601</v>
      </c>
      <c r="AF45" s="58" t="s">
        <v>602</v>
      </c>
    </row>
    <row r="46" spans="2:32" x14ac:dyDescent="0.3">
      <c r="AC46" s="269" t="s">
        <v>67</v>
      </c>
      <c r="AD46" s="52" t="str">
        <f>CONCATENATE(SUBSTITUTE(AE46," ",""),"c")</f>
        <v>Verna1.5TurboGDiMTSXDTc</v>
      </c>
      <c r="AE46" s="52" t="s">
        <v>430</v>
      </c>
      <c r="AF46" s="53" t="s">
        <v>485</v>
      </c>
    </row>
    <row r="47" spans="2:32" x14ac:dyDescent="0.3">
      <c r="X47" s="48" t="s">
        <v>605</v>
      </c>
      <c r="Y47" s="49" t="s">
        <v>603</v>
      </c>
      <c r="Z47" s="49" t="s">
        <v>601</v>
      </c>
      <c r="AA47" s="50" t="s">
        <v>602</v>
      </c>
      <c r="AC47" s="270"/>
      <c r="AD47" s="40" t="str">
        <f>CONCATENATE(SUBSTITUTE(AE47," ",""),"c")</f>
        <v>Verna1.5TurboGDiDCTSXDTc</v>
      </c>
      <c r="AE47" s="40" t="s">
        <v>432</v>
      </c>
      <c r="AF47" s="54" t="s">
        <v>505</v>
      </c>
    </row>
    <row r="48" spans="2:32" x14ac:dyDescent="0.3">
      <c r="X48" s="299" t="s">
        <v>64</v>
      </c>
      <c r="Y48" s="40" t="s">
        <v>529</v>
      </c>
      <c r="Z48" s="40" t="s">
        <v>458</v>
      </c>
      <c r="AA48" s="54" t="s">
        <v>495</v>
      </c>
      <c r="AC48" s="270"/>
      <c r="AD48" s="40" t="str">
        <f>CONCATENATE(SUBSTITUTE(AE48," ",""),"c")</f>
        <v>Verna1.5TurboGDiMTSXODTc</v>
      </c>
      <c r="AE48" s="40" t="s">
        <v>565</v>
      </c>
      <c r="AF48" s="272"/>
    </row>
    <row r="49" spans="2:52" x14ac:dyDescent="0.3">
      <c r="B49" t="s">
        <v>146</v>
      </c>
      <c r="E49" t="s">
        <v>147</v>
      </c>
      <c r="G49" t="s">
        <v>393</v>
      </c>
      <c r="I49" s="305" t="s">
        <v>778</v>
      </c>
      <c r="J49" s="146" t="s">
        <v>473</v>
      </c>
      <c r="K49" s="304" t="s">
        <v>770</v>
      </c>
      <c r="L49" s="307" t="s">
        <v>785</v>
      </c>
      <c r="X49" s="299"/>
      <c r="Y49" s="40" t="s">
        <v>530</v>
      </c>
      <c r="Z49" s="40" t="s">
        <v>460</v>
      </c>
      <c r="AA49" s="54" t="s">
        <v>513</v>
      </c>
      <c r="AC49" s="271"/>
      <c r="AD49" s="46" t="str">
        <f>CONCATENATE(SUBSTITUTE(AE49," ",""),"c")</f>
        <v>Verna1.5TurboGDiDCTSXODTc</v>
      </c>
      <c r="AE49" s="46" t="s">
        <v>544</v>
      </c>
      <c r="AF49" s="273"/>
    </row>
    <row r="50" spans="2:52" x14ac:dyDescent="0.3">
      <c r="B50" t="s">
        <v>371</v>
      </c>
      <c r="E50" t="s">
        <v>148</v>
      </c>
      <c r="G50" t="s">
        <v>149</v>
      </c>
      <c r="I50" s="306" t="s">
        <v>777</v>
      </c>
      <c r="J50" s="143" t="s">
        <v>56</v>
      </c>
      <c r="K50" s="43" t="s">
        <v>772</v>
      </c>
      <c r="L50" s="308" t="s">
        <v>780</v>
      </c>
      <c r="X50" s="299"/>
      <c r="Y50" s="40" t="s">
        <v>531</v>
      </c>
      <c r="Z50" s="40" t="s">
        <v>462</v>
      </c>
      <c r="AA50" s="54"/>
      <c r="AT50" s="26" t="s">
        <v>588</v>
      </c>
      <c r="AU50" s="26" t="s">
        <v>589</v>
      </c>
      <c r="AV50" t="s">
        <v>522</v>
      </c>
      <c r="AW50" s="26" t="s">
        <v>590</v>
      </c>
      <c r="AX50" s="26" t="s">
        <v>591</v>
      </c>
    </row>
    <row r="51" spans="2:52" ht="15" thickBot="1" x14ac:dyDescent="0.35">
      <c r="B51" t="s">
        <v>372</v>
      </c>
      <c r="E51" t="s">
        <v>150</v>
      </c>
      <c r="G51" t="s">
        <v>151</v>
      </c>
      <c r="J51" s="143" t="s">
        <v>289</v>
      </c>
      <c r="K51" s="43" t="s">
        <v>773</v>
      </c>
      <c r="L51" s="308" t="s">
        <v>781</v>
      </c>
      <c r="X51" s="300"/>
      <c r="Y51" s="46" t="s">
        <v>532</v>
      </c>
      <c r="Z51" s="46" t="s">
        <v>464</v>
      </c>
      <c r="AA51" s="55"/>
      <c r="AT51" s="28" t="s">
        <v>578</v>
      </c>
      <c r="AU51" s="28" t="s">
        <v>580</v>
      </c>
      <c r="AV51" s="24" t="s">
        <v>442</v>
      </c>
      <c r="AW51" s="28" t="s">
        <v>582</v>
      </c>
      <c r="AX51" s="28" t="s">
        <v>584</v>
      </c>
    </row>
    <row r="52" spans="2:52" x14ac:dyDescent="0.3">
      <c r="B52" t="s">
        <v>373</v>
      </c>
      <c r="E52" t="s">
        <v>152</v>
      </c>
      <c r="G52" t="s">
        <v>153</v>
      </c>
      <c r="J52" s="143" t="s">
        <v>57</v>
      </c>
      <c r="K52" s="43" t="s">
        <v>774</v>
      </c>
      <c r="L52" s="309" t="s">
        <v>783</v>
      </c>
      <c r="AC52" s="34" t="s">
        <v>605</v>
      </c>
      <c r="AD52" s="35" t="s">
        <v>603</v>
      </c>
      <c r="AE52" s="36" t="s">
        <v>601</v>
      </c>
      <c r="AF52" s="37" t="s">
        <v>602</v>
      </c>
      <c r="AT52" s="27" t="s">
        <v>504</v>
      </c>
      <c r="AU52" s="27" t="s">
        <v>507</v>
      </c>
      <c r="AV52" s="27" t="s">
        <v>504</v>
      </c>
      <c r="AW52" s="27" t="s">
        <v>504</v>
      </c>
      <c r="AX52" s="27" t="s">
        <v>504</v>
      </c>
    </row>
    <row r="53" spans="2:52" x14ac:dyDescent="0.3">
      <c r="B53" t="s">
        <v>374</v>
      </c>
      <c r="E53" t="s">
        <v>154</v>
      </c>
      <c r="G53" t="s">
        <v>155</v>
      </c>
      <c r="J53" s="143" t="s">
        <v>90</v>
      </c>
      <c r="K53" s="43" t="s">
        <v>775</v>
      </c>
      <c r="L53" s="309" t="s">
        <v>782</v>
      </c>
      <c r="X53" s="51" t="s">
        <v>605</v>
      </c>
      <c r="Y53" s="57" t="s">
        <v>603</v>
      </c>
      <c r="Z53" s="57" t="s">
        <v>601</v>
      </c>
      <c r="AA53" s="58" t="s">
        <v>602</v>
      </c>
      <c r="AC53" s="283" t="s">
        <v>91</v>
      </c>
      <c r="AD53" t="str">
        <f>CONCATENATE(SUBSTITUTE(AE53," ",""),"c")</f>
        <v>VENUENline1.0TN6DTMTc</v>
      </c>
      <c r="AE53" s="25" t="s">
        <v>466</v>
      </c>
      <c r="AF53" s="27" t="s">
        <v>485</v>
      </c>
      <c r="AT53" s="25" t="s">
        <v>484</v>
      </c>
      <c r="AU53" s="27"/>
      <c r="AV53" s="25" t="s">
        <v>484</v>
      </c>
      <c r="AW53" s="25" t="s">
        <v>484</v>
      </c>
      <c r="AX53" s="25" t="s">
        <v>484</v>
      </c>
    </row>
    <row r="54" spans="2:52" x14ac:dyDescent="0.3">
      <c r="B54" t="s">
        <v>375</v>
      </c>
      <c r="E54" t="s">
        <v>156</v>
      </c>
      <c r="G54" t="s">
        <v>157</v>
      </c>
      <c r="J54" s="143" t="s">
        <v>67</v>
      </c>
      <c r="K54" s="43" t="s">
        <v>771</v>
      </c>
      <c r="L54" s="308" t="s">
        <v>784</v>
      </c>
      <c r="X54" s="291" t="s">
        <v>65</v>
      </c>
      <c r="Y54" s="52" t="str">
        <f t="shared" ref="Y54:Y71" si="7">CONCATENATE(SUBSTITUTE(Z54," ",""),"c")</f>
        <v>Venue1.2EMTc</v>
      </c>
      <c r="Z54" s="52" t="s">
        <v>433</v>
      </c>
      <c r="AA54" s="53" t="s">
        <v>484</v>
      </c>
      <c r="AC54" s="284"/>
      <c r="AD54" t="str">
        <f>CONCATENATE(SUBSTITUTE(AE54," ",""),"c")</f>
        <v>VENUENline1.0TN8DTMTc</v>
      </c>
      <c r="AE54" s="25" t="s">
        <v>468</v>
      </c>
      <c r="AF54" s="27" t="s">
        <v>521</v>
      </c>
      <c r="AT54" s="27" t="s">
        <v>489</v>
      </c>
      <c r="AU54" s="27"/>
      <c r="AV54" s="27" t="s">
        <v>489</v>
      </c>
      <c r="AW54" s="27" t="s">
        <v>489</v>
      </c>
      <c r="AX54" s="27" t="s">
        <v>489</v>
      </c>
    </row>
    <row r="55" spans="2:52" x14ac:dyDescent="0.3">
      <c r="B55" t="s">
        <v>376</v>
      </c>
      <c r="E55" t="s">
        <v>158</v>
      </c>
      <c r="G55" t="s">
        <v>159</v>
      </c>
      <c r="J55" s="143" t="s">
        <v>65</v>
      </c>
      <c r="K55" s="43" t="s">
        <v>771</v>
      </c>
      <c r="X55" s="267"/>
      <c r="Y55" s="40" t="str">
        <f t="shared" si="7"/>
        <v>Venue1.2SMTc</v>
      </c>
      <c r="Z55" s="40" t="s">
        <v>434</v>
      </c>
      <c r="AA55" s="60" t="s">
        <v>504</v>
      </c>
      <c r="AC55" s="284"/>
      <c r="AD55" t="str">
        <f>CONCATENATE(SUBSTITUTE(AE55," ",""),"c")</f>
        <v>VENUENline1.0TN6DTDCTc</v>
      </c>
      <c r="AE55" s="25" t="s">
        <v>470</v>
      </c>
      <c r="AF55" s="27" t="s">
        <v>513</v>
      </c>
      <c r="AT55" s="27" t="s">
        <v>508</v>
      </c>
      <c r="AU55" s="27"/>
      <c r="AV55" s="27" t="s">
        <v>508</v>
      </c>
      <c r="AW55" s="27" t="s">
        <v>508</v>
      </c>
      <c r="AX55" s="27" t="s">
        <v>508</v>
      </c>
    </row>
    <row r="56" spans="2:52" x14ac:dyDescent="0.3">
      <c r="B56" t="s">
        <v>377</v>
      </c>
      <c r="G56" t="s">
        <v>160</v>
      </c>
      <c r="J56" s="143" t="s">
        <v>68</v>
      </c>
      <c r="K56" s="43" t="s">
        <v>776</v>
      </c>
      <c r="X56" s="267"/>
      <c r="Y56" s="40" t="str">
        <f t="shared" si="7"/>
        <v>Venue1.2SOMTc</v>
      </c>
      <c r="Z56" s="40" t="s">
        <v>547</v>
      </c>
      <c r="AA56" s="54" t="s">
        <v>489</v>
      </c>
      <c r="AC56" s="285"/>
      <c r="AD56" t="str">
        <f>CONCATENATE(SUBSTITUTE(AE56," ",""),"c")</f>
        <v>VENUENline1.0TN8DTDCTc</v>
      </c>
      <c r="AE56" s="25" t="s">
        <v>472</v>
      </c>
      <c r="AT56" s="27" t="s">
        <v>498</v>
      </c>
      <c r="AU56" s="27"/>
      <c r="AV56" s="27" t="s">
        <v>498</v>
      </c>
      <c r="AW56" s="27" t="s">
        <v>498</v>
      </c>
      <c r="AX56" s="27" t="s">
        <v>498</v>
      </c>
    </row>
    <row r="57" spans="2:52" ht="15" thickBot="1" x14ac:dyDescent="0.35">
      <c r="B57" t="s">
        <v>378</v>
      </c>
      <c r="G57" t="s">
        <v>161</v>
      </c>
      <c r="J57" s="143" t="s">
        <v>325</v>
      </c>
      <c r="K57" s="43" t="s">
        <v>771</v>
      </c>
      <c r="X57" s="267"/>
      <c r="Y57" s="40" t="str">
        <f t="shared" si="7"/>
        <v>Venue1.2SOKnightMTc</v>
      </c>
      <c r="Z57" s="40" t="s">
        <v>550</v>
      </c>
      <c r="AA57" s="54" t="s">
        <v>508</v>
      </c>
      <c r="AT57" s="27" t="s">
        <v>486</v>
      </c>
      <c r="AU57" s="27"/>
      <c r="AV57" s="27" t="s">
        <v>486</v>
      </c>
      <c r="AW57" s="27" t="s">
        <v>486</v>
      </c>
      <c r="AX57" s="27" t="s">
        <v>486</v>
      </c>
    </row>
    <row r="58" spans="2:52" x14ac:dyDescent="0.3">
      <c r="B58" t="s">
        <v>379</v>
      </c>
      <c r="G58" t="s">
        <v>162</v>
      </c>
      <c r="J58" s="143" t="s">
        <v>70</v>
      </c>
      <c r="K58" s="43" t="s">
        <v>771</v>
      </c>
      <c r="X58" s="267"/>
      <c r="Y58" s="40" t="str">
        <f t="shared" si="7"/>
        <v>Venue1.2SXMTc</v>
      </c>
      <c r="Z58" s="40" t="s">
        <v>435</v>
      </c>
      <c r="AA58" s="54" t="s">
        <v>498</v>
      </c>
      <c r="AC58" s="34" t="s">
        <v>605</v>
      </c>
      <c r="AD58" s="35" t="s">
        <v>603</v>
      </c>
      <c r="AE58" s="36" t="s">
        <v>601</v>
      </c>
      <c r="AF58" s="37" t="s">
        <v>602</v>
      </c>
    </row>
    <row r="59" spans="2:52" x14ac:dyDescent="0.3">
      <c r="B59" t="s">
        <v>380</v>
      </c>
      <c r="G59" t="s">
        <v>163</v>
      </c>
      <c r="J59" s="143" t="s">
        <v>69</v>
      </c>
      <c r="K59" s="43" t="s">
        <v>771</v>
      </c>
      <c r="X59" s="267"/>
      <c r="Y59" s="40" t="str">
        <f t="shared" si="7"/>
        <v>Venue1.2SXKnightMTc</v>
      </c>
      <c r="Z59" s="40" t="s">
        <v>437</v>
      </c>
      <c r="AA59" s="54" t="s">
        <v>486</v>
      </c>
      <c r="AC59" s="280" t="s">
        <v>91</v>
      </c>
      <c r="AD59" t="str">
        <f>CONCATENATE(SUBSTITUTE(AE59," ",""),"c")</f>
        <v>VENUENline1.0TN6MTc</v>
      </c>
      <c r="AE59" s="25" t="s">
        <v>465</v>
      </c>
      <c r="AF59" s="27" t="s">
        <v>484</v>
      </c>
      <c r="AT59" t="s">
        <v>523</v>
      </c>
      <c r="AU59" s="26" t="s">
        <v>592</v>
      </c>
      <c r="AV59" s="26" t="s">
        <v>593</v>
      </c>
      <c r="AW59" s="26" t="s">
        <v>594</v>
      </c>
      <c r="AX59" t="s">
        <v>524</v>
      </c>
      <c r="AY59" s="26" t="s">
        <v>595</v>
      </c>
      <c r="AZ59" s="26" t="s">
        <v>596</v>
      </c>
    </row>
    <row r="60" spans="2:52" x14ac:dyDescent="0.3">
      <c r="B60" t="s">
        <v>381</v>
      </c>
      <c r="G60" t="s">
        <v>164</v>
      </c>
      <c r="J60" s="143" t="s">
        <v>64</v>
      </c>
      <c r="K60" s="43" t="s">
        <v>771</v>
      </c>
      <c r="X60" s="267"/>
      <c r="Y60" s="40" t="str">
        <f t="shared" si="7"/>
        <v>Venue1.0TSOMTc</v>
      </c>
      <c r="Z60" s="40" t="s">
        <v>559</v>
      </c>
      <c r="AA60" s="289"/>
      <c r="AC60" s="281"/>
      <c r="AD60" t="str">
        <f>CONCATENATE(SUBSTITUTE(AE60," ",""),"c")</f>
        <v>VENUENline1.0TN8MTc</v>
      </c>
      <c r="AE60" s="25" t="s">
        <v>467</v>
      </c>
      <c r="AF60" s="27" t="s">
        <v>520</v>
      </c>
      <c r="AT60" s="25" t="s">
        <v>451</v>
      </c>
      <c r="AU60" s="28" t="s">
        <v>542</v>
      </c>
      <c r="AV60" s="28" t="s">
        <v>571</v>
      </c>
      <c r="AW60" s="28" t="s">
        <v>575</v>
      </c>
      <c r="AX60" s="25" t="s">
        <v>456</v>
      </c>
      <c r="AY60" s="28" t="s">
        <v>585</v>
      </c>
      <c r="AZ60" s="28" t="s">
        <v>587</v>
      </c>
    </row>
    <row r="61" spans="2:52" x14ac:dyDescent="0.3">
      <c r="B61" t="s">
        <v>382</v>
      </c>
      <c r="G61" t="s">
        <v>165</v>
      </c>
      <c r="J61" s="144" t="s">
        <v>91</v>
      </c>
      <c r="K61" s="45" t="s">
        <v>771</v>
      </c>
      <c r="X61" s="267"/>
      <c r="Y61" s="40" t="str">
        <f t="shared" si="7"/>
        <v>Venue1.0TSXOMTc</v>
      </c>
      <c r="Z61" s="40" t="s">
        <v>560</v>
      </c>
      <c r="AA61" s="289"/>
      <c r="AC61" s="281"/>
      <c r="AD61" t="str">
        <f>CONCATENATE(SUBSTITUTE(AE61," ",""),"c")</f>
        <v>VENUENline1.0TN6DCTc</v>
      </c>
      <c r="AE61" s="25" t="s">
        <v>469</v>
      </c>
      <c r="AF61" s="292"/>
      <c r="AT61" s="27" t="s">
        <v>495</v>
      </c>
      <c r="AU61" s="27" t="s">
        <v>495</v>
      </c>
      <c r="AV61" s="27" t="s">
        <v>495</v>
      </c>
      <c r="AW61" s="27" t="s">
        <v>495</v>
      </c>
      <c r="AX61" s="27" t="s">
        <v>495</v>
      </c>
      <c r="AY61" s="27" t="s">
        <v>495</v>
      </c>
      <c r="AZ61" s="27" t="s">
        <v>495</v>
      </c>
    </row>
    <row r="62" spans="2:52" x14ac:dyDescent="0.3">
      <c r="B62" t="s">
        <v>383</v>
      </c>
      <c r="G62" t="s">
        <v>166</v>
      </c>
      <c r="X62" s="267"/>
      <c r="Y62" s="40" t="str">
        <f t="shared" si="7"/>
        <v>Venue1.0TSXOKnightMTc</v>
      </c>
      <c r="Z62" s="40" t="s">
        <v>566</v>
      </c>
      <c r="AA62" s="289"/>
      <c r="AC62" s="282"/>
      <c r="AD62" t="str">
        <f>CONCATENATE(SUBSTITUTE(AE62," ",""),"c")</f>
        <v>VENUENline1.0TN8DCTc</v>
      </c>
      <c r="AE62" s="25" t="s">
        <v>471</v>
      </c>
      <c r="AF62" s="293"/>
      <c r="AT62" s="27" t="s">
        <v>499</v>
      </c>
      <c r="AU62" s="27" t="s">
        <v>499</v>
      </c>
      <c r="AV62" s="27" t="s">
        <v>499</v>
      </c>
      <c r="AW62" s="27" t="s">
        <v>499</v>
      </c>
      <c r="AX62" s="27" t="s">
        <v>499</v>
      </c>
      <c r="AY62" s="27" t="s">
        <v>499</v>
      </c>
      <c r="AZ62" s="27" t="s">
        <v>499</v>
      </c>
    </row>
    <row r="63" spans="2:52" ht="15" thickBot="1" x14ac:dyDescent="0.35">
      <c r="B63" t="s">
        <v>384</v>
      </c>
      <c r="G63" t="s">
        <v>167</v>
      </c>
      <c r="X63" s="267"/>
      <c r="Y63" s="40" t="str">
        <f t="shared" si="7"/>
        <v>Venue1.0TSODCTc</v>
      </c>
      <c r="Z63" s="40" t="s">
        <v>545</v>
      </c>
      <c r="AA63" s="289"/>
      <c r="AT63" s="27"/>
      <c r="AU63" s="27"/>
      <c r="AV63" s="27"/>
      <c r="AW63" s="27"/>
      <c r="AX63" s="27"/>
      <c r="AY63" s="27"/>
      <c r="AZ63" s="27"/>
    </row>
    <row r="64" spans="2:52" x14ac:dyDescent="0.3">
      <c r="B64" t="s">
        <v>385</v>
      </c>
      <c r="G64" t="s">
        <v>168</v>
      </c>
      <c r="X64" s="267"/>
      <c r="Y64" s="40" t="str">
        <f t="shared" si="7"/>
        <v>Venue1.0TSXODCTc</v>
      </c>
      <c r="Z64" s="40" t="s">
        <v>570</v>
      </c>
      <c r="AA64" s="289"/>
      <c r="AC64" s="34" t="s">
        <v>605</v>
      </c>
      <c r="AD64" s="35" t="s">
        <v>603</v>
      </c>
      <c r="AE64" s="36" t="s">
        <v>601</v>
      </c>
      <c r="AF64" s="37" t="s">
        <v>602</v>
      </c>
      <c r="AT64" s="27"/>
      <c r="AU64" s="27"/>
      <c r="AV64" s="27"/>
      <c r="AW64" s="27"/>
      <c r="AX64" s="27"/>
      <c r="AY64" s="27"/>
      <c r="AZ64" s="27"/>
    </row>
    <row r="65" spans="2:47" x14ac:dyDescent="0.3">
      <c r="B65" t="s">
        <v>386</v>
      </c>
      <c r="G65" t="s">
        <v>169</v>
      </c>
      <c r="X65" s="267"/>
      <c r="Y65" s="40" t="str">
        <f t="shared" si="7"/>
        <v>Venue1.0SXOKnightDCTc</v>
      </c>
      <c r="Z65" s="40" t="s">
        <v>574</v>
      </c>
      <c r="AA65" s="289"/>
      <c r="AC65" s="280" t="s">
        <v>69</v>
      </c>
      <c r="AD65" s="83" t="s">
        <v>619</v>
      </c>
      <c r="AE65" s="85" t="s">
        <v>620</v>
      </c>
      <c r="AF65" s="27" t="s">
        <v>484</v>
      </c>
    </row>
    <row r="66" spans="2:47" x14ac:dyDescent="0.3">
      <c r="B66" t="s">
        <v>387</v>
      </c>
      <c r="G66" t="s">
        <v>170</v>
      </c>
      <c r="X66" s="267"/>
      <c r="Y66" s="40" t="str">
        <f t="shared" si="7"/>
        <v>Venue1.5S+DSLc</v>
      </c>
      <c r="Z66" s="40" t="s">
        <v>439</v>
      </c>
      <c r="AA66" s="289"/>
      <c r="AC66" s="281"/>
      <c r="AD66" s="83" t="s">
        <v>621</v>
      </c>
      <c r="AE66" s="85" t="s">
        <v>622</v>
      </c>
      <c r="AF66" s="30" t="s">
        <v>504</v>
      </c>
    </row>
    <row r="67" spans="2:47" x14ac:dyDescent="0.3">
      <c r="B67" t="s">
        <v>388</v>
      </c>
      <c r="X67" s="267"/>
      <c r="Y67" s="40" t="str">
        <f t="shared" si="7"/>
        <v>Venue1.5SXDSLc</v>
      </c>
      <c r="Z67" s="40" t="s">
        <v>440</v>
      </c>
      <c r="AA67" s="289"/>
      <c r="AC67" s="281"/>
      <c r="AD67" s="83" t="s">
        <v>623</v>
      </c>
      <c r="AE67" s="85" t="s">
        <v>624</v>
      </c>
      <c r="AF67" s="27" t="s">
        <v>501</v>
      </c>
    </row>
    <row r="68" spans="2:47" x14ac:dyDescent="0.3">
      <c r="B68" t="s">
        <v>389</v>
      </c>
      <c r="X68" s="267"/>
      <c r="Y68" s="40" t="str">
        <f t="shared" si="7"/>
        <v>Venue1.5SXODSLc</v>
      </c>
      <c r="Z68" s="40" t="s">
        <v>578</v>
      </c>
      <c r="AA68" s="289"/>
      <c r="AC68" s="281"/>
      <c r="AD68" s="83" t="s">
        <v>625</v>
      </c>
      <c r="AE68" s="85" t="s">
        <v>626</v>
      </c>
      <c r="AF68" s="27" t="s">
        <v>486</v>
      </c>
    </row>
    <row r="69" spans="2:47" x14ac:dyDescent="0.3">
      <c r="B69" t="s">
        <v>390</v>
      </c>
      <c r="X69" s="267"/>
      <c r="Y69" s="40" t="str">
        <f t="shared" si="7"/>
        <v>Venue1.0TurboMPiMTExecutivec</v>
      </c>
      <c r="Z69" s="40" t="s">
        <v>442</v>
      </c>
      <c r="AA69" s="289"/>
      <c r="AC69" s="281"/>
      <c r="AD69" s="83" t="s">
        <v>627</v>
      </c>
      <c r="AE69" s="85" t="s">
        <v>628</v>
      </c>
      <c r="AF69" s="27" t="s">
        <v>489</v>
      </c>
    </row>
    <row r="70" spans="2:47" x14ac:dyDescent="0.3">
      <c r="B70" t="s">
        <v>391</v>
      </c>
      <c r="X70" s="267"/>
      <c r="Y70" s="40" t="str">
        <f t="shared" si="7"/>
        <v>Venue1.0TurboMPiMTSOc</v>
      </c>
      <c r="Z70" s="40" t="s">
        <v>582</v>
      </c>
      <c r="AA70" s="289"/>
      <c r="AC70" s="281"/>
      <c r="AD70" s="83" t="s">
        <v>629</v>
      </c>
      <c r="AE70" s="85" t="s">
        <v>630</v>
      </c>
      <c r="AF70" s="292"/>
    </row>
    <row r="71" spans="2:47" x14ac:dyDescent="0.3">
      <c r="B71" t="s">
        <v>392</v>
      </c>
      <c r="X71" s="268"/>
      <c r="Y71" s="46" t="str">
        <f t="shared" si="7"/>
        <v>Venue1.0TurboMPiDCTSOc</v>
      </c>
      <c r="Z71" s="46" t="s">
        <v>584</v>
      </c>
      <c r="AA71" s="290"/>
      <c r="AC71" s="281"/>
      <c r="AD71" s="83" t="s">
        <v>631</v>
      </c>
      <c r="AE71" s="85" t="s">
        <v>632</v>
      </c>
      <c r="AF71" s="293"/>
    </row>
    <row r="72" spans="2:47" x14ac:dyDescent="0.3">
      <c r="X72" s="40"/>
      <c r="AC72" s="281"/>
      <c r="AD72" s="83" t="s">
        <v>633</v>
      </c>
      <c r="AE72" s="85" t="s">
        <v>634</v>
      </c>
      <c r="AF72" s="293"/>
    </row>
    <row r="73" spans="2:47" x14ac:dyDescent="0.3">
      <c r="X73" s="51" t="s">
        <v>605</v>
      </c>
      <c r="Y73" s="57" t="s">
        <v>603</v>
      </c>
      <c r="Z73" s="57" t="s">
        <v>601</v>
      </c>
      <c r="AA73" s="58" t="s">
        <v>602</v>
      </c>
      <c r="AC73" s="281"/>
      <c r="AD73" s="83" t="s">
        <v>635</v>
      </c>
      <c r="AE73" s="85" t="s">
        <v>636</v>
      </c>
      <c r="AF73" s="293"/>
    </row>
    <row r="74" spans="2:47" x14ac:dyDescent="0.3">
      <c r="X74" s="291" t="s">
        <v>65</v>
      </c>
      <c r="Y74" s="52" t="str">
        <f t="shared" ref="Y74:Y81" si="8">CONCATENATE(SUBSTITUTE(Z74," ",""),"c")</f>
        <v>Venue1.2SXDTMTc</v>
      </c>
      <c r="Z74" s="52" t="s">
        <v>436</v>
      </c>
      <c r="AA74" s="53" t="s">
        <v>502</v>
      </c>
      <c r="AC74" s="281"/>
      <c r="AD74" s="83" t="s">
        <v>637</v>
      </c>
      <c r="AE74" s="85" t="s">
        <v>638</v>
      </c>
      <c r="AF74" s="293"/>
    </row>
    <row r="75" spans="2:47" x14ac:dyDescent="0.3">
      <c r="X75" s="267"/>
      <c r="Y75" s="40" t="str">
        <f t="shared" si="8"/>
        <v>Venue1.2SXDTKnightMTc</v>
      </c>
      <c r="Z75" s="40" t="s">
        <v>438</v>
      </c>
      <c r="AA75" s="289"/>
      <c r="AC75" s="281"/>
      <c r="AD75" s="83" t="s">
        <v>639</v>
      </c>
      <c r="AE75" s="85" t="s">
        <v>640</v>
      </c>
      <c r="AF75" s="293"/>
    </row>
    <row r="76" spans="2:47" x14ac:dyDescent="0.3">
      <c r="X76" s="267"/>
      <c r="Y76" s="40" t="str">
        <f t="shared" si="8"/>
        <v>Venue1.0TSXODTMTc</v>
      </c>
      <c r="Z76" s="40" t="s">
        <v>563</v>
      </c>
      <c r="AA76" s="289"/>
      <c r="AC76" s="281"/>
      <c r="AD76" s="83" t="s">
        <v>641</v>
      </c>
      <c r="AE76" s="85" t="s">
        <v>642</v>
      </c>
      <c r="AF76" s="293"/>
    </row>
    <row r="77" spans="2:47" x14ac:dyDescent="0.3">
      <c r="X77" s="267"/>
      <c r="Y77" s="40" t="str">
        <f t="shared" si="8"/>
        <v>Venue1.0TSXODTKnightMTc</v>
      </c>
      <c r="Z77" s="40" t="s">
        <v>541</v>
      </c>
      <c r="AA77" s="289"/>
      <c r="AC77" s="281"/>
      <c r="AD77" s="83" t="s">
        <v>643</v>
      </c>
      <c r="AE77" s="85" t="s">
        <v>644</v>
      </c>
      <c r="AF77" s="293"/>
    </row>
    <row r="78" spans="2:47" x14ac:dyDescent="0.3">
      <c r="X78" s="267"/>
      <c r="Y78" s="40" t="str">
        <f t="shared" si="8"/>
        <v>Venue1.0TSXODTDCTc</v>
      </c>
      <c r="Z78" s="40" t="s">
        <v>572</v>
      </c>
      <c r="AA78" s="289"/>
      <c r="AC78" s="282"/>
      <c r="AD78" s="83" t="s">
        <v>645</v>
      </c>
      <c r="AE78" s="85" t="s">
        <v>646</v>
      </c>
      <c r="AF78" s="293"/>
    </row>
    <row r="79" spans="2:47" ht="15" thickBot="1" x14ac:dyDescent="0.35">
      <c r="X79" s="267"/>
      <c r="Y79" s="40" t="str">
        <f t="shared" si="8"/>
        <v>Venue1.0SXODTKnightDCTc</v>
      </c>
      <c r="Z79" s="40" t="s">
        <v>576</v>
      </c>
      <c r="AA79" s="289"/>
    </row>
    <row r="80" spans="2:47" x14ac:dyDescent="0.3">
      <c r="X80" s="267"/>
      <c r="Y80" s="40" t="str">
        <f t="shared" si="8"/>
        <v>Venue1.5SXDTDSLc</v>
      </c>
      <c r="Z80" s="40" t="s">
        <v>441</v>
      </c>
      <c r="AA80" s="289"/>
      <c r="AC80" s="34" t="s">
        <v>605</v>
      </c>
      <c r="AD80" s="35" t="s">
        <v>603</v>
      </c>
      <c r="AE80" s="36" t="s">
        <v>601</v>
      </c>
      <c r="AF80" s="37" t="s">
        <v>602</v>
      </c>
      <c r="AT80" s="26" t="s">
        <v>597</v>
      </c>
      <c r="AU80" s="26" t="s">
        <v>598</v>
      </c>
    </row>
    <row r="81" spans="2:47" x14ac:dyDescent="0.3">
      <c r="X81" s="268"/>
      <c r="Y81" s="46" t="str">
        <f t="shared" si="8"/>
        <v>Venue1.5SXODTDSLc</v>
      </c>
      <c r="Z81" s="46" t="s">
        <v>580</v>
      </c>
      <c r="AA81" s="290"/>
      <c r="AC81" s="277" t="s">
        <v>69</v>
      </c>
      <c r="AD81" s="83" t="str">
        <f>CONCATENATE(SUBSTITUTE(AE81," ",""),"c")</f>
        <v>AlcazarDieselPlatinumAE7STRc</v>
      </c>
      <c r="AE81" s="29" t="s">
        <v>613</v>
      </c>
      <c r="AF81" s="86" t="s">
        <v>484</v>
      </c>
      <c r="AT81" s="28" t="s">
        <v>581</v>
      </c>
      <c r="AU81" s="28" t="s">
        <v>557</v>
      </c>
    </row>
    <row r="82" spans="2:47" x14ac:dyDescent="0.3">
      <c r="AC82" s="278"/>
      <c r="AD82" s="83" t="str">
        <f>CONCATENATE(SUBSTITUTE(AE82," ",""),"c")</f>
        <v>AlcazarDieselSignatureOATAE7STRc</v>
      </c>
      <c r="AE82" s="29" t="s">
        <v>614</v>
      </c>
      <c r="AF82" s="86" t="s">
        <v>504</v>
      </c>
      <c r="AT82" s="27" t="s">
        <v>516</v>
      </c>
      <c r="AU82" s="27" t="s">
        <v>517</v>
      </c>
    </row>
    <row r="83" spans="2:47" x14ac:dyDescent="0.3">
      <c r="B83" s="23"/>
      <c r="X83" s="48" t="s">
        <v>605</v>
      </c>
      <c r="Y83" s="49" t="s">
        <v>603</v>
      </c>
      <c r="Z83" s="49" t="s">
        <v>601</v>
      </c>
      <c r="AA83" s="50" t="s">
        <v>602</v>
      </c>
      <c r="AC83" s="278"/>
      <c r="AD83" s="83" t="str">
        <f>CONCATENATE(SUBSTITUTE(AE83," ",""),"c")</f>
        <v>AlcazarPetrolPlatinumAE7STRc</v>
      </c>
      <c r="AE83" s="29" t="s">
        <v>615</v>
      </c>
      <c r="AF83" s="86" t="s">
        <v>500</v>
      </c>
      <c r="AT83" s="27" t="s">
        <v>518</v>
      </c>
      <c r="AU83" s="27" t="s">
        <v>518</v>
      </c>
    </row>
    <row r="84" spans="2:47" x14ac:dyDescent="0.3">
      <c r="X84" s="291" t="s">
        <v>68</v>
      </c>
      <c r="Y84" s="52" t="str">
        <f t="shared" ref="Y84:Y102" si="9">CONCATENATE(SUBSTITUTE(Z84," ",""),"c")</f>
        <v>Creta1.5MPiMTEc</v>
      </c>
      <c r="Z84" s="52" t="s">
        <v>443</v>
      </c>
      <c r="AA84" s="53" t="s">
        <v>484</v>
      </c>
      <c r="AC84" s="279"/>
      <c r="AD84" s="83" t="str">
        <f>CONCATENATE(SUBSTITUTE(AE84," ",""),"c")</f>
        <v>AlcazarPetrolSignatureODCTAE7STRc</v>
      </c>
      <c r="AE84" s="29" t="s">
        <v>616</v>
      </c>
      <c r="AF84" s="86" t="s">
        <v>486</v>
      </c>
      <c r="AT84" s="27" t="s">
        <v>517</v>
      </c>
      <c r="AU84" s="27" t="s">
        <v>516</v>
      </c>
    </row>
    <row r="85" spans="2:47" ht="15" thickBot="1" x14ac:dyDescent="0.35">
      <c r="X85" s="267"/>
      <c r="Y85" s="40" t="str">
        <f t="shared" si="9"/>
        <v>Creta1.5MPiMTEXc</v>
      </c>
      <c r="Z85" s="40" t="s">
        <v>444</v>
      </c>
      <c r="AA85" s="54" t="s">
        <v>509</v>
      </c>
      <c r="AT85" s="27"/>
      <c r="AU85" s="27"/>
    </row>
    <row r="86" spans="2:47" x14ac:dyDescent="0.3">
      <c r="O86" t="s">
        <v>171</v>
      </c>
      <c r="P86" t="s">
        <v>172</v>
      </c>
      <c r="Q86" s="21" t="s">
        <v>173</v>
      </c>
      <c r="R86" s="21" t="s">
        <v>174</v>
      </c>
      <c r="S86" s="21" t="s">
        <v>175</v>
      </c>
      <c r="T86" s="21" t="s">
        <v>176</v>
      </c>
      <c r="U86" s="21" t="s">
        <v>177</v>
      </c>
      <c r="V86" s="21" t="s">
        <v>178</v>
      </c>
      <c r="X86" s="267"/>
      <c r="Y86" s="40" t="str">
        <f t="shared" si="9"/>
        <v>Creta1.5MPiMTSc</v>
      </c>
      <c r="Z86" s="40" t="s">
        <v>445</v>
      </c>
      <c r="AA86" s="54" t="s">
        <v>510</v>
      </c>
      <c r="AC86" s="33" t="s">
        <v>605</v>
      </c>
      <c r="AD86" s="35" t="s">
        <v>603</v>
      </c>
      <c r="AE86" s="36" t="s">
        <v>601</v>
      </c>
      <c r="AF86" s="37" t="s">
        <v>602</v>
      </c>
      <c r="AT86" s="27"/>
      <c r="AU86" s="27"/>
    </row>
    <row r="87" spans="2:47" x14ac:dyDescent="0.3">
      <c r="O87" t="s">
        <v>179</v>
      </c>
      <c r="P87" t="s">
        <v>180</v>
      </c>
      <c r="Q87" s="21">
        <v>5023.26</v>
      </c>
      <c r="R87" s="21">
        <v>5529.48</v>
      </c>
      <c r="S87" s="21">
        <v>6035.7</v>
      </c>
      <c r="T87" s="21">
        <v>3868.04</v>
      </c>
      <c r="U87" s="21">
        <v>4257.4400000000005</v>
      </c>
      <c r="V87" s="21">
        <v>4646.84</v>
      </c>
      <c r="X87" s="267"/>
      <c r="Y87" s="59" t="str">
        <f t="shared" si="9"/>
        <v>Creta1.5MPiMTSOc</v>
      </c>
      <c r="Z87" s="40" t="s">
        <v>551</v>
      </c>
      <c r="AA87" s="54" t="s">
        <v>486</v>
      </c>
      <c r="AC87" s="294" t="s">
        <v>69</v>
      </c>
      <c r="AD87" s="83" t="str">
        <f>CONCATENATE(SUBSTITUTE(AE87," ",""),"c")</f>
        <v>AlcazarDieselSignatureOATAE7STRDTc</v>
      </c>
      <c r="AE87" s="29" t="s">
        <v>617</v>
      </c>
      <c r="AF87" s="38" t="s">
        <v>485</v>
      </c>
    </row>
    <row r="88" spans="2:47" x14ac:dyDescent="0.3">
      <c r="O88" t="s">
        <v>181</v>
      </c>
      <c r="P88" t="s">
        <v>180</v>
      </c>
      <c r="Q88" s="21">
        <v>6724.82</v>
      </c>
      <c r="R88" s="21">
        <v>7387.98</v>
      </c>
      <c r="S88" s="21">
        <v>8066.48</v>
      </c>
      <c r="T88" s="21">
        <v>4994.9400000000005</v>
      </c>
      <c r="U88" s="21">
        <v>5496.4400000000005</v>
      </c>
      <c r="V88" s="21">
        <v>5997.9400000000005</v>
      </c>
      <c r="X88" s="267"/>
      <c r="Y88" s="59" t="str">
        <f t="shared" si="9"/>
        <v>Creta1.5MPiIVTSOc</v>
      </c>
      <c r="Z88" s="40" t="s">
        <v>553</v>
      </c>
      <c r="AA88" s="289"/>
      <c r="AC88" s="295"/>
      <c r="AD88" s="83" t="str">
        <f>CONCATENATE(SUBSTITUTE(AE88," ",""),"c")</f>
        <v>AlcazarPetrolSignatureODCTAE7STRDTc</v>
      </c>
      <c r="AE88" s="29" t="s">
        <v>618</v>
      </c>
      <c r="AF88" s="38" t="s">
        <v>610</v>
      </c>
    </row>
    <row r="89" spans="2:47" ht="15" thickBot="1" x14ac:dyDescent="0.35">
      <c r="O89" t="s">
        <v>182</v>
      </c>
      <c r="P89" t="s">
        <v>180</v>
      </c>
      <c r="Q89" s="21">
        <v>7397.42</v>
      </c>
      <c r="R89" s="21">
        <v>8126.66</v>
      </c>
      <c r="S89" s="21">
        <v>8873.6</v>
      </c>
      <c r="T89" s="21">
        <v>5495.26</v>
      </c>
      <c r="U89" s="21">
        <v>6046.32</v>
      </c>
      <c r="V89" s="21">
        <v>6597.38</v>
      </c>
      <c r="X89" s="267"/>
      <c r="Y89" s="59" t="str">
        <f t="shared" si="9"/>
        <v>Creta1.5MPiMTSXc</v>
      </c>
      <c r="Z89" s="40" t="s">
        <v>446</v>
      </c>
      <c r="AA89" s="289"/>
      <c r="AC89" s="296"/>
      <c r="AD89" s="32"/>
      <c r="AE89" s="32"/>
      <c r="AF89" s="39" t="s">
        <v>499</v>
      </c>
    </row>
    <row r="90" spans="2:47" ht="15" thickBot="1" x14ac:dyDescent="0.35">
      <c r="O90" t="s">
        <v>183</v>
      </c>
      <c r="P90" t="s">
        <v>180</v>
      </c>
      <c r="Q90" s="21">
        <v>7397.42</v>
      </c>
      <c r="R90" s="21">
        <v>8126.66</v>
      </c>
      <c r="S90" s="21">
        <v>8873.6</v>
      </c>
      <c r="T90" s="21">
        <v>5495.26</v>
      </c>
      <c r="U90" s="21">
        <v>6046.32</v>
      </c>
      <c r="V90" s="21">
        <v>6597.38</v>
      </c>
      <c r="X90" s="267"/>
      <c r="Y90" s="59" t="str">
        <f t="shared" si="9"/>
        <v>Creta1.5MPiMTSXTechc</v>
      </c>
      <c r="Z90" s="40" t="s">
        <v>448</v>
      </c>
      <c r="AA90" s="289"/>
    </row>
    <row r="91" spans="2:47" x14ac:dyDescent="0.3">
      <c r="O91" t="s">
        <v>184</v>
      </c>
      <c r="P91" t="s">
        <v>180</v>
      </c>
      <c r="Q91" s="21">
        <v>9470.68</v>
      </c>
      <c r="R91" s="21">
        <v>10421.76</v>
      </c>
      <c r="S91" s="21">
        <v>11372.84</v>
      </c>
      <c r="T91" s="21">
        <v>6963.18</v>
      </c>
      <c r="U91" s="21">
        <v>7658.2</v>
      </c>
      <c r="V91" s="21">
        <v>8352.0400000000009</v>
      </c>
      <c r="X91" s="267"/>
      <c r="Y91" s="59" t="str">
        <f t="shared" si="9"/>
        <v>Creta1.5MPiIVTSXTechc</v>
      </c>
      <c r="Z91" s="40" t="s">
        <v>450</v>
      </c>
      <c r="AA91" s="289"/>
      <c r="AC91" s="34" t="s">
        <v>605</v>
      </c>
      <c r="AD91" s="35" t="s">
        <v>603</v>
      </c>
      <c r="AE91" s="36" t="s">
        <v>601</v>
      </c>
      <c r="AF91" s="37" t="s">
        <v>602</v>
      </c>
    </row>
    <row r="92" spans="2:47" x14ac:dyDescent="0.3">
      <c r="O92" t="s">
        <v>185</v>
      </c>
      <c r="P92" t="s">
        <v>180</v>
      </c>
      <c r="Q92" s="21">
        <v>10417.040000000001</v>
      </c>
      <c r="R92" s="21">
        <v>11463.7</v>
      </c>
      <c r="S92" s="21">
        <v>12510.36</v>
      </c>
      <c r="T92" s="21">
        <v>7659.38</v>
      </c>
      <c r="U92" s="21">
        <v>8424.02</v>
      </c>
      <c r="V92" s="21">
        <v>9187.48</v>
      </c>
      <c r="X92" s="267"/>
      <c r="Y92" s="59" t="str">
        <f t="shared" si="9"/>
        <v>Creta1.5MPiMTSXOc</v>
      </c>
      <c r="Z92" s="40" t="s">
        <v>567</v>
      </c>
      <c r="AA92" s="289"/>
      <c r="AC92" s="283" t="s">
        <v>69</v>
      </c>
      <c r="AD92" s="83" t="s">
        <v>647</v>
      </c>
      <c r="AE92" s="25" t="s">
        <v>648</v>
      </c>
      <c r="AF92" s="27" t="s">
        <v>485</v>
      </c>
    </row>
    <row r="93" spans="2:47" x14ac:dyDescent="0.3">
      <c r="O93" t="s">
        <v>186</v>
      </c>
      <c r="P93" t="s">
        <v>180</v>
      </c>
      <c r="Q93" s="21">
        <v>10417.040000000001</v>
      </c>
      <c r="R93" s="21">
        <v>11463.7</v>
      </c>
      <c r="S93" s="21">
        <v>12510.36</v>
      </c>
      <c r="T93" s="21">
        <v>7659.38</v>
      </c>
      <c r="U93" s="21">
        <v>8424.02</v>
      </c>
      <c r="V93" s="21">
        <v>9187.48</v>
      </c>
      <c r="X93" s="267"/>
      <c r="Y93" s="59" t="str">
        <f t="shared" si="9"/>
        <v>Creta1.5MPiIVTSXOc</v>
      </c>
      <c r="Z93" s="40" t="s">
        <v>546</v>
      </c>
      <c r="AA93" s="289"/>
      <c r="AC93" s="284"/>
      <c r="AD93" s="83" t="s">
        <v>649</v>
      </c>
      <c r="AE93" s="25" t="s">
        <v>650</v>
      </c>
      <c r="AF93" s="27" t="s">
        <v>610</v>
      </c>
    </row>
    <row r="94" spans="2:47" x14ac:dyDescent="0.3">
      <c r="O94" t="s">
        <v>187</v>
      </c>
      <c r="P94" t="s">
        <v>180</v>
      </c>
      <c r="Q94" s="21">
        <v>12788.84</v>
      </c>
      <c r="R94" s="21">
        <v>14062.06</v>
      </c>
      <c r="S94" s="21">
        <v>15335.28</v>
      </c>
      <c r="T94" s="21">
        <v>9972.18</v>
      </c>
      <c r="U94" s="21">
        <v>10976.36</v>
      </c>
      <c r="V94" s="21">
        <v>11962.84</v>
      </c>
      <c r="X94" s="267"/>
      <c r="Y94" s="59" t="str">
        <f t="shared" si="9"/>
        <v>Creta1.5TurboDCTSXOc</v>
      </c>
      <c r="Z94" s="40" t="s">
        <v>573</v>
      </c>
      <c r="AA94" s="289"/>
      <c r="AC94" s="285"/>
      <c r="AD94" s="83" t="s">
        <v>651</v>
      </c>
      <c r="AE94" s="25" t="s">
        <v>652</v>
      </c>
    </row>
    <row r="95" spans="2:47" ht="15" thickBot="1" x14ac:dyDescent="0.35">
      <c r="O95" t="s">
        <v>188</v>
      </c>
      <c r="P95" t="s">
        <v>180</v>
      </c>
      <c r="Q95" s="21">
        <v>14066.78</v>
      </c>
      <c r="R95" s="21">
        <v>15467.44</v>
      </c>
      <c r="S95" s="21">
        <v>16869.28</v>
      </c>
      <c r="T95" s="21">
        <v>10969.28</v>
      </c>
      <c r="U95" s="21">
        <v>12074.94</v>
      </c>
      <c r="V95" s="21">
        <v>13159.36</v>
      </c>
      <c r="X95" s="267"/>
      <c r="Y95" s="59" t="str">
        <f t="shared" si="9"/>
        <v>Creta1.5CRDiMTEc</v>
      </c>
      <c r="Z95" s="40" t="s">
        <v>452</v>
      </c>
      <c r="AA95" s="289"/>
    </row>
    <row r="96" spans="2:47" x14ac:dyDescent="0.3">
      <c r="O96" t="s">
        <v>189</v>
      </c>
      <c r="P96" t="s">
        <v>180</v>
      </c>
      <c r="Q96" s="21">
        <v>10577.52</v>
      </c>
      <c r="R96" s="21">
        <v>11634.8</v>
      </c>
      <c r="S96" s="21">
        <v>12693.26</v>
      </c>
      <c r="T96" s="21">
        <v>7888.3</v>
      </c>
      <c r="U96" s="21">
        <v>8678.9</v>
      </c>
      <c r="V96" s="21">
        <v>9468.32</v>
      </c>
      <c r="X96" s="267"/>
      <c r="Y96" s="59" t="str">
        <f t="shared" si="9"/>
        <v>Creta1.5CRDiMTEXc</v>
      </c>
      <c r="Z96" s="40" t="s">
        <v>453</v>
      </c>
      <c r="AA96" s="289"/>
      <c r="AC96" s="34" t="s">
        <v>605</v>
      </c>
      <c r="AD96" s="35" t="s">
        <v>603</v>
      </c>
      <c r="AE96" s="36" t="s">
        <v>601</v>
      </c>
      <c r="AF96" s="37" t="s">
        <v>602</v>
      </c>
    </row>
    <row r="97" spans="1:32" x14ac:dyDescent="0.3">
      <c r="O97" t="s">
        <v>190</v>
      </c>
      <c r="P97" t="s">
        <v>180</v>
      </c>
      <c r="Q97" s="21">
        <v>11634.8</v>
      </c>
      <c r="R97" s="21">
        <v>12798.28</v>
      </c>
      <c r="S97" s="21">
        <v>13961.76</v>
      </c>
      <c r="T97" s="21">
        <v>8677.7199999999993</v>
      </c>
      <c r="U97" s="21">
        <v>9546.2000000000007</v>
      </c>
      <c r="V97" s="21">
        <v>10415.86</v>
      </c>
      <c r="X97" s="267"/>
      <c r="Y97" s="59" t="str">
        <f t="shared" si="9"/>
        <v>Creta1.5CRDiMTSc</v>
      </c>
      <c r="Z97" s="40" t="s">
        <v>454</v>
      </c>
      <c r="AA97" s="289"/>
      <c r="AC97" s="280" t="s">
        <v>70</v>
      </c>
      <c r="AD97" s="83" t="str">
        <f t="shared" ref="AD97:AD101" si="10">CONCATENATE(SUBSTITUTE(AE97," ",""),"c")</f>
        <v>TucsonDieselPlatinum2.0ATc</v>
      </c>
      <c r="AE97" s="24" t="s">
        <v>656</v>
      </c>
      <c r="AF97" s="27" t="s">
        <v>484</v>
      </c>
    </row>
    <row r="98" spans="1:32" x14ac:dyDescent="0.3">
      <c r="O98" t="s">
        <v>191</v>
      </c>
      <c r="P98" t="s">
        <v>180</v>
      </c>
      <c r="Q98" s="21">
        <v>12687.36</v>
      </c>
      <c r="R98" s="21">
        <v>13955.86</v>
      </c>
      <c r="S98" s="21">
        <v>15224.36</v>
      </c>
      <c r="T98" s="21">
        <v>9541.48</v>
      </c>
      <c r="U98" s="21">
        <v>10493.74</v>
      </c>
      <c r="V98" s="21">
        <v>11538.04</v>
      </c>
      <c r="X98" s="267"/>
      <c r="Y98" s="59" t="str">
        <f t="shared" si="9"/>
        <v>Creta1.5CRDiMTSOc</v>
      </c>
      <c r="Z98" s="40" t="s">
        <v>577</v>
      </c>
      <c r="AA98" s="289"/>
      <c r="AC98" s="281"/>
      <c r="AD98" s="83" t="str">
        <f t="shared" si="10"/>
        <v>TucsonDieselSignature2.0ATc</v>
      </c>
      <c r="AE98" s="24" t="s">
        <v>657</v>
      </c>
      <c r="AF98" s="30" t="s">
        <v>504</v>
      </c>
    </row>
    <row r="99" spans="1:32" x14ac:dyDescent="0.3">
      <c r="O99" t="s">
        <v>192</v>
      </c>
      <c r="P99" t="s">
        <v>180</v>
      </c>
      <c r="Q99" s="21">
        <v>12792.380000000001</v>
      </c>
      <c r="R99" s="21">
        <v>14070.32</v>
      </c>
      <c r="S99" s="21">
        <v>15482.78</v>
      </c>
      <c r="T99" s="21">
        <v>9792.82</v>
      </c>
      <c r="U99" s="21">
        <v>10774.58</v>
      </c>
      <c r="V99" s="21">
        <v>11757.52</v>
      </c>
      <c r="X99" s="267"/>
      <c r="Y99" s="59" t="str">
        <f t="shared" si="9"/>
        <v>Creta1.5CRDiATSOc</v>
      </c>
      <c r="Z99" s="40" t="s">
        <v>579</v>
      </c>
      <c r="AA99" s="289"/>
      <c r="AC99" s="281"/>
      <c r="AD99" s="83" t="str">
        <f t="shared" si="10"/>
        <v>TucsonDieselSignature2.0AT4WDc</v>
      </c>
      <c r="AE99" s="24" t="s">
        <v>658</v>
      </c>
      <c r="AF99" s="27" t="s">
        <v>487</v>
      </c>
    </row>
    <row r="100" spans="1:32" x14ac:dyDescent="0.3">
      <c r="O100" t="s">
        <v>193</v>
      </c>
      <c r="P100" t="s">
        <v>180</v>
      </c>
      <c r="Q100" s="21">
        <v>14072.68</v>
      </c>
      <c r="R100" s="21">
        <v>15478.06</v>
      </c>
      <c r="S100" s="21">
        <v>17032.12</v>
      </c>
      <c r="T100" s="21">
        <v>10772.22</v>
      </c>
      <c r="U100" s="21">
        <v>11853.1</v>
      </c>
      <c r="V100" s="21">
        <v>12932.8</v>
      </c>
      <c r="X100" s="267"/>
      <c r="Y100" s="59" t="str">
        <f t="shared" si="9"/>
        <v>Creta1.5CRDiMTSXTechc</v>
      </c>
      <c r="Z100" s="40" t="s">
        <v>455</v>
      </c>
      <c r="AA100" s="289"/>
      <c r="AC100" s="281"/>
      <c r="AD100" s="83" t="str">
        <f t="shared" si="10"/>
        <v>TucsonPetrolPlatinum2.0ATc</v>
      </c>
      <c r="AE100" s="24" t="s">
        <v>659</v>
      </c>
      <c r="AF100" s="27" t="s">
        <v>498</v>
      </c>
    </row>
    <row r="101" spans="1:32" x14ac:dyDescent="0.3">
      <c r="O101" t="s">
        <v>194</v>
      </c>
      <c r="P101" t="s">
        <v>180</v>
      </c>
      <c r="Q101" s="21">
        <v>13752.9</v>
      </c>
      <c r="R101" s="21">
        <v>15128.78</v>
      </c>
      <c r="S101" s="21">
        <v>16640.36</v>
      </c>
      <c r="T101" s="21">
        <v>10283.700000000001</v>
      </c>
      <c r="U101" s="21">
        <v>11312.66</v>
      </c>
      <c r="V101" s="21">
        <v>12439.56</v>
      </c>
      <c r="X101" s="267"/>
      <c r="Y101" s="59" t="str">
        <f t="shared" si="9"/>
        <v>Creta1.5CRDiMTSXOc</v>
      </c>
      <c r="Z101" s="40" t="s">
        <v>583</v>
      </c>
      <c r="AA101" s="289"/>
      <c r="AC101" s="282"/>
      <c r="AD101" s="83" t="str">
        <f t="shared" si="10"/>
        <v>TucsonPetrolSignature2.0ATc</v>
      </c>
      <c r="AE101" s="24" t="s">
        <v>660</v>
      </c>
      <c r="AF101" s="27" t="s">
        <v>501</v>
      </c>
    </row>
    <row r="102" spans="1:32" ht="15" thickBot="1" x14ac:dyDescent="0.35">
      <c r="O102" t="s">
        <v>195</v>
      </c>
      <c r="P102" t="s">
        <v>180</v>
      </c>
      <c r="Q102" s="21">
        <v>13221.9</v>
      </c>
      <c r="R102" s="21">
        <v>14549.4</v>
      </c>
      <c r="S102" s="21">
        <v>15876.9</v>
      </c>
      <c r="T102" s="21">
        <v>10837.119999999999</v>
      </c>
      <c r="U102" s="21">
        <v>11907.380000000001</v>
      </c>
      <c r="V102" s="21">
        <v>12992.98</v>
      </c>
      <c r="X102" s="268"/>
      <c r="Y102" s="61" t="str">
        <f t="shared" si="9"/>
        <v>Creta1.5CRDiATSXOc</v>
      </c>
      <c r="Z102" s="46" t="s">
        <v>586</v>
      </c>
      <c r="AA102" s="290"/>
      <c r="AC102" s="34"/>
    </row>
    <row r="103" spans="1:32" x14ac:dyDescent="0.3">
      <c r="O103" t="s">
        <v>196</v>
      </c>
      <c r="P103" t="s">
        <v>180</v>
      </c>
      <c r="Q103" s="21">
        <v>14543.5</v>
      </c>
      <c r="R103" s="21">
        <v>16004.34</v>
      </c>
      <c r="S103" s="21">
        <v>17465.18</v>
      </c>
      <c r="T103" s="21">
        <v>11920.36</v>
      </c>
      <c r="U103" s="21">
        <v>13099.18</v>
      </c>
      <c r="V103" s="21">
        <v>14292.16</v>
      </c>
      <c r="X103" s="40"/>
      <c r="AC103" s="34" t="s">
        <v>605</v>
      </c>
      <c r="AD103" s="35" t="s">
        <v>603</v>
      </c>
      <c r="AE103" s="36" t="s">
        <v>601</v>
      </c>
      <c r="AF103" s="37" t="s">
        <v>602</v>
      </c>
    </row>
    <row r="104" spans="1:32" x14ac:dyDescent="0.3">
      <c r="O104" t="s">
        <v>197</v>
      </c>
      <c r="P104" t="s">
        <v>180</v>
      </c>
      <c r="Q104" s="21">
        <v>17315.32</v>
      </c>
      <c r="R104" s="21">
        <v>19052.28</v>
      </c>
      <c r="S104" s="21">
        <v>20776.260000000002</v>
      </c>
      <c r="T104" s="21">
        <v>13380.02</v>
      </c>
      <c r="U104" s="21">
        <v>14724.04</v>
      </c>
      <c r="V104" s="21">
        <v>16053.9</v>
      </c>
      <c r="X104" s="48" t="s">
        <v>605</v>
      </c>
      <c r="Y104" s="49" t="s">
        <v>603</v>
      </c>
      <c r="Z104" s="49" t="s">
        <v>601</v>
      </c>
      <c r="AA104" s="50" t="s">
        <v>602</v>
      </c>
      <c r="AC104" s="283" t="s">
        <v>70</v>
      </c>
      <c r="AD104" s="83" t="str">
        <f>CONCATENATE(SUBSTITUTE(AE104," ",""),"c")</f>
        <v>TucsonPetrolSignatureDT2.0ATc</v>
      </c>
      <c r="AE104" s="25" t="s">
        <v>653</v>
      </c>
      <c r="AF104" s="27" t="s">
        <v>514</v>
      </c>
    </row>
    <row r="105" spans="1:32" x14ac:dyDescent="0.3">
      <c r="A105" t="s">
        <v>198</v>
      </c>
      <c r="C105" t="s">
        <v>56</v>
      </c>
      <c r="D105" t="s">
        <v>57</v>
      </c>
      <c r="F105" t="s">
        <v>90</v>
      </c>
      <c r="G105" t="s">
        <v>67</v>
      </c>
      <c r="H105" t="s">
        <v>65</v>
      </c>
      <c r="I105" t="s">
        <v>68</v>
      </c>
      <c r="K105" t="s">
        <v>70</v>
      </c>
      <c r="L105" t="s">
        <v>69</v>
      </c>
      <c r="N105" t="s">
        <v>199</v>
      </c>
      <c r="O105" t="s">
        <v>200</v>
      </c>
      <c r="P105" t="s">
        <v>180</v>
      </c>
      <c r="Q105" s="21">
        <v>19046.38</v>
      </c>
      <c r="R105" s="21">
        <v>20957.98</v>
      </c>
      <c r="S105" s="21">
        <v>22853.06</v>
      </c>
      <c r="T105" s="21">
        <v>14718.14</v>
      </c>
      <c r="U105" s="21">
        <v>16195.5</v>
      </c>
      <c r="V105" s="21">
        <v>17658.7</v>
      </c>
      <c r="X105" s="291" t="s">
        <v>68</v>
      </c>
      <c r="Y105" s="62" t="str">
        <f t="shared" ref="Y105:Y113" si="11">CONCATENATE(SUBSTITUTE(Z105," ",""),"c")</f>
        <v>Creta1.5MPiMTSXDTc</v>
      </c>
      <c r="Z105" s="52" t="s">
        <v>447</v>
      </c>
      <c r="AA105" s="53" t="s">
        <v>495</v>
      </c>
      <c r="AC105" s="284"/>
      <c r="AD105" s="83" t="str">
        <f>CONCATENATE(SUBSTITUTE(AE105," ",""),"c")</f>
        <v>TucsonDieselSignatureDT2.0ATc</v>
      </c>
      <c r="AE105" s="25" t="s">
        <v>654</v>
      </c>
      <c r="AF105" s="27" t="s">
        <v>515</v>
      </c>
    </row>
    <row r="106" spans="1:32" x14ac:dyDescent="0.3">
      <c r="C106" t="s">
        <v>92</v>
      </c>
      <c r="D106" t="s">
        <v>93</v>
      </c>
      <c r="F106" t="s">
        <v>94</v>
      </c>
      <c r="H106" t="s">
        <v>124</v>
      </c>
      <c r="I106" t="s">
        <v>96</v>
      </c>
      <c r="K106" t="s">
        <v>201</v>
      </c>
      <c r="L106" t="s">
        <v>202</v>
      </c>
      <c r="N106" t="s">
        <v>56</v>
      </c>
      <c r="O106" t="s">
        <v>203</v>
      </c>
      <c r="P106" t="s">
        <v>180</v>
      </c>
      <c r="Q106" s="21">
        <v>16274.56</v>
      </c>
      <c r="R106" s="21">
        <v>17904.14</v>
      </c>
      <c r="S106" s="21">
        <v>19696.560000000001</v>
      </c>
      <c r="T106" s="21">
        <v>12456.08</v>
      </c>
      <c r="U106" s="21">
        <v>13702.16</v>
      </c>
      <c r="V106" s="21">
        <v>14947.06</v>
      </c>
      <c r="X106" s="267"/>
      <c r="Y106" s="59" t="str">
        <f t="shared" si="11"/>
        <v>Creta1.5MPiMTSXTechDTc</v>
      </c>
      <c r="Z106" s="40" t="s">
        <v>449</v>
      </c>
      <c r="AA106" s="54" t="s">
        <v>499</v>
      </c>
      <c r="AC106" s="285"/>
      <c r="AD106" s="83" t="str">
        <f>CONCATENATE(SUBSTITUTE(AE106," ",""),"c")</f>
        <v>TucsonDieselSignatureDT2.0AT4WDc</v>
      </c>
      <c r="AE106" s="25" t="s">
        <v>655</v>
      </c>
    </row>
    <row r="107" spans="1:32" x14ac:dyDescent="0.3">
      <c r="C107" t="s">
        <v>98</v>
      </c>
      <c r="D107" t="s">
        <v>99</v>
      </c>
      <c r="F107" t="s">
        <v>100</v>
      </c>
      <c r="H107" t="s">
        <v>128</v>
      </c>
      <c r="I107" t="s">
        <v>102</v>
      </c>
      <c r="L107" t="s">
        <v>97</v>
      </c>
      <c r="N107" t="s">
        <v>58</v>
      </c>
      <c r="O107" t="s">
        <v>204</v>
      </c>
      <c r="P107" t="s">
        <v>180</v>
      </c>
      <c r="Q107" s="21">
        <v>17902.96</v>
      </c>
      <c r="R107" s="21">
        <v>19694.2</v>
      </c>
      <c r="S107" s="21">
        <v>21667.16</v>
      </c>
      <c r="T107" s="21">
        <v>13702.16</v>
      </c>
      <c r="U107" s="21">
        <v>15072.14</v>
      </c>
      <c r="V107" s="21">
        <v>16442.12</v>
      </c>
      <c r="X107" s="267"/>
      <c r="Y107" s="59" t="str">
        <f t="shared" si="11"/>
        <v>Creta1.5MPiIVTSXTechDTc</v>
      </c>
      <c r="Z107" s="40" t="s">
        <v>451</v>
      </c>
      <c r="AA107" s="272"/>
    </row>
    <row r="108" spans="1:32" x14ac:dyDescent="0.3">
      <c r="C108" t="s">
        <v>104</v>
      </c>
      <c r="D108" t="s">
        <v>105</v>
      </c>
      <c r="F108" t="s">
        <v>106</v>
      </c>
      <c r="H108" t="s">
        <v>132</v>
      </c>
      <c r="I108" t="s">
        <v>107</v>
      </c>
      <c r="L108" t="s">
        <v>103</v>
      </c>
      <c r="N108" t="s">
        <v>57</v>
      </c>
      <c r="O108" t="s">
        <v>205</v>
      </c>
      <c r="P108" t="s">
        <v>180</v>
      </c>
      <c r="Q108" s="21">
        <v>22069.54</v>
      </c>
      <c r="R108" s="21">
        <v>24283.22</v>
      </c>
      <c r="S108" s="21">
        <v>26705.760000000002</v>
      </c>
      <c r="T108" s="21">
        <v>16499.939999999999</v>
      </c>
      <c r="U108" s="21">
        <v>18156.66</v>
      </c>
      <c r="V108" s="21">
        <v>19966.78</v>
      </c>
      <c r="X108" s="267"/>
      <c r="Y108" s="59" t="str">
        <f t="shared" si="11"/>
        <v>Creta1.5MPiMTSXODTc</v>
      </c>
      <c r="Z108" s="40" t="s">
        <v>542</v>
      </c>
      <c r="AA108" s="272"/>
    </row>
    <row r="109" spans="1:32" x14ac:dyDescent="0.3">
      <c r="C109" t="s">
        <v>109</v>
      </c>
      <c r="D109" t="s">
        <v>110</v>
      </c>
      <c r="F109" t="s">
        <v>111</v>
      </c>
      <c r="H109" t="s">
        <v>133</v>
      </c>
      <c r="I109" t="s">
        <v>117</v>
      </c>
      <c r="L109" t="s">
        <v>108</v>
      </c>
      <c r="N109" t="s">
        <v>60</v>
      </c>
      <c r="O109" t="s">
        <v>206</v>
      </c>
      <c r="P109" t="s">
        <v>180</v>
      </c>
      <c r="Q109" s="21">
        <v>24276.14</v>
      </c>
      <c r="R109" s="21">
        <v>26711.66</v>
      </c>
      <c r="S109" s="21">
        <v>29377.279999999999</v>
      </c>
      <c r="T109" s="21">
        <v>18149.580000000002</v>
      </c>
      <c r="U109" s="21">
        <v>19972.68</v>
      </c>
      <c r="V109" s="21">
        <v>21963.34</v>
      </c>
      <c r="X109" s="267"/>
      <c r="Y109" s="59" t="str">
        <f t="shared" si="11"/>
        <v>Creta1.5MPiIVTSXODTc</v>
      </c>
      <c r="Z109" s="40" t="s">
        <v>571</v>
      </c>
      <c r="AA109" s="272"/>
    </row>
    <row r="110" spans="1:32" x14ac:dyDescent="0.3">
      <c r="C110" t="s">
        <v>114</v>
      </c>
      <c r="D110" t="s">
        <v>115</v>
      </c>
      <c r="F110" t="s">
        <v>119</v>
      </c>
      <c r="H110" t="s">
        <v>112</v>
      </c>
      <c r="I110" t="s">
        <v>125</v>
      </c>
      <c r="L110" t="s">
        <v>113</v>
      </c>
      <c r="N110" t="s">
        <v>59</v>
      </c>
      <c r="O110" t="s">
        <v>207</v>
      </c>
      <c r="P110" t="s">
        <v>180</v>
      </c>
      <c r="Q110" s="21">
        <v>16354.8</v>
      </c>
      <c r="R110" s="21">
        <v>17983.2</v>
      </c>
      <c r="S110" s="21">
        <v>19623.400000000001</v>
      </c>
      <c r="T110" s="21">
        <v>12980</v>
      </c>
      <c r="U110" s="21">
        <v>14278</v>
      </c>
      <c r="V110" s="21">
        <v>15576</v>
      </c>
      <c r="X110" s="267"/>
      <c r="Y110" s="59" t="str">
        <f t="shared" si="11"/>
        <v>Creta1.5TurboDCTSXODTc</v>
      </c>
      <c r="Z110" s="40" t="s">
        <v>575</v>
      </c>
      <c r="AA110" s="272"/>
    </row>
    <row r="111" spans="1:32" x14ac:dyDescent="0.3">
      <c r="C111" t="s">
        <v>121</v>
      </c>
      <c r="D111" t="s">
        <v>118</v>
      </c>
      <c r="F111" t="s">
        <v>123</v>
      </c>
      <c r="H111" t="s">
        <v>116</v>
      </c>
      <c r="I111" t="s">
        <v>129</v>
      </c>
      <c r="L111" t="s">
        <v>120</v>
      </c>
      <c r="N111" t="s">
        <v>61</v>
      </c>
      <c r="O111" t="s">
        <v>208</v>
      </c>
      <c r="P111" t="s">
        <v>180</v>
      </c>
      <c r="Q111" s="21">
        <v>17995</v>
      </c>
      <c r="R111" s="21">
        <v>19788.599999999999</v>
      </c>
      <c r="S111" s="21">
        <v>21594</v>
      </c>
      <c r="T111" s="21">
        <v>14278</v>
      </c>
      <c r="U111" s="21">
        <v>15705.8</v>
      </c>
      <c r="V111" s="21">
        <v>17133.599999999999</v>
      </c>
      <c r="X111" s="267"/>
      <c r="Y111" s="59" t="str">
        <f t="shared" si="11"/>
        <v>Creta1.5CRDiMTSXTechDTc</v>
      </c>
      <c r="Z111" s="40" t="s">
        <v>456</v>
      </c>
      <c r="AA111" s="272"/>
    </row>
    <row r="112" spans="1:32" x14ac:dyDescent="0.3">
      <c r="C112" t="s">
        <v>131</v>
      </c>
      <c r="D112" t="s">
        <v>122</v>
      </c>
      <c r="H112" t="s">
        <v>95</v>
      </c>
      <c r="I112" t="s">
        <v>145</v>
      </c>
      <c r="L112" t="s">
        <v>130</v>
      </c>
      <c r="N112" t="s">
        <v>62</v>
      </c>
      <c r="O112" t="s">
        <v>209</v>
      </c>
      <c r="P112" t="s">
        <v>180</v>
      </c>
      <c r="Q112" s="21">
        <v>21251.8</v>
      </c>
      <c r="R112" s="21">
        <v>23375.8</v>
      </c>
      <c r="S112" s="21">
        <v>25511.599999999999</v>
      </c>
      <c r="T112" s="21">
        <v>16874</v>
      </c>
      <c r="U112" s="21">
        <v>18561.400000000001</v>
      </c>
      <c r="V112" s="21">
        <v>20248.8</v>
      </c>
      <c r="X112" s="267"/>
      <c r="Y112" s="59" t="str">
        <f t="shared" si="11"/>
        <v>Creta1.5CRDiMTSXODTc</v>
      </c>
      <c r="Z112" s="40" t="s">
        <v>585</v>
      </c>
      <c r="AA112" s="272"/>
    </row>
    <row r="113" spans="2:27" x14ac:dyDescent="0.3">
      <c r="C113" t="s">
        <v>126</v>
      </c>
      <c r="D113" t="s">
        <v>136</v>
      </c>
      <c r="H113" t="s">
        <v>101</v>
      </c>
      <c r="I113" t="s">
        <v>134</v>
      </c>
      <c r="O113" t="s">
        <v>210</v>
      </c>
      <c r="P113" t="s">
        <v>180</v>
      </c>
      <c r="Q113" s="21">
        <v>23387.599999999999</v>
      </c>
      <c r="R113" s="21">
        <v>25724</v>
      </c>
      <c r="S113" s="21">
        <v>28072.2</v>
      </c>
      <c r="T113" s="21">
        <v>18561.400000000001</v>
      </c>
      <c r="U113" s="21">
        <v>20417.54</v>
      </c>
      <c r="V113" s="21">
        <v>22273.68</v>
      </c>
      <c r="X113" s="268"/>
      <c r="Y113" s="61" t="str">
        <f t="shared" si="11"/>
        <v>Creta1.5CRDiATSXODTc</v>
      </c>
      <c r="Z113" s="46" t="s">
        <v>587</v>
      </c>
      <c r="AA113" s="273"/>
    </row>
    <row r="114" spans="2:27" x14ac:dyDescent="0.3">
      <c r="C114" t="s">
        <v>135</v>
      </c>
      <c r="H114" t="s">
        <v>138</v>
      </c>
      <c r="I114" t="s">
        <v>137</v>
      </c>
      <c r="O114" t="s">
        <v>211</v>
      </c>
      <c r="P114" t="s">
        <v>180</v>
      </c>
      <c r="Q114" s="21">
        <v>19163.2</v>
      </c>
      <c r="R114" s="21">
        <v>21086.6</v>
      </c>
      <c r="S114" s="21">
        <v>22998.2</v>
      </c>
      <c r="T114" s="21">
        <v>15222</v>
      </c>
      <c r="U114" s="21">
        <v>16744.2</v>
      </c>
      <c r="V114" s="21">
        <v>18254.599999999999</v>
      </c>
      <c r="X114" s="40"/>
    </row>
    <row r="115" spans="2:27" x14ac:dyDescent="0.3">
      <c r="C115" t="s">
        <v>127</v>
      </c>
      <c r="H115" t="s">
        <v>140</v>
      </c>
      <c r="I115" t="s">
        <v>139</v>
      </c>
      <c r="O115" t="s">
        <v>212</v>
      </c>
      <c r="P115" t="s">
        <v>180</v>
      </c>
      <c r="Q115" s="21">
        <v>21086.6</v>
      </c>
      <c r="R115" s="21">
        <v>23210.6</v>
      </c>
      <c r="S115" s="21">
        <v>25311</v>
      </c>
      <c r="T115" s="21">
        <v>16744.2</v>
      </c>
      <c r="U115" s="21">
        <v>18418.62</v>
      </c>
      <c r="V115" s="21">
        <v>20080.060000000001</v>
      </c>
      <c r="X115" s="48" t="s">
        <v>605</v>
      </c>
      <c r="Y115" s="49" t="s">
        <v>603</v>
      </c>
      <c r="Z115" s="49" t="s">
        <v>601</v>
      </c>
      <c r="AA115" s="50" t="s">
        <v>602</v>
      </c>
    </row>
    <row r="116" spans="2:27" x14ac:dyDescent="0.3">
      <c r="H116" t="s">
        <v>141</v>
      </c>
      <c r="I116" t="s">
        <v>142</v>
      </c>
      <c r="O116" t="s">
        <v>213</v>
      </c>
      <c r="P116" t="s">
        <v>180</v>
      </c>
      <c r="Q116" s="21">
        <v>24921.599999999999</v>
      </c>
      <c r="R116" s="21">
        <v>27411.4</v>
      </c>
      <c r="S116" s="21">
        <v>29901.200000000001</v>
      </c>
      <c r="T116" s="21">
        <v>19776.8</v>
      </c>
      <c r="U116" s="21">
        <v>21759.200000000001</v>
      </c>
      <c r="V116" s="21">
        <v>23741.599999999999</v>
      </c>
      <c r="X116" s="291" t="s">
        <v>325</v>
      </c>
      <c r="Y116" s="52" t="str">
        <f>CONCATENATE(SUBSTITUTE(Z116," ",""),"c")</f>
        <v>CretaNLineN81.5TurboMTDTc</v>
      </c>
      <c r="Z116" s="52" t="s">
        <v>318</v>
      </c>
      <c r="AA116" s="53" t="s">
        <v>495</v>
      </c>
    </row>
    <row r="117" spans="2:27" x14ac:dyDescent="0.3">
      <c r="I117" t="s">
        <v>143</v>
      </c>
      <c r="O117" t="s">
        <v>214</v>
      </c>
      <c r="P117" t="s">
        <v>180</v>
      </c>
      <c r="Q117" s="21">
        <v>27423.200000000001</v>
      </c>
      <c r="R117" s="21">
        <v>30160.799999999999</v>
      </c>
      <c r="S117" s="21">
        <v>32898.400000000001</v>
      </c>
      <c r="T117" s="21">
        <v>21759.200000000001</v>
      </c>
      <c r="U117" s="21">
        <v>23930.400000000001</v>
      </c>
      <c r="V117" s="21">
        <v>26113.4</v>
      </c>
      <c r="X117" s="267"/>
      <c r="Y117" s="40" t="str">
        <f>CONCATENATE(SUBSTITUTE(Z117," ",""),"c")</f>
        <v>CretaNLineN81.5TurboDCTDTc</v>
      </c>
      <c r="Z117" s="40" t="s">
        <v>320</v>
      </c>
      <c r="AA117" s="54" t="s">
        <v>511</v>
      </c>
    </row>
    <row r="118" spans="2:27" x14ac:dyDescent="0.3">
      <c r="I118" t="s">
        <v>144</v>
      </c>
      <c r="O118" t="s">
        <v>63</v>
      </c>
      <c r="P118" t="s">
        <v>180</v>
      </c>
      <c r="Q118" s="21">
        <v>24921.599999999999</v>
      </c>
      <c r="R118" s="21">
        <v>27411.4</v>
      </c>
      <c r="S118" s="21">
        <v>29901.200000000001</v>
      </c>
      <c r="T118" s="21">
        <v>19776.8</v>
      </c>
      <c r="U118" s="21">
        <v>21759.200000000001</v>
      </c>
      <c r="V118" s="21">
        <v>23741.599999999999</v>
      </c>
      <c r="X118" s="267"/>
      <c r="Y118" s="40" t="str">
        <f>CONCATENATE(SUBSTITUTE(Z118," ",""),"c")</f>
        <v>CretaNLineN101.5TurboMTDTc</v>
      </c>
      <c r="Z118" s="40" t="s">
        <v>322</v>
      </c>
      <c r="AA118" s="54" t="s">
        <v>513</v>
      </c>
    </row>
    <row r="119" spans="2:27" x14ac:dyDescent="0.3">
      <c r="X119" s="268"/>
      <c r="Y119" s="46" t="str">
        <f>CONCATENATE(SUBSTITUTE(Z119," ",""),"c")</f>
        <v>CretaNLineN101.5TurboDCTDTc</v>
      </c>
      <c r="Z119" s="46" t="s">
        <v>324</v>
      </c>
      <c r="AA119" s="55"/>
    </row>
    <row r="120" spans="2:27" x14ac:dyDescent="0.3">
      <c r="X120" s="40"/>
    </row>
    <row r="121" spans="2:27" x14ac:dyDescent="0.3">
      <c r="X121" s="48" t="s">
        <v>605</v>
      </c>
      <c r="Y121" s="49" t="s">
        <v>603</v>
      </c>
      <c r="Z121" s="49" t="s">
        <v>601</v>
      </c>
      <c r="AA121" s="50" t="s">
        <v>602</v>
      </c>
    </row>
    <row r="122" spans="2:27" x14ac:dyDescent="0.3">
      <c r="X122" s="269" t="s">
        <v>325</v>
      </c>
      <c r="Y122" s="52" t="str">
        <f>CONCATENATE(SUBSTITUTE(Z122," ",""),"c")</f>
        <v>CretaNLineN81.5TurboMTc</v>
      </c>
      <c r="Z122" s="52" t="s">
        <v>317</v>
      </c>
      <c r="AA122" s="53" t="s">
        <v>484</v>
      </c>
    </row>
    <row r="123" spans="2:27" x14ac:dyDescent="0.3">
      <c r="B123" t="s">
        <v>760</v>
      </c>
      <c r="X123" s="270"/>
      <c r="Y123" s="40" t="str">
        <f>CONCATENATE(SUBSTITUTE(Z123," ",""),"c")</f>
        <v>CretaNLineN81.5TurboDCTc</v>
      </c>
      <c r="Z123" s="40" t="s">
        <v>319</v>
      </c>
      <c r="AA123" s="60" t="s">
        <v>504</v>
      </c>
    </row>
    <row r="124" spans="2:27" x14ac:dyDescent="0.3">
      <c r="B124" s="124" t="s">
        <v>289</v>
      </c>
      <c r="X124" s="270"/>
      <c r="Y124" s="40" t="str">
        <f>CONCATENATE(SUBSTITUTE(Z124," ",""),"c")</f>
        <v>CretaNLineN101.5TurboMTc</v>
      </c>
      <c r="Z124" s="40" t="s">
        <v>321</v>
      </c>
      <c r="AA124" s="54"/>
    </row>
    <row r="125" spans="2:27" x14ac:dyDescent="0.3">
      <c r="B125" s="124" t="s">
        <v>65</v>
      </c>
      <c r="X125" s="271"/>
      <c r="Y125" s="46" t="str">
        <f>CONCATENATE(SUBSTITUTE(Z125," ",""),"c")</f>
        <v>CretaNLineN101.5TurboDCTc</v>
      </c>
      <c r="Z125" s="46" t="s">
        <v>323</v>
      </c>
      <c r="AA125" s="55"/>
    </row>
    <row r="126" spans="2:27" x14ac:dyDescent="0.3">
      <c r="B126" s="124" t="s">
        <v>64</v>
      </c>
      <c r="X126"/>
      <c r="Y126"/>
      <c r="Z126"/>
      <c r="AA126"/>
    </row>
    <row r="127" spans="2:27" x14ac:dyDescent="0.3">
      <c r="B127" s="124" t="s">
        <v>91</v>
      </c>
      <c r="X127" s="48" t="s">
        <v>605</v>
      </c>
      <c r="Y127" s="49" t="s">
        <v>603</v>
      </c>
      <c r="Z127" s="49" t="s">
        <v>601</v>
      </c>
      <c r="AA127" s="50" t="s">
        <v>602</v>
      </c>
    </row>
    <row r="128" spans="2:27" x14ac:dyDescent="0.3">
      <c r="X128" s="269" t="s">
        <v>325</v>
      </c>
      <c r="Y128" s="52" t="str">
        <f>CONCATENATE(SUBSTITUTE(Z128," ",""),"c")</f>
        <v>CretaNLineN81.5TurboMTRGMc</v>
      </c>
      <c r="Z128" s="52" t="s">
        <v>663</v>
      </c>
      <c r="AA128" s="53" t="s">
        <v>512</v>
      </c>
    </row>
    <row r="129" spans="2:27" x14ac:dyDescent="0.3">
      <c r="X129" s="270"/>
      <c r="Y129" s="40" t="str">
        <f>CONCATENATE(SUBSTITUTE(Z129," ",""),"c")</f>
        <v>CretaNLineN81.5TurboDCTRGMc</v>
      </c>
      <c r="Z129" s="40" t="s">
        <v>664</v>
      </c>
      <c r="AA129" s="60"/>
    </row>
    <row r="130" spans="2:27" x14ac:dyDescent="0.3">
      <c r="X130" s="270"/>
      <c r="Y130" s="40" t="str">
        <f>CONCATENATE(SUBSTITUTE(Z130," ",""),"c")</f>
        <v>CretaNLineN101.5TurboMTRGMc</v>
      </c>
      <c r="Z130" s="40" t="s">
        <v>665</v>
      </c>
      <c r="AA130" s="54"/>
    </row>
    <row r="131" spans="2:27" x14ac:dyDescent="0.3">
      <c r="X131" s="271"/>
      <c r="Y131" s="46" t="str">
        <f>CONCATENATE(SUBSTITUTE(Z131," ",""),"c")</f>
        <v>CretaNLineN101.5TurboDCTRGMc</v>
      </c>
      <c r="Z131" s="46" t="s">
        <v>666</v>
      </c>
      <c r="AA131" s="55"/>
    </row>
    <row r="132" spans="2:27" x14ac:dyDescent="0.3">
      <c r="B132" s="146" t="s">
        <v>215</v>
      </c>
      <c r="C132" s="147" t="s">
        <v>216</v>
      </c>
      <c r="D132" s="147" t="s">
        <v>217</v>
      </c>
      <c r="E132" s="147" t="s">
        <v>218</v>
      </c>
      <c r="F132" s="147" t="s">
        <v>219</v>
      </c>
      <c r="G132" s="148" t="s">
        <v>220</v>
      </c>
      <c r="Z132"/>
    </row>
    <row r="133" spans="2:27" x14ac:dyDescent="0.3">
      <c r="B133" s="149" t="s">
        <v>56</v>
      </c>
      <c r="C133" s="150">
        <v>5299</v>
      </c>
      <c r="D133" s="150">
        <v>5299</v>
      </c>
      <c r="E133" s="150">
        <v>6599</v>
      </c>
      <c r="F133" s="150">
        <v>7599</v>
      </c>
      <c r="G133" s="151">
        <v>9499</v>
      </c>
      <c r="Y133" s="56"/>
      <c r="Z133"/>
    </row>
    <row r="134" spans="2:27" x14ac:dyDescent="0.3">
      <c r="B134" s="149" t="s">
        <v>57</v>
      </c>
      <c r="C134" s="150">
        <v>5599</v>
      </c>
      <c r="D134" s="150">
        <v>7299</v>
      </c>
      <c r="E134" s="150">
        <v>9499</v>
      </c>
      <c r="F134" s="150">
        <v>11099</v>
      </c>
      <c r="G134" s="151">
        <v>14399</v>
      </c>
      <c r="Y134" s="56"/>
      <c r="Z134"/>
    </row>
    <row r="135" spans="2:27" x14ac:dyDescent="0.3">
      <c r="B135" s="149" t="s">
        <v>65</v>
      </c>
      <c r="C135" s="150">
        <v>5599</v>
      </c>
      <c r="D135" s="150">
        <v>8399</v>
      </c>
      <c r="E135" s="150">
        <v>9499</v>
      </c>
      <c r="F135" s="150">
        <v>11099</v>
      </c>
      <c r="G135" s="151">
        <v>14199</v>
      </c>
      <c r="Y135" s="56"/>
      <c r="Z135"/>
    </row>
    <row r="136" spans="2:27" x14ac:dyDescent="0.3">
      <c r="B136" s="149" t="s">
        <v>68</v>
      </c>
      <c r="C136" s="150">
        <v>11099</v>
      </c>
      <c r="D136" s="150">
        <v>15499</v>
      </c>
      <c r="E136" s="150">
        <v>18799</v>
      </c>
      <c r="F136" s="150">
        <v>23199</v>
      </c>
      <c r="G136" s="151">
        <v>28699</v>
      </c>
      <c r="Y136" s="56"/>
      <c r="Z136"/>
    </row>
    <row r="137" spans="2:27" x14ac:dyDescent="0.3">
      <c r="B137" s="149" t="s">
        <v>69</v>
      </c>
      <c r="C137" s="150">
        <v>11099</v>
      </c>
      <c r="D137" s="150">
        <v>15499</v>
      </c>
      <c r="E137" s="150">
        <v>18799</v>
      </c>
      <c r="F137" s="150">
        <v>23199</v>
      </c>
      <c r="G137" s="151">
        <v>28699</v>
      </c>
      <c r="Y137" s="56"/>
      <c r="Z137"/>
    </row>
    <row r="138" spans="2:27" x14ac:dyDescent="0.3">
      <c r="B138" s="149" t="s">
        <v>67</v>
      </c>
      <c r="C138" s="150">
        <v>12499</v>
      </c>
      <c r="D138" s="150">
        <v>15499</v>
      </c>
      <c r="E138" s="150">
        <v>20999</v>
      </c>
      <c r="F138" s="150">
        <v>27599</v>
      </c>
      <c r="G138" s="151">
        <v>35299</v>
      </c>
      <c r="Y138" s="56"/>
      <c r="Z138"/>
    </row>
    <row r="139" spans="2:27" x14ac:dyDescent="0.3">
      <c r="B139" s="149" t="s">
        <v>90</v>
      </c>
      <c r="C139" s="150">
        <v>5299</v>
      </c>
      <c r="D139" s="150">
        <v>6599</v>
      </c>
      <c r="E139" s="150">
        <v>7599</v>
      </c>
      <c r="F139" s="150">
        <v>8399</v>
      </c>
      <c r="G139" s="151">
        <v>10999</v>
      </c>
      <c r="Y139" s="56"/>
      <c r="Z139"/>
    </row>
    <row r="140" spans="2:27" x14ac:dyDescent="0.3">
      <c r="B140" s="152" t="s">
        <v>759</v>
      </c>
      <c r="C140" s="153">
        <v>0</v>
      </c>
      <c r="D140" s="153">
        <v>0</v>
      </c>
      <c r="E140" s="153">
        <v>0</v>
      </c>
      <c r="F140" s="153">
        <v>0</v>
      </c>
      <c r="G140" s="154">
        <v>94099</v>
      </c>
      <c r="Y140" s="56"/>
      <c r="Z140"/>
    </row>
    <row r="141" spans="2:27" x14ac:dyDescent="0.3">
      <c r="B141" s="137"/>
      <c r="C141" s="138"/>
      <c r="D141" s="138"/>
      <c r="E141" s="138"/>
      <c r="F141" s="138"/>
      <c r="G141" s="139"/>
    </row>
    <row r="142" spans="2:27" x14ac:dyDescent="0.3">
      <c r="B142" s="134"/>
      <c r="C142" s="140"/>
      <c r="D142" s="140"/>
      <c r="E142" s="140"/>
      <c r="F142" s="140"/>
      <c r="G142" s="141"/>
    </row>
    <row r="143" spans="2:27" x14ac:dyDescent="0.3">
      <c r="B143" s="134"/>
      <c r="C143" s="140"/>
      <c r="D143" s="140"/>
      <c r="E143" s="140"/>
      <c r="F143" s="140"/>
      <c r="G143" s="141"/>
    </row>
    <row r="144" spans="2:27" x14ac:dyDescent="0.3">
      <c r="B144" s="134"/>
      <c r="C144" s="140"/>
      <c r="D144" s="140"/>
      <c r="E144" s="140"/>
      <c r="F144" s="140"/>
      <c r="G144" s="141"/>
    </row>
    <row r="145" spans="2:7" x14ac:dyDescent="0.3">
      <c r="B145" s="135"/>
      <c r="C145" s="136"/>
      <c r="D145" s="136"/>
      <c r="E145" s="136"/>
      <c r="F145" s="136"/>
      <c r="G145" s="142"/>
    </row>
    <row r="146" spans="2:7" x14ac:dyDescent="0.3">
      <c r="B146" s="143"/>
      <c r="G146" s="43"/>
    </row>
    <row r="147" spans="2:7" x14ac:dyDescent="0.3">
      <c r="B147" s="143"/>
      <c r="G147" s="43"/>
    </row>
    <row r="148" spans="2:7" x14ac:dyDescent="0.3">
      <c r="B148" s="143"/>
      <c r="C148" s="145" t="s">
        <v>215</v>
      </c>
      <c r="D148" s="145" t="s">
        <v>687</v>
      </c>
      <c r="G148" s="43"/>
    </row>
    <row r="149" spans="2:7" x14ac:dyDescent="0.3">
      <c r="B149" s="143"/>
      <c r="C149" t="s">
        <v>221</v>
      </c>
      <c r="D149" t="s">
        <v>222</v>
      </c>
      <c r="G149" s="43"/>
    </row>
    <row r="150" spans="2:7" x14ac:dyDescent="0.3">
      <c r="B150" s="143"/>
      <c r="C150" t="s">
        <v>223</v>
      </c>
      <c r="D150" t="s">
        <v>224</v>
      </c>
      <c r="G150" s="43"/>
    </row>
    <row r="151" spans="2:7" x14ac:dyDescent="0.3">
      <c r="B151" s="143"/>
      <c r="C151" t="s">
        <v>225</v>
      </c>
      <c r="D151" t="s">
        <v>11</v>
      </c>
      <c r="G151" s="43"/>
    </row>
    <row r="152" spans="2:7" x14ac:dyDescent="0.3">
      <c r="B152" s="143"/>
      <c r="C152" t="s">
        <v>226</v>
      </c>
      <c r="D152" t="s">
        <v>227</v>
      </c>
      <c r="G152" s="43"/>
    </row>
    <row r="153" spans="2:7" x14ac:dyDescent="0.3">
      <c r="B153" s="143"/>
      <c r="C153" t="s">
        <v>32</v>
      </c>
      <c r="D153" t="s">
        <v>228</v>
      </c>
      <c r="G153" s="43"/>
    </row>
    <row r="154" spans="2:7" x14ac:dyDescent="0.3">
      <c r="B154" s="143"/>
      <c r="C154" t="s">
        <v>229</v>
      </c>
      <c r="D154" t="s">
        <v>230</v>
      </c>
      <c r="G154" s="43"/>
    </row>
    <row r="155" spans="2:7" x14ac:dyDescent="0.3">
      <c r="B155" s="143"/>
      <c r="C155" t="s">
        <v>231</v>
      </c>
      <c r="D155" t="s">
        <v>16</v>
      </c>
      <c r="G155" s="43"/>
    </row>
    <row r="156" spans="2:7" x14ac:dyDescent="0.3">
      <c r="B156" s="143"/>
      <c r="C156" t="s">
        <v>232</v>
      </c>
      <c r="G156" s="43"/>
    </row>
    <row r="157" spans="2:7" x14ac:dyDescent="0.3">
      <c r="B157" s="143"/>
      <c r="C157" t="s">
        <v>233</v>
      </c>
      <c r="G157" s="43"/>
    </row>
    <row r="158" spans="2:7" x14ac:dyDescent="0.3">
      <c r="B158" s="143"/>
      <c r="C158" t="s">
        <v>16</v>
      </c>
      <c r="G158" s="43"/>
    </row>
    <row r="159" spans="2:7" x14ac:dyDescent="0.3">
      <c r="B159" s="144"/>
      <c r="C159" s="44"/>
      <c r="D159" s="44"/>
      <c r="E159" s="44"/>
      <c r="F159" s="44"/>
      <c r="G159" s="45"/>
    </row>
    <row r="165" spans="2:8" x14ac:dyDescent="0.3">
      <c r="B165" t="s">
        <v>234</v>
      </c>
    </row>
    <row r="166" spans="2:8" ht="28.8" x14ac:dyDescent="0.3">
      <c r="B166" s="171" t="s">
        <v>768</v>
      </c>
      <c r="E166" t="s">
        <v>661</v>
      </c>
      <c r="H166" t="s">
        <v>236</v>
      </c>
    </row>
    <row r="167" spans="2:8" ht="57.6" x14ac:dyDescent="0.3">
      <c r="B167" s="171" t="s">
        <v>769</v>
      </c>
      <c r="E167" t="s">
        <v>662</v>
      </c>
      <c r="H167" s="8" t="s">
        <v>237</v>
      </c>
    </row>
    <row r="168" spans="2:8" x14ac:dyDescent="0.3">
      <c r="E168" t="s">
        <v>235</v>
      </c>
      <c r="H168" t="s">
        <v>235</v>
      </c>
    </row>
  </sheetData>
  <mergeCells count="41">
    <mergeCell ref="AF11:AF16"/>
    <mergeCell ref="AA30:AA32"/>
    <mergeCell ref="AA9:AA11"/>
    <mergeCell ref="AA37:AA38"/>
    <mergeCell ref="AC25:AC31"/>
    <mergeCell ref="AF48:AF49"/>
    <mergeCell ref="AF41:AF43"/>
    <mergeCell ref="AA75:AA81"/>
    <mergeCell ref="X74:X81"/>
    <mergeCell ref="X19:X21"/>
    <mergeCell ref="X24:X32"/>
    <mergeCell ref="X41:X45"/>
    <mergeCell ref="AC34:AC43"/>
    <mergeCell ref="AC46:AC49"/>
    <mergeCell ref="X35:X38"/>
    <mergeCell ref="X48:X51"/>
    <mergeCell ref="Z19:Z21"/>
    <mergeCell ref="Y19:Y21"/>
    <mergeCell ref="X128:X131"/>
    <mergeCell ref="AA88:AA102"/>
    <mergeCell ref="X84:X102"/>
    <mergeCell ref="AF70:AF78"/>
    <mergeCell ref="AF61:AF62"/>
    <mergeCell ref="AC59:AC62"/>
    <mergeCell ref="AC92:AC94"/>
    <mergeCell ref="X54:X71"/>
    <mergeCell ref="AA60:AA71"/>
    <mergeCell ref="X116:X119"/>
    <mergeCell ref="X105:X113"/>
    <mergeCell ref="AC87:AC89"/>
    <mergeCell ref="X14:X15"/>
    <mergeCell ref="X122:X125"/>
    <mergeCell ref="AA107:AA113"/>
    <mergeCell ref="AC19:AC22"/>
    <mergeCell ref="AC5:AC16"/>
    <mergeCell ref="AC81:AC84"/>
    <mergeCell ref="AC65:AC78"/>
    <mergeCell ref="AC104:AC106"/>
    <mergeCell ref="AC97:AC101"/>
    <mergeCell ref="AC53:AC56"/>
    <mergeCell ref="X2:X11"/>
  </mergeCells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42BB-83DD-4F02-A456-EA053E3B86E8}">
  <sheetPr codeName="Sheet4"/>
  <dimension ref="A1:AV178"/>
  <sheetViews>
    <sheetView topLeftCell="AD1" zoomScale="115" zoomScaleNormal="115" workbookViewId="0">
      <pane ySplit="2" topLeftCell="A163" activePane="bottomLeft" state="frozen"/>
      <selection pane="bottomLeft" activeCell="C76" sqref="C76"/>
    </sheetView>
  </sheetViews>
  <sheetFormatPr defaultColWidth="8.6640625" defaultRowHeight="13.8" x14ac:dyDescent="0.3"/>
  <cols>
    <col min="1" max="1" width="9" style="10" bestFit="1" customWidth="1"/>
    <col min="2" max="2" width="14.77734375" style="10" bestFit="1" customWidth="1"/>
    <col min="3" max="3" width="16.21875" style="10" customWidth="1"/>
    <col min="4" max="4" width="22.6640625" style="10" customWidth="1"/>
    <col min="5" max="5" width="9.44140625" style="11" bestFit="1" customWidth="1"/>
    <col min="6" max="6" width="8.21875" style="10" customWidth="1"/>
    <col min="7" max="7" width="8.6640625" style="19" customWidth="1"/>
    <col min="8" max="8" width="7.5546875" style="19" customWidth="1"/>
    <col min="9" max="9" width="6" style="19" customWidth="1"/>
    <col min="10" max="11" width="7.6640625" style="19" customWidth="1"/>
    <col min="12" max="12" width="7" style="19" customWidth="1"/>
    <col min="13" max="14" width="6" style="19" customWidth="1"/>
    <col min="15" max="15" width="5" style="19" customWidth="1"/>
    <col min="16" max="16" width="7.44140625" style="19" customWidth="1"/>
    <col min="17" max="17" width="7" style="19" customWidth="1"/>
    <col min="18" max="18" width="7.44140625" style="10" customWidth="1"/>
    <col min="19" max="19" width="8.21875" style="10" customWidth="1"/>
    <col min="20" max="20" width="7.44140625" style="10" customWidth="1"/>
    <col min="21" max="21" width="12.21875" style="10" customWidth="1"/>
    <col min="22" max="22" width="6" style="10" customWidth="1"/>
    <col min="23" max="23" width="7.5546875" style="10" customWidth="1"/>
    <col min="24" max="24" width="11.44140625" style="17" customWidth="1"/>
    <col min="25" max="25" width="7" style="10" customWidth="1"/>
    <col min="26" max="26" width="6.88671875" style="10" customWidth="1"/>
    <col min="27" max="27" width="6.77734375" style="10" customWidth="1"/>
    <col min="28" max="28" width="13.33203125" style="9" customWidth="1"/>
    <col min="29" max="29" width="10.5546875" style="10" customWidth="1"/>
    <col min="30" max="30" width="7.44140625" style="10" customWidth="1"/>
    <col min="31" max="34" width="8.21875" style="9" customWidth="1"/>
    <col min="35" max="35" width="13.33203125" style="10" customWidth="1"/>
    <col min="36" max="36" width="8.77734375" style="10" customWidth="1"/>
    <col min="37" max="37" width="9.5546875" style="10" customWidth="1"/>
    <col min="38" max="38" width="6.109375" style="10" customWidth="1"/>
    <col min="39" max="39" width="5.6640625" style="10" customWidth="1"/>
    <col min="40" max="40" width="9.33203125" style="10" customWidth="1"/>
    <col min="41" max="41" width="6.77734375" style="10" customWidth="1"/>
    <col min="42" max="42" width="6" style="10" customWidth="1"/>
    <col min="43" max="43" width="11.5546875" style="10" customWidth="1"/>
    <col min="44" max="44" width="10.33203125" style="10" bestFit="1" customWidth="1"/>
    <col min="45" max="45" width="11.33203125" style="10" bestFit="1" customWidth="1"/>
    <col min="46" max="46" width="12.5546875" style="10" customWidth="1"/>
    <col min="47" max="47" width="10.5546875" style="10" customWidth="1"/>
    <col min="48" max="16384" width="8.6640625" style="10"/>
  </cols>
  <sheetData>
    <row r="1" spans="1:47" s="9" customFormat="1" x14ac:dyDescent="0.3">
      <c r="A1" s="97"/>
      <c r="B1" s="97"/>
      <c r="C1" s="97">
        <v>1</v>
      </c>
      <c r="D1" s="97">
        <v>1</v>
      </c>
      <c r="E1" s="98">
        <v>2</v>
      </c>
      <c r="F1" s="97">
        <v>3</v>
      </c>
      <c r="G1" s="108">
        <v>4</v>
      </c>
      <c r="H1" s="99">
        <v>5</v>
      </c>
      <c r="I1" s="108">
        <v>6</v>
      </c>
      <c r="J1" s="99">
        <v>7</v>
      </c>
      <c r="K1" s="108">
        <v>8</v>
      </c>
      <c r="L1" s="99">
        <v>9</v>
      </c>
      <c r="M1" s="108">
        <v>10</v>
      </c>
      <c r="N1" s="99">
        <v>11</v>
      </c>
      <c r="O1" s="108">
        <v>12</v>
      </c>
      <c r="P1" s="99">
        <v>13</v>
      </c>
      <c r="Q1" s="108">
        <v>14</v>
      </c>
      <c r="R1" s="97">
        <v>15</v>
      </c>
      <c r="S1" s="98">
        <v>16</v>
      </c>
      <c r="T1" s="97">
        <v>17</v>
      </c>
      <c r="U1" s="160">
        <v>18</v>
      </c>
      <c r="V1" s="97">
        <v>19</v>
      </c>
      <c r="W1" s="98">
        <v>20</v>
      </c>
      <c r="X1" s="161">
        <v>21</v>
      </c>
      <c r="Y1" s="98">
        <v>22</v>
      </c>
      <c r="Z1" s="97">
        <v>23</v>
      </c>
      <c r="AA1" s="98">
        <v>24</v>
      </c>
      <c r="AB1" s="161">
        <v>25</v>
      </c>
      <c r="AC1" s="160">
        <v>26</v>
      </c>
      <c r="AD1" s="97">
        <v>27</v>
      </c>
      <c r="AE1" s="98">
        <v>28</v>
      </c>
      <c r="AF1" s="97">
        <v>29</v>
      </c>
      <c r="AG1" s="98">
        <v>30</v>
      </c>
      <c r="AH1" s="97">
        <v>31</v>
      </c>
      <c r="AI1" s="160">
        <v>32</v>
      </c>
      <c r="AJ1" s="97">
        <v>33</v>
      </c>
      <c r="AK1" s="98">
        <v>34</v>
      </c>
      <c r="AL1" s="97">
        <v>35</v>
      </c>
      <c r="AM1" s="98">
        <v>36</v>
      </c>
      <c r="AN1" s="97">
        <v>37</v>
      </c>
      <c r="AO1" s="98">
        <v>38</v>
      </c>
      <c r="AP1" s="97">
        <v>39</v>
      </c>
      <c r="AQ1" s="98">
        <v>40</v>
      </c>
      <c r="AR1" s="161">
        <v>41</v>
      </c>
      <c r="AS1" s="160">
        <v>42</v>
      </c>
      <c r="AT1" s="97">
        <v>43</v>
      </c>
      <c r="AU1" s="98">
        <v>44</v>
      </c>
    </row>
    <row r="2" spans="1:47" s="95" customFormat="1" ht="69" x14ac:dyDescent="0.3">
      <c r="A2" s="100" t="s">
        <v>675</v>
      </c>
      <c r="B2" s="100" t="s">
        <v>171</v>
      </c>
      <c r="C2" s="100" t="s">
        <v>238</v>
      </c>
      <c r="D2" s="100" t="str">
        <f>B2&amp;C2</f>
        <v>ModelVariant</v>
      </c>
      <c r="E2" s="101" t="s">
        <v>239</v>
      </c>
      <c r="F2" s="102" t="s">
        <v>240</v>
      </c>
      <c r="G2" s="103" t="s">
        <v>241</v>
      </c>
      <c r="H2" s="103" t="s">
        <v>242</v>
      </c>
      <c r="I2" s="103" t="s">
        <v>243</v>
      </c>
      <c r="J2" s="103" t="s">
        <v>244</v>
      </c>
      <c r="K2" s="103" t="s">
        <v>245</v>
      </c>
      <c r="L2" s="103" t="s">
        <v>246</v>
      </c>
      <c r="M2" s="103" t="s">
        <v>247</v>
      </c>
      <c r="N2" s="103" t="s">
        <v>248</v>
      </c>
      <c r="O2" s="103" t="s">
        <v>249</v>
      </c>
      <c r="P2" s="115" t="s">
        <v>250</v>
      </c>
      <c r="Q2" s="115" t="s">
        <v>251</v>
      </c>
      <c r="R2" s="104" t="s">
        <v>252</v>
      </c>
      <c r="S2" s="104" t="s">
        <v>253</v>
      </c>
      <c r="T2" s="100" t="s">
        <v>254</v>
      </c>
      <c r="U2" s="155" t="s">
        <v>255</v>
      </c>
      <c r="V2" s="156" t="s">
        <v>256</v>
      </c>
      <c r="W2" s="155" t="s">
        <v>257</v>
      </c>
      <c r="X2" s="156" t="s">
        <v>258</v>
      </c>
      <c r="Y2" s="155" t="s">
        <v>14</v>
      </c>
      <c r="Z2" s="155" t="s">
        <v>259</v>
      </c>
      <c r="AA2" s="155" t="s">
        <v>260</v>
      </c>
      <c r="AB2" s="156" t="s">
        <v>261</v>
      </c>
      <c r="AC2" s="155" t="s">
        <v>262</v>
      </c>
      <c r="AD2" s="155" t="s">
        <v>263</v>
      </c>
      <c r="AE2" s="157" t="s">
        <v>264</v>
      </c>
      <c r="AF2" s="157" t="s">
        <v>265</v>
      </c>
      <c r="AG2" s="157" t="s">
        <v>266</v>
      </c>
      <c r="AH2" s="157" t="s">
        <v>267</v>
      </c>
      <c r="AI2" s="155" t="s">
        <v>268</v>
      </c>
      <c r="AJ2" s="106" t="s">
        <v>269</v>
      </c>
      <c r="AK2" s="106" t="s">
        <v>270</v>
      </c>
      <c r="AL2" s="106" t="s">
        <v>271</v>
      </c>
      <c r="AM2" s="106" t="s">
        <v>272</v>
      </c>
      <c r="AN2" s="106" t="s">
        <v>273</v>
      </c>
      <c r="AO2" s="106" t="s">
        <v>274</v>
      </c>
      <c r="AP2" s="106" t="s">
        <v>275</v>
      </c>
      <c r="AQ2" s="106" t="s">
        <v>276</v>
      </c>
      <c r="AR2" s="155" t="s">
        <v>277</v>
      </c>
      <c r="AS2" s="155" t="s">
        <v>278</v>
      </c>
      <c r="AT2" s="106" t="s">
        <v>674</v>
      </c>
      <c r="AU2" s="105" t="s">
        <v>279</v>
      </c>
    </row>
    <row r="3" spans="1:47" ht="14.4" x14ac:dyDescent="0.3">
      <c r="A3" s="88">
        <v>1</v>
      </c>
      <c r="B3" s="88" t="s">
        <v>56</v>
      </c>
      <c r="C3" s="88" t="s">
        <v>346</v>
      </c>
      <c r="D3" s="88" t="str">
        <f>CONCATENATE(B3," ",C3)</f>
        <v>NIOS Era</v>
      </c>
      <c r="E3" s="18">
        <v>592300</v>
      </c>
      <c r="F3" s="107" t="str">
        <f t="shared" ref="F3:F34" si="0">IF(E3&gt;999999,((E3*1)/100),"")</f>
        <v/>
      </c>
      <c r="G3" s="108">
        <f t="shared" ref="G3:G21" si="1">+((E3-E3*0.05)*0.03191)-(((E3-E3*0.05)*0.03191)*0.2)+AP3+(((E3-E3*0.05)*0.03191)-(((E3-E3*0.05)*0.03191)*0.2)+AP3)*0.18+3</f>
        <v>31825.502762399999</v>
      </c>
      <c r="H3" s="108">
        <f>+((E3-E3*0.05)*0.03283)-(((E3-E3*0.05)*0.03283)*0.2)+AP3+(((E3-E3*0.05)*0.03283)-(((E3-E3*0.05)*0.03283)*0.2)+AP3)*0.18+3</f>
        <v>32314.183431199996</v>
      </c>
      <c r="I3" s="99"/>
      <c r="J3" s="108">
        <f>+((E3-E3*0.05)*0.03191)-(((E3-E3*0.05)*0.03191)*AU3)+AP3+(((E3-E3*0.05)*0.03191)-(((E3-E3*0.05)*0.03191)*AU3)+AP3)*0.18+3</f>
        <v>23350.611381200004</v>
      </c>
      <c r="K3" s="108">
        <f>+((E3-E3*0.05)*0.03283)-(((E3-E3*0.05)*0.03283)*AU3)+AP3+(((E3-E3*0.05)*0.03283)-(((E3-E3*0.05)*0.03283)*AU3)+AP3)*0.18+3</f>
        <v>23594.9517156</v>
      </c>
      <c r="L3" s="108">
        <f t="shared" ref="L3:L19" si="2">(((E3*95%)*0.4%)+298)+((((E3*95%)*0.4%)+298)*18%)</f>
        <v>3007.5132000000003</v>
      </c>
      <c r="M3" s="108">
        <f t="shared" ref="M3:M19" si="3">(((E3*95%)*0.5%)+298)+((((E3*95%)*0.5%)+298)*18%)</f>
        <v>3671.4815000000003</v>
      </c>
      <c r="N3" s="116">
        <f t="shared" ref="N3:N19" si="4">(((E3*95%)*0.6%)+298)+((((E3*95%)*0.6%)+298)*18%)</f>
        <v>4335.4498000000003</v>
      </c>
      <c r="O3" s="116">
        <f t="shared" ref="O3:O34" si="5">(((E3*95%)*0.25%))+((((E3*95%)*0.25%))*18%)</f>
        <v>1659.9207500000002</v>
      </c>
      <c r="P3" s="117">
        <f>IF(E3&lt;1000000,E3*8%,IF(E3&gt;=1000000,E3*10%))+600+1500+750+4500</f>
        <v>54734</v>
      </c>
      <c r="Q3" s="118">
        <f>IF(E3&lt;600000,E3*4%,IF(E3&lt;1000000,E3*7%,IF(E3&gt;=1000000,E3*10%)))+600+1500+230+4000+2000+4500+750</f>
        <v>37272</v>
      </c>
      <c r="R3" s="98"/>
      <c r="S3" s="98"/>
      <c r="T3" s="18">
        <v>8134</v>
      </c>
      <c r="U3" s="158">
        <v>12625</v>
      </c>
      <c r="V3" s="108">
        <f t="shared" ref="V3:V34" si="6">((IF(E3&lt;1000000,E3*8%,IF(AND(E3&gt;=1000000,E3&lt;2000000),E3*10%,IF(E3&gt;=2000000,E3*12%,0)))*1.25*2)/15)</f>
        <v>7897.333333333333</v>
      </c>
      <c r="W3" s="18">
        <v>9000</v>
      </c>
      <c r="X3" s="109" t="s">
        <v>282</v>
      </c>
      <c r="Y3" s="110"/>
      <c r="Z3" s="110"/>
      <c r="AA3" s="110"/>
      <c r="AB3" s="97" t="s">
        <v>16</v>
      </c>
      <c r="AC3" s="158">
        <v>14867</v>
      </c>
      <c r="AD3" s="98">
        <v>2136</v>
      </c>
      <c r="AE3" s="97">
        <v>13511</v>
      </c>
      <c r="AF3" s="98">
        <v>20691</v>
      </c>
      <c r="AG3" s="98">
        <v>28170</v>
      </c>
      <c r="AH3" s="97">
        <v>35546</v>
      </c>
      <c r="AI3" s="158">
        <v>31151</v>
      </c>
      <c r="AJ3" s="111">
        <v>6</v>
      </c>
      <c r="AK3" s="111">
        <v>10640</v>
      </c>
      <c r="AL3" s="111">
        <v>914</v>
      </c>
      <c r="AM3" s="111">
        <v>150</v>
      </c>
      <c r="AN3" s="111">
        <f t="shared" ref="AN3:AN46" si="7">AJ3*150</f>
        <v>900</v>
      </c>
      <c r="AO3" s="111"/>
      <c r="AP3" s="111">
        <f t="shared" ref="AP3:AP34" si="8">SUM(AK3:AO3)</f>
        <v>12604</v>
      </c>
      <c r="AQ3" s="111" t="s">
        <v>281</v>
      </c>
      <c r="AR3" s="158">
        <v>7551</v>
      </c>
      <c r="AS3" s="158">
        <v>8259</v>
      </c>
      <c r="AT3" s="111"/>
      <c r="AU3" s="97">
        <v>0.6</v>
      </c>
    </row>
    <row r="4" spans="1:47" ht="14.4" x14ac:dyDescent="0.3">
      <c r="A4" s="88">
        <v>2</v>
      </c>
      <c r="B4" s="88" t="s">
        <v>56</v>
      </c>
      <c r="C4" s="88" t="s">
        <v>347</v>
      </c>
      <c r="D4" s="88" t="str">
        <f t="shared" ref="D4:D67" si="9">CONCATENATE(B4," ",C4)</f>
        <v>NIOS Magna</v>
      </c>
      <c r="E4" s="18">
        <v>678200</v>
      </c>
      <c r="F4" s="107" t="str">
        <f t="shared" si="0"/>
        <v/>
      </c>
      <c r="G4" s="108">
        <f t="shared" si="1"/>
        <v>34460.6934416</v>
      </c>
      <c r="H4" s="108">
        <f t="shared" ref="H4:H21" si="10">+((E4-E4*0.05)*0.03283)-(((E4-E4*0.05)*0.03283)*0.2)+AP4+(((E4-E4*0.05)*0.03283)-(((E4-E4*0.05)*0.03283)*0.2)+AP4)*0.18+3</f>
        <v>35020.246420799995</v>
      </c>
      <c r="I4" s="99"/>
      <c r="J4" s="108">
        <f t="shared" ref="J4:J21" si="11">+((E4-E4*0.05)*0.03191)-(((E4-E4*0.05)*0.03191)*AU4)+AP4+(((E4-E4*0.05)*0.03191)-(((E4-E4*0.05)*0.03191)*AU4)+AP4)*0.18+3</f>
        <v>24756.706720800001</v>
      </c>
      <c r="K4" s="108">
        <f t="shared" ref="K4:K21" si="12">+((E4-E4*0.05)*0.03283)-(((E4-E4*0.05)*0.03283)*AU4)+AP4+(((E4-E4*0.05)*0.03283)-(((E4-E4*0.05)*0.03283)*AU4)+AP4)*0.18+3</f>
        <v>25036.483210399998</v>
      </c>
      <c r="L4" s="108">
        <f t="shared" si="2"/>
        <v>3392.6887999999999</v>
      </c>
      <c r="M4" s="108">
        <f t="shared" si="3"/>
        <v>4152.951</v>
      </c>
      <c r="N4" s="116">
        <f t="shared" si="4"/>
        <v>4913.2132000000001</v>
      </c>
      <c r="O4" s="116">
        <f t="shared" si="5"/>
        <v>1900.6555000000001</v>
      </c>
      <c r="P4" s="117">
        <f t="shared" ref="P4:P34" si="13">IF(E4&lt;1000000,E4*8%,IF(E4&gt;=1000000,E4*10%))+600+1500+750+4500</f>
        <v>61606</v>
      </c>
      <c r="Q4" s="118">
        <f t="shared" ref="Q4:Q34" si="14">IF(E4&lt;600000,E4*4%,IF(E4&lt;1000000,E4*7%,IF(E4&gt;=1000000,E4*10%)))+600+1500+230+4000+2000+4500+750</f>
        <v>61054.000000000007</v>
      </c>
      <c r="R4" s="98"/>
      <c r="S4" s="98"/>
      <c r="T4" s="18">
        <v>8134</v>
      </c>
      <c r="U4" s="158">
        <v>12625</v>
      </c>
      <c r="V4" s="98">
        <f t="shared" si="6"/>
        <v>9042.6666666666661</v>
      </c>
      <c r="W4" s="18">
        <v>9000</v>
      </c>
      <c r="X4" s="109" t="s">
        <v>282</v>
      </c>
      <c r="Y4" s="110"/>
      <c r="Z4" s="110"/>
      <c r="AA4" s="110"/>
      <c r="AB4" s="97" t="s">
        <v>16</v>
      </c>
      <c r="AC4" s="158">
        <v>14867</v>
      </c>
      <c r="AD4" s="98">
        <v>2136</v>
      </c>
      <c r="AE4" s="97">
        <v>13511</v>
      </c>
      <c r="AF4" s="98">
        <v>20691</v>
      </c>
      <c r="AG4" s="98">
        <v>28170</v>
      </c>
      <c r="AH4" s="97">
        <v>35546</v>
      </c>
      <c r="AI4" s="158">
        <v>31151</v>
      </c>
      <c r="AJ4" s="111">
        <v>7</v>
      </c>
      <c r="AK4" s="111">
        <v>10640</v>
      </c>
      <c r="AL4" s="111">
        <v>914</v>
      </c>
      <c r="AM4" s="111">
        <v>150</v>
      </c>
      <c r="AN4" s="111">
        <f t="shared" si="7"/>
        <v>1050</v>
      </c>
      <c r="AO4" s="111"/>
      <c r="AP4" s="111">
        <f t="shared" si="8"/>
        <v>12754</v>
      </c>
      <c r="AQ4" s="111" t="s">
        <v>281</v>
      </c>
      <c r="AR4" s="158">
        <v>7551</v>
      </c>
      <c r="AS4" s="158">
        <v>8259</v>
      </c>
      <c r="AT4" s="111"/>
      <c r="AU4" s="97">
        <v>0.6</v>
      </c>
    </row>
    <row r="5" spans="1:47" ht="14.4" x14ac:dyDescent="0.3">
      <c r="A5" s="88">
        <v>3</v>
      </c>
      <c r="B5" s="88" t="s">
        <v>56</v>
      </c>
      <c r="C5" s="88" t="s">
        <v>348</v>
      </c>
      <c r="D5" s="88" t="str">
        <f t="shared" si="9"/>
        <v>NIOS Sportz</v>
      </c>
      <c r="E5" s="18">
        <v>736400</v>
      </c>
      <c r="F5" s="107" t="str">
        <f t="shared" si="0"/>
        <v/>
      </c>
      <c r="G5" s="108">
        <f t="shared" si="1"/>
        <v>36126.196323199998</v>
      </c>
      <c r="H5" s="108">
        <f t="shared" si="10"/>
        <v>36733.767561599998</v>
      </c>
      <c r="I5" s="99"/>
      <c r="J5" s="108">
        <f t="shared" si="11"/>
        <v>25589.458161600003</v>
      </c>
      <c r="K5" s="108">
        <f t="shared" si="12"/>
        <v>25893.2437808</v>
      </c>
      <c r="L5" s="108">
        <f t="shared" si="2"/>
        <v>3653.6576</v>
      </c>
      <c r="M5" s="108">
        <f t="shared" si="3"/>
        <v>4479.1620000000003</v>
      </c>
      <c r="N5" s="116">
        <f t="shared" si="4"/>
        <v>5304.6664000000001</v>
      </c>
      <c r="O5" s="116">
        <f t="shared" si="5"/>
        <v>2063.761</v>
      </c>
      <c r="P5" s="117">
        <f t="shared" si="13"/>
        <v>66262</v>
      </c>
      <c r="Q5" s="118">
        <f t="shared" si="14"/>
        <v>65128.000000000007</v>
      </c>
      <c r="R5" s="98"/>
      <c r="S5" s="98"/>
      <c r="T5" s="18">
        <v>8134</v>
      </c>
      <c r="U5" s="158">
        <v>12625</v>
      </c>
      <c r="V5" s="98">
        <f t="shared" si="6"/>
        <v>9818.6666666666661</v>
      </c>
      <c r="W5" s="18">
        <v>9000</v>
      </c>
      <c r="X5" s="109" t="s">
        <v>282</v>
      </c>
      <c r="Y5" s="110"/>
      <c r="Z5" s="110"/>
      <c r="AA5" s="110"/>
      <c r="AB5" s="97" t="s">
        <v>16</v>
      </c>
      <c r="AC5" s="158">
        <v>14867</v>
      </c>
      <c r="AD5" s="98">
        <v>2136</v>
      </c>
      <c r="AE5" s="97">
        <v>13511</v>
      </c>
      <c r="AF5" s="98">
        <v>20691</v>
      </c>
      <c r="AG5" s="98">
        <v>28170</v>
      </c>
      <c r="AH5" s="97">
        <v>35546</v>
      </c>
      <c r="AI5" s="158">
        <v>31151</v>
      </c>
      <c r="AJ5" s="111">
        <v>7</v>
      </c>
      <c r="AK5" s="111">
        <v>10640</v>
      </c>
      <c r="AL5" s="111">
        <v>914</v>
      </c>
      <c r="AM5" s="111">
        <v>150</v>
      </c>
      <c r="AN5" s="111">
        <f t="shared" si="7"/>
        <v>1050</v>
      </c>
      <c r="AO5" s="111"/>
      <c r="AP5" s="111">
        <f t="shared" si="8"/>
        <v>12754</v>
      </c>
      <c r="AQ5" s="111" t="s">
        <v>281</v>
      </c>
      <c r="AR5" s="158">
        <v>7551</v>
      </c>
      <c r="AS5" s="158">
        <v>8259</v>
      </c>
      <c r="AT5" s="111"/>
      <c r="AU5" s="97">
        <v>0.6</v>
      </c>
    </row>
    <row r="6" spans="1:47" ht="14.4" x14ac:dyDescent="0.3">
      <c r="A6" s="88">
        <v>4</v>
      </c>
      <c r="B6" s="88" t="s">
        <v>56</v>
      </c>
      <c r="C6" s="88" t="s">
        <v>349</v>
      </c>
      <c r="D6" s="88" t="str">
        <f t="shared" si="9"/>
        <v>NIOS Sportz DT</v>
      </c>
      <c r="E6" s="18">
        <v>760900</v>
      </c>
      <c r="F6" s="107" t="str">
        <f t="shared" si="0"/>
        <v/>
      </c>
      <c r="G6" s="108">
        <f t="shared" si="1"/>
        <v>36650.310079200004</v>
      </c>
      <c r="H6" s="108">
        <f t="shared" si="10"/>
        <v>37278.095189599997</v>
      </c>
      <c r="I6" s="99"/>
      <c r="J6" s="108">
        <f t="shared" si="11"/>
        <v>25763.015039600003</v>
      </c>
      <c r="K6" s="108">
        <f t="shared" si="12"/>
        <v>26076.907594800003</v>
      </c>
      <c r="L6" s="108">
        <f t="shared" si="2"/>
        <v>3763.5156000000002</v>
      </c>
      <c r="M6" s="108">
        <f t="shared" si="3"/>
        <v>4616.4845000000005</v>
      </c>
      <c r="N6" s="116">
        <f t="shared" si="4"/>
        <v>5469.4534000000003</v>
      </c>
      <c r="O6" s="116">
        <f t="shared" si="5"/>
        <v>2132.4222500000001</v>
      </c>
      <c r="P6" s="117">
        <f t="shared" si="13"/>
        <v>68222</v>
      </c>
      <c r="Q6" s="118">
        <f t="shared" si="14"/>
        <v>66843</v>
      </c>
      <c r="R6" s="98"/>
      <c r="S6" s="98"/>
      <c r="T6" s="18">
        <v>8134</v>
      </c>
      <c r="U6" s="158">
        <v>12625</v>
      </c>
      <c r="V6" s="98">
        <f t="shared" si="6"/>
        <v>10145.333333333334</v>
      </c>
      <c r="W6" s="18">
        <v>9000</v>
      </c>
      <c r="X6" s="109" t="s">
        <v>282</v>
      </c>
      <c r="Y6" s="110"/>
      <c r="Z6" s="110"/>
      <c r="AA6" s="110"/>
      <c r="AB6" s="97" t="s">
        <v>16</v>
      </c>
      <c r="AC6" s="158">
        <v>14867</v>
      </c>
      <c r="AD6" s="98">
        <v>2136</v>
      </c>
      <c r="AE6" s="97">
        <v>13511</v>
      </c>
      <c r="AF6" s="98">
        <v>20691</v>
      </c>
      <c r="AG6" s="98">
        <v>28170</v>
      </c>
      <c r="AH6" s="97">
        <v>35546</v>
      </c>
      <c r="AI6" s="158">
        <v>31151</v>
      </c>
      <c r="AJ6" s="111">
        <v>6</v>
      </c>
      <c r="AK6" s="111">
        <v>10640</v>
      </c>
      <c r="AL6" s="111">
        <v>914</v>
      </c>
      <c r="AM6" s="111">
        <v>150</v>
      </c>
      <c r="AN6" s="111">
        <f t="shared" si="7"/>
        <v>900</v>
      </c>
      <c r="AO6" s="111"/>
      <c r="AP6" s="111">
        <f t="shared" si="8"/>
        <v>12604</v>
      </c>
      <c r="AQ6" s="111" t="s">
        <v>281</v>
      </c>
      <c r="AR6" s="158">
        <v>7551</v>
      </c>
      <c r="AS6" s="158">
        <v>8259</v>
      </c>
      <c r="AT6" s="111"/>
      <c r="AU6" s="97">
        <v>0.6</v>
      </c>
    </row>
    <row r="7" spans="1:47" ht="14.4" x14ac:dyDescent="0.3">
      <c r="A7" s="88">
        <v>5</v>
      </c>
      <c r="B7" s="88" t="s">
        <v>56</v>
      </c>
      <c r="C7" s="88" t="s">
        <v>350</v>
      </c>
      <c r="D7" s="88" t="str">
        <f t="shared" si="9"/>
        <v>NIOS Asta</v>
      </c>
      <c r="E7" s="18">
        <v>799500</v>
      </c>
      <c r="F7" s="107" t="str">
        <f t="shared" si="0"/>
        <v/>
      </c>
      <c r="G7" s="108">
        <f t="shared" si="1"/>
        <v>37754.921955999998</v>
      </c>
      <c r="H7" s="108">
        <f t="shared" si="10"/>
        <v>38414.554227999994</v>
      </c>
      <c r="I7" s="99"/>
      <c r="J7" s="108">
        <f t="shared" si="11"/>
        <v>26315.320978000003</v>
      </c>
      <c r="K7" s="108">
        <f t="shared" si="12"/>
        <v>26645.137114000001</v>
      </c>
      <c r="L7" s="108">
        <f t="shared" si="2"/>
        <v>3936.598</v>
      </c>
      <c r="M7" s="108">
        <f t="shared" si="3"/>
        <v>4832.8374999999996</v>
      </c>
      <c r="N7" s="116">
        <f t="shared" si="4"/>
        <v>5729.0770000000002</v>
      </c>
      <c r="O7" s="116">
        <f t="shared" si="5"/>
        <v>2240.5987500000001</v>
      </c>
      <c r="P7" s="117">
        <f t="shared" si="13"/>
        <v>71310</v>
      </c>
      <c r="Q7" s="118">
        <f t="shared" si="14"/>
        <v>69545</v>
      </c>
      <c r="R7" s="98"/>
      <c r="S7" s="98"/>
      <c r="T7" s="18">
        <v>8134</v>
      </c>
      <c r="U7" s="158">
        <v>12625</v>
      </c>
      <c r="V7" s="98">
        <f t="shared" si="6"/>
        <v>10660</v>
      </c>
      <c r="W7" s="18">
        <v>9000</v>
      </c>
      <c r="X7" s="109" t="s">
        <v>282</v>
      </c>
      <c r="Y7" s="110"/>
      <c r="Z7" s="110"/>
      <c r="AA7" s="110"/>
      <c r="AB7" s="97" t="s">
        <v>16</v>
      </c>
      <c r="AC7" s="158">
        <v>14867</v>
      </c>
      <c r="AD7" s="98">
        <v>2136</v>
      </c>
      <c r="AE7" s="97">
        <v>13511</v>
      </c>
      <c r="AF7" s="98">
        <v>20691</v>
      </c>
      <c r="AG7" s="98">
        <v>28170</v>
      </c>
      <c r="AH7" s="97">
        <v>35546</v>
      </c>
      <c r="AI7" s="158">
        <v>31151</v>
      </c>
      <c r="AJ7" s="111">
        <v>6</v>
      </c>
      <c r="AK7" s="111">
        <v>10640</v>
      </c>
      <c r="AL7" s="111">
        <v>914</v>
      </c>
      <c r="AM7" s="111">
        <v>150</v>
      </c>
      <c r="AN7" s="111">
        <f t="shared" si="7"/>
        <v>900</v>
      </c>
      <c r="AO7" s="111"/>
      <c r="AP7" s="111">
        <f t="shared" si="8"/>
        <v>12604</v>
      </c>
      <c r="AQ7" s="111" t="s">
        <v>281</v>
      </c>
      <c r="AR7" s="158">
        <v>7551</v>
      </c>
      <c r="AS7" s="158">
        <v>8259</v>
      </c>
      <c r="AT7" s="111"/>
      <c r="AU7" s="97">
        <v>0.6</v>
      </c>
    </row>
    <row r="8" spans="1:47" ht="14.4" x14ac:dyDescent="0.3">
      <c r="A8" s="88">
        <v>6</v>
      </c>
      <c r="B8" s="88" t="s">
        <v>56</v>
      </c>
      <c r="C8" s="88" t="s">
        <v>351</v>
      </c>
      <c r="D8" s="88" t="str">
        <f t="shared" si="9"/>
        <v>NIOS Magna AMT</v>
      </c>
      <c r="E8" s="18">
        <v>742900</v>
      </c>
      <c r="F8" s="107" t="str">
        <f t="shared" si="0"/>
        <v/>
      </c>
      <c r="G8" s="108">
        <f t="shared" si="1"/>
        <v>36312.206095200003</v>
      </c>
      <c r="H8" s="108">
        <f t="shared" si="10"/>
        <v>36925.140197599998</v>
      </c>
      <c r="I8" s="99"/>
      <c r="J8" s="108">
        <f t="shared" si="11"/>
        <v>25682.463047600002</v>
      </c>
      <c r="K8" s="108">
        <f t="shared" si="12"/>
        <v>25988.9300988</v>
      </c>
      <c r="L8" s="108">
        <f t="shared" si="2"/>
        <v>3682.8036000000002</v>
      </c>
      <c r="M8" s="108">
        <f t="shared" si="3"/>
        <v>4515.5945000000002</v>
      </c>
      <c r="N8" s="116">
        <f t="shared" si="4"/>
        <v>5348.3853999999992</v>
      </c>
      <c r="O8" s="116">
        <f t="shared" si="5"/>
        <v>2081.9772499999999</v>
      </c>
      <c r="P8" s="117">
        <f t="shared" si="13"/>
        <v>66782</v>
      </c>
      <c r="Q8" s="118">
        <f t="shared" si="14"/>
        <v>65583</v>
      </c>
      <c r="R8" s="98"/>
      <c r="S8" s="98"/>
      <c r="T8" s="18">
        <v>8134</v>
      </c>
      <c r="U8" s="158">
        <v>12625</v>
      </c>
      <c r="V8" s="98">
        <f t="shared" si="6"/>
        <v>9905.3333333333339</v>
      </c>
      <c r="W8" s="18">
        <v>9000</v>
      </c>
      <c r="X8" s="109" t="s">
        <v>766</v>
      </c>
      <c r="Y8" s="110"/>
      <c r="Z8" s="110"/>
      <c r="AA8" s="110"/>
      <c r="AB8" s="98" t="s">
        <v>16</v>
      </c>
      <c r="AC8" s="158">
        <v>14867</v>
      </c>
      <c r="AD8" s="98">
        <v>2136</v>
      </c>
      <c r="AE8" s="97">
        <v>13511</v>
      </c>
      <c r="AF8" s="98">
        <v>20691</v>
      </c>
      <c r="AG8" s="98">
        <v>28170</v>
      </c>
      <c r="AH8" s="97">
        <v>35546</v>
      </c>
      <c r="AI8" s="158">
        <v>31151</v>
      </c>
      <c r="AJ8" s="111">
        <v>7</v>
      </c>
      <c r="AK8" s="111">
        <v>10640</v>
      </c>
      <c r="AL8" s="111">
        <v>914</v>
      </c>
      <c r="AM8" s="111">
        <v>150</v>
      </c>
      <c r="AN8" s="111">
        <f t="shared" si="7"/>
        <v>1050</v>
      </c>
      <c r="AO8" s="111"/>
      <c r="AP8" s="111">
        <f t="shared" si="8"/>
        <v>12754</v>
      </c>
      <c r="AQ8" s="111" t="s">
        <v>281</v>
      </c>
      <c r="AR8" s="158">
        <v>7551</v>
      </c>
      <c r="AS8" s="158">
        <v>8259</v>
      </c>
      <c r="AT8" s="111"/>
      <c r="AU8" s="97">
        <v>0.6</v>
      </c>
    </row>
    <row r="9" spans="1:47" ht="14.4" x14ac:dyDescent="0.3">
      <c r="A9" s="88">
        <v>7</v>
      </c>
      <c r="B9" s="88" t="s">
        <v>56</v>
      </c>
      <c r="C9" s="88" t="s">
        <v>352</v>
      </c>
      <c r="D9" s="88" t="str">
        <f t="shared" si="9"/>
        <v>NIOS Sportz AMT</v>
      </c>
      <c r="E9" s="18">
        <v>793200</v>
      </c>
      <c r="F9" s="107" t="str">
        <f t="shared" si="0"/>
        <v/>
      </c>
      <c r="G9" s="108">
        <f t="shared" si="1"/>
        <v>37751.6355616</v>
      </c>
      <c r="H9" s="108">
        <f t="shared" si="10"/>
        <v>38406.069980799999</v>
      </c>
      <c r="I9" s="99"/>
      <c r="J9" s="108">
        <f t="shared" si="11"/>
        <v>26402.177780800001</v>
      </c>
      <c r="K9" s="108">
        <f t="shared" si="12"/>
        <v>26729.3949904</v>
      </c>
      <c r="L9" s="108">
        <f t="shared" si="2"/>
        <v>3908.3487999999998</v>
      </c>
      <c r="M9" s="108">
        <f t="shared" si="3"/>
        <v>4797.5259999999998</v>
      </c>
      <c r="N9" s="116">
        <f t="shared" si="4"/>
        <v>5686.7031999999999</v>
      </c>
      <c r="O9" s="116">
        <f t="shared" si="5"/>
        <v>2222.9430000000002</v>
      </c>
      <c r="P9" s="117">
        <f t="shared" si="13"/>
        <v>70806</v>
      </c>
      <c r="Q9" s="118">
        <f t="shared" si="14"/>
        <v>69104</v>
      </c>
      <c r="R9" s="98"/>
      <c r="S9" s="98"/>
      <c r="T9" s="18">
        <v>8134</v>
      </c>
      <c r="U9" s="158">
        <v>12625</v>
      </c>
      <c r="V9" s="98">
        <f t="shared" si="6"/>
        <v>10576</v>
      </c>
      <c r="W9" s="18">
        <v>9000</v>
      </c>
      <c r="X9" s="109" t="s">
        <v>766</v>
      </c>
      <c r="Y9" s="110"/>
      <c r="Z9" s="110"/>
      <c r="AA9" s="110"/>
      <c r="AB9" s="98" t="s">
        <v>16</v>
      </c>
      <c r="AC9" s="158">
        <v>14867</v>
      </c>
      <c r="AD9" s="98">
        <v>2136</v>
      </c>
      <c r="AE9" s="97">
        <v>13511</v>
      </c>
      <c r="AF9" s="98">
        <v>20691</v>
      </c>
      <c r="AG9" s="98">
        <v>28170</v>
      </c>
      <c r="AH9" s="97">
        <v>35546</v>
      </c>
      <c r="AI9" s="158">
        <v>31151</v>
      </c>
      <c r="AJ9" s="111">
        <v>7</v>
      </c>
      <c r="AK9" s="111">
        <v>10640</v>
      </c>
      <c r="AL9" s="111">
        <v>914</v>
      </c>
      <c r="AM9" s="111">
        <v>150</v>
      </c>
      <c r="AN9" s="111">
        <f t="shared" si="7"/>
        <v>1050</v>
      </c>
      <c r="AO9" s="111"/>
      <c r="AP9" s="111">
        <f t="shared" si="8"/>
        <v>12754</v>
      </c>
      <c r="AQ9" s="111" t="s">
        <v>281</v>
      </c>
      <c r="AR9" s="158">
        <v>7551</v>
      </c>
      <c r="AS9" s="158">
        <v>8259</v>
      </c>
      <c r="AT9" s="111"/>
      <c r="AU9" s="97">
        <v>0.6</v>
      </c>
    </row>
    <row r="10" spans="1:47" ht="14.4" x14ac:dyDescent="0.3">
      <c r="A10" s="88">
        <v>8</v>
      </c>
      <c r="B10" s="88" t="s">
        <v>56</v>
      </c>
      <c r="C10" s="88" t="s">
        <v>353</v>
      </c>
      <c r="D10" s="88" t="str">
        <f t="shared" si="9"/>
        <v>NIOS Asta AMT</v>
      </c>
      <c r="E10" s="18">
        <v>856300</v>
      </c>
      <c r="F10" s="107" t="str">
        <f t="shared" si="0"/>
        <v/>
      </c>
      <c r="G10" s="108">
        <f t="shared" si="1"/>
        <v>39557.3611944</v>
      </c>
      <c r="H10" s="108">
        <f t="shared" si="10"/>
        <v>40263.856647200002</v>
      </c>
      <c r="I10" s="99"/>
      <c r="J10" s="108">
        <f t="shared" si="11"/>
        <v>27305.040597200001</v>
      </c>
      <c r="K10" s="108">
        <f t="shared" si="12"/>
        <v>27658.288323600002</v>
      </c>
      <c r="L10" s="108">
        <f t="shared" si="2"/>
        <v>4191.2892000000002</v>
      </c>
      <c r="M10" s="108">
        <f t="shared" si="3"/>
        <v>5151.2015000000001</v>
      </c>
      <c r="N10" s="116">
        <f t="shared" si="4"/>
        <v>6111.1138000000001</v>
      </c>
      <c r="O10" s="116">
        <f t="shared" si="5"/>
        <v>2399.7807499999999</v>
      </c>
      <c r="P10" s="117">
        <f t="shared" si="13"/>
        <v>75854</v>
      </c>
      <c r="Q10" s="118">
        <f t="shared" si="14"/>
        <v>73521</v>
      </c>
      <c r="R10" s="98"/>
      <c r="S10" s="98"/>
      <c r="T10" s="18">
        <v>8134</v>
      </c>
      <c r="U10" s="158">
        <v>12625</v>
      </c>
      <c r="V10" s="98">
        <f t="shared" si="6"/>
        <v>11417.333333333334</v>
      </c>
      <c r="W10" s="18">
        <v>9000</v>
      </c>
      <c r="X10" s="109" t="s">
        <v>766</v>
      </c>
      <c r="Y10" s="110"/>
      <c r="Z10" s="110"/>
      <c r="AA10" s="110"/>
      <c r="AB10" s="98" t="s">
        <v>16</v>
      </c>
      <c r="AC10" s="158">
        <v>14867</v>
      </c>
      <c r="AD10" s="98">
        <v>2136</v>
      </c>
      <c r="AE10" s="97">
        <v>13511</v>
      </c>
      <c r="AF10" s="98">
        <v>20691</v>
      </c>
      <c r="AG10" s="98">
        <v>28170</v>
      </c>
      <c r="AH10" s="97">
        <v>35546</v>
      </c>
      <c r="AI10" s="158">
        <v>31151</v>
      </c>
      <c r="AJ10" s="111">
        <v>7</v>
      </c>
      <c r="AK10" s="111">
        <v>10640</v>
      </c>
      <c r="AL10" s="111">
        <v>914</v>
      </c>
      <c r="AM10" s="111">
        <v>150</v>
      </c>
      <c r="AN10" s="111">
        <f t="shared" si="7"/>
        <v>1050</v>
      </c>
      <c r="AO10" s="111"/>
      <c r="AP10" s="111">
        <f t="shared" si="8"/>
        <v>12754</v>
      </c>
      <c r="AQ10" s="111" t="s">
        <v>281</v>
      </c>
      <c r="AR10" s="158">
        <v>7551</v>
      </c>
      <c r="AS10" s="158">
        <v>8259</v>
      </c>
      <c r="AT10" s="111"/>
      <c r="AU10" s="97">
        <v>0.6</v>
      </c>
    </row>
    <row r="11" spans="1:47" ht="14.4" x14ac:dyDescent="0.3">
      <c r="A11" s="88">
        <v>9</v>
      </c>
      <c r="B11" s="88" t="s">
        <v>56</v>
      </c>
      <c r="C11" s="88" t="s">
        <v>354</v>
      </c>
      <c r="D11" s="88" t="str">
        <f t="shared" si="9"/>
        <v>NIOS Magna CNG</v>
      </c>
      <c r="E11" s="18">
        <v>768300</v>
      </c>
      <c r="F11" s="107" t="str">
        <f t="shared" si="0"/>
        <v/>
      </c>
      <c r="G11" s="108">
        <f t="shared" si="1"/>
        <v>36862.075050400003</v>
      </c>
      <c r="H11" s="108">
        <f t="shared" si="10"/>
        <v>37495.965575199996</v>
      </c>
      <c r="I11" s="99"/>
      <c r="J11" s="108">
        <f t="shared" si="11"/>
        <v>25868.897525200002</v>
      </c>
      <c r="K11" s="108">
        <f t="shared" si="12"/>
        <v>26185.842787599999</v>
      </c>
      <c r="L11" s="108">
        <f t="shared" si="2"/>
        <v>3796.6972000000001</v>
      </c>
      <c r="M11" s="108">
        <f t="shared" si="3"/>
        <v>4657.9615000000003</v>
      </c>
      <c r="N11" s="116">
        <f t="shared" si="4"/>
        <v>5519.2258000000002</v>
      </c>
      <c r="O11" s="116">
        <f t="shared" si="5"/>
        <v>2153.16075</v>
      </c>
      <c r="P11" s="117">
        <f t="shared" si="13"/>
        <v>68814</v>
      </c>
      <c r="Q11" s="118">
        <f t="shared" si="14"/>
        <v>67361</v>
      </c>
      <c r="R11" s="98"/>
      <c r="S11" s="98"/>
      <c r="T11" s="18">
        <v>8134</v>
      </c>
      <c r="U11" s="158">
        <v>12625</v>
      </c>
      <c r="V11" s="98">
        <f t="shared" si="6"/>
        <v>10244</v>
      </c>
      <c r="W11" s="18">
        <v>9000</v>
      </c>
      <c r="X11" s="109" t="s">
        <v>284</v>
      </c>
      <c r="Y11" s="110"/>
      <c r="Z11" s="110"/>
      <c r="AA11" s="110"/>
      <c r="AB11" s="98" t="s">
        <v>16</v>
      </c>
      <c r="AC11" s="158">
        <v>14867</v>
      </c>
      <c r="AD11" s="98">
        <v>2136</v>
      </c>
      <c r="AE11" s="97">
        <v>13511</v>
      </c>
      <c r="AF11" s="98">
        <v>20691</v>
      </c>
      <c r="AG11" s="98">
        <v>28170</v>
      </c>
      <c r="AH11" s="97">
        <v>35546</v>
      </c>
      <c r="AI11" s="159" t="s">
        <v>16</v>
      </c>
      <c r="AJ11" s="111">
        <v>6</v>
      </c>
      <c r="AK11" s="111">
        <v>10640</v>
      </c>
      <c r="AL11" s="111">
        <v>914</v>
      </c>
      <c r="AM11" s="111">
        <v>150</v>
      </c>
      <c r="AN11" s="111">
        <f t="shared" si="7"/>
        <v>900</v>
      </c>
      <c r="AO11" s="111"/>
      <c r="AP11" s="111">
        <f t="shared" si="8"/>
        <v>12604</v>
      </c>
      <c r="AQ11" s="111" t="s">
        <v>281</v>
      </c>
      <c r="AR11" s="158">
        <v>7551</v>
      </c>
      <c r="AS11" s="158">
        <v>8259</v>
      </c>
      <c r="AT11" s="111"/>
      <c r="AU11" s="97">
        <v>0.6</v>
      </c>
    </row>
    <row r="12" spans="1:47" ht="14.4" x14ac:dyDescent="0.3">
      <c r="A12" s="88">
        <v>10</v>
      </c>
      <c r="B12" s="88" t="s">
        <v>56</v>
      </c>
      <c r="C12" s="88" t="s">
        <v>355</v>
      </c>
      <c r="D12" s="88" t="str">
        <f t="shared" si="9"/>
        <v>NIOS Sportz CNG</v>
      </c>
      <c r="E12" s="18">
        <v>823000</v>
      </c>
      <c r="F12" s="107" t="str">
        <f t="shared" si="0"/>
        <v/>
      </c>
      <c r="G12" s="108">
        <f t="shared" si="1"/>
        <v>38427.418824</v>
      </c>
      <c r="H12" s="108">
        <f t="shared" si="10"/>
        <v>39106.439912000002</v>
      </c>
      <c r="I12" s="99"/>
      <c r="J12" s="108">
        <f t="shared" si="11"/>
        <v>26651.569412000001</v>
      </c>
      <c r="K12" s="108">
        <f t="shared" si="12"/>
        <v>26991.079956000001</v>
      </c>
      <c r="L12" s="108">
        <f t="shared" si="2"/>
        <v>4041.9720000000002</v>
      </c>
      <c r="M12" s="108">
        <f t="shared" si="3"/>
        <v>4964.5550000000003</v>
      </c>
      <c r="N12" s="116">
        <f t="shared" si="4"/>
        <v>5887.1380000000008</v>
      </c>
      <c r="O12" s="116">
        <f t="shared" si="5"/>
        <v>2306.4575</v>
      </c>
      <c r="P12" s="117">
        <f t="shared" si="13"/>
        <v>73190</v>
      </c>
      <c r="Q12" s="118">
        <f t="shared" si="14"/>
        <v>71190</v>
      </c>
      <c r="R12" s="98"/>
      <c r="S12" s="98"/>
      <c r="T12" s="18">
        <v>8134</v>
      </c>
      <c r="U12" s="158">
        <v>12625</v>
      </c>
      <c r="V12" s="98">
        <f t="shared" si="6"/>
        <v>10973.333333333334</v>
      </c>
      <c r="W12" s="18">
        <v>9000</v>
      </c>
      <c r="X12" s="109" t="s">
        <v>284</v>
      </c>
      <c r="Y12" s="110"/>
      <c r="Z12" s="110"/>
      <c r="AA12" s="110"/>
      <c r="AB12" s="98" t="s">
        <v>16</v>
      </c>
      <c r="AC12" s="158">
        <v>14867</v>
      </c>
      <c r="AD12" s="98">
        <v>2136</v>
      </c>
      <c r="AE12" s="97">
        <v>13511</v>
      </c>
      <c r="AF12" s="98">
        <v>20691</v>
      </c>
      <c r="AG12" s="98">
        <v>28170</v>
      </c>
      <c r="AH12" s="97">
        <v>35546</v>
      </c>
      <c r="AI12" s="159" t="s">
        <v>16</v>
      </c>
      <c r="AJ12" s="111">
        <v>6</v>
      </c>
      <c r="AK12" s="111">
        <v>10640</v>
      </c>
      <c r="AL12" s="111">
        <v>914</v>
      </c>
      <c r="AM12" s="111">
        <v>150</v>
      </c>
      <c r="AN12" s="111">
        <f t="shared" si="7"/>
        <v>900</v>
      </c>
      <c r="AO12" s="111"/>
      <c r="AP12" s="111">
        <f t="shared" si="8"/>
        <v>12604</v>
      </c>
      <c r="AQ12" s="111" t="s">
        <v>281</v>
      </c>
      <c r="AR12" s="158">
        <v>7551</v>
      </c>
      <c r="AS12" s="158">
        <v>8259</v>
      </c>
      <c r="AT12" s="111"/>
      <c r="AU12" s="97">
        <v>0.6</v>
      </c>
    </row>
    <row r="13" spans="1:47" ht="14.4" x14ac:dyDescent="0.3">
      <c r="A13" s="13">
        <v>11</v>
      </c>
      <c r="B13" s="88" t="s">
        <v>56</v>
      </c>
      <c r="C13" s="13" t="s">
        <v>356</v>
      </c>
      <c r="D13" s="88" t="str">
        <f t="shared" si="9"/>
        <v>NIOS Corporate Petrol</v>
      </c>
      <c r="E13" s="14">
        <v>693200</v>
      </c>
      <c r="F13" s="107" t="str">
        <f t="shared" si="0"/>
        <v/>
      </c>
      <c r="G13" s="108">
        <f t="shared" si="1"/>
        <v>34712.946761599997</v>
      </c>
      <c r="H13" s="108">
        <f t="shared" si="10"/>
        <v>35284.875580799999</v>
      </c>
      <c r="I13" s="99"/>
      <c r="J13" s="108">
        <f t="shared" si="11"/>
        <v>24794.333380799999</v>
      </c>
      <c r="K13" s="108">
        <f t="shared" si="12"/>
        <v>25080.2977904</v>
      </c>
      <c r="L13" s="108">
        <f t="shared" si="2"/>
        <v>3459.9487999999997</v>
      </c>
      <c r="M13" s="108">
        <f t="shared" si="3"/>
        <v>4237.0259999999998</v>
      </c>
      <c r="N13" s="116">
        <f t="shared" si="4"/>
        <v>5014.1031999999996</v>
      </c>
      <c r="O13" s="116">
        <f t="shared" si="5"/>
        <v>1942.6930000000002</v>
      </c>
      <c r="P13" s="117">
        <f t="shared" si="13"/>
        <v>62806</v>
      </c>
      <c r="Q13" s="118">
        <f t="shared" si="14"/>
        <v>62104.000000000007</v>
      </c>
      <c r="R13" s="98"/>
      <c r="S13" s="98"/>
      <c r="T13" s="18">
        <v>8134</v>
      </c>
      <c r="U13" s="158">
        <v>12625</v>
      </c>
      <c r="V13" s="98">
        <f t="shared" si="6"/>
        <v>9242.6666666666661</v>
      </c>
      <c r="W13" s="18">
        <v>9000</v>
      </c>
      <c r="X13" s="109" t="s">
        <v>282</v>
      </c>
      <c r="Y13" s="110"/>
      <c r="Z13" s="110"/>
      <c r="AA13" s="110"/>
      <c r="AB13" s="97" t="s">
        <v>16</v>
      </c>
      <c r="AC13" s="158">
        <v>14867</v>
      </c>
      <c r="AD13" s="98">
        <v>2136</v>
      </c>
      <c r="AE13" s="97">
        <v>11015</v>
      </c>
      <c r="AF13" s="98">
        <v>17951</v>
      </c>
      <c r="AG13" s="98">
        <v>23724</v>
      </c>
      <c r="AH13" s="97">
        <v>30498</v>
      </c>
      <c r="AI13" s="158">
        <v>31151</v>
      </c>
      <c r="AJ13" s="111">
        <v>6</v>
      </c>
      <c r="AK13" s="111">
        <v>10640</v>
      </c>
      <c r="AL13" s="111">
        <v>914</v>
      </c>
      <c r="AM13" s="111">
        <v>150</v>
      </c>
      <c r="AN13" s="111">
        <f t="shared" si="7"/>
        <v>900</v>
      </c>
      <c r="AO13" s="111"/>
      <c r="AP13" s="111">
        <f t="shared" si="8"/>
        <v>12604</v>
      </c>
      <c r="AQ13" s="111" t="s">
        <v>283</v>
      </c>
      <c r="AR13" s="158">
        <v>7551</v>
      </c>
      <c r="AS13" s="158">
        <v>8259</v>
      </c>
      <c r="AT13" s="111"/>
      <c r="AU13" s="97">
        <v>0.6</v>
      </c>
    </row>
    <row r="14" spans="1:47" ht="14.4" x14ac:dyDescent="0.3">
      <c r="A14" s="13">
        <v>12</v>
      </c>
      <c r="B14" s="88" t="s">
        <v>56</v>
      </c>
      <c r="C14" s="13" t="s">
        <v>357</v>
      </c>
      <c r="D14" s="88" t="str">
        <f t="shared" si="9"/>
        <v>NIOS AMT Corporate Petrol</v>
      </c>
      <c r="E14" s="14">
        <v>757900</v>
      </c>
      <c r="F14" s="107" t="str">
        <f t="shared" si="0"/>
        <v/>
      </c>
      <c r="G14" s="108">
        <f t="shared" si="1"/>
        <v>36741.459415200006</v>
      </c>
      <c r="H14" s="108">
        <f t="shared" si="10"/>
        <v>37366.769357600002</v>
      </c>
      <c r="I14" s="99"/>
      <c r="J14" s="108">
        <f t="shared" si="11"/>
        <v>25897.0897076</v>
      </c>
      <c r="K14" s="108">
        <f t="shared" si="12"/>
        <v>26209.744678800002</v>
      </c>
      <c r="L14" s="108">
        <f t="shared" si="2"/>
        <v>3750.0636</v>
      </c>
      <c r="M14" s="108">
        <f t="shared" si="3"/>
        <v>4599.6695</v>
      </c>
      <c r="N14" s="116">
        <f t="shared" si="4"/>
        <v>5449.2753999999995</v>
      </c>
      <c r="O14" s="116">
        <f t="shared" si="5"/>
        <v>2124.0147500000003</v>
      </c>
      <c r="P14" s="117">
        <f t="shared" si="13"/>
        <v>67982</v>
      </c>
      <c r="Q14" s="118">
        <f t="shared" si="14"/>
        <v>66633</v>
      </c>
      <c r="R14" s="98"/>
      <c r="S14" s="98"/>
      <c r="T14" s="18">
        <v>8134</v>
      </c>
      <c r="U14" s="158">
        <v>12625</v>
      </c>
      <c r="V14" s="98">
        <f t="shared" si="6"/>
        <v>10105.333333333334</v>
      </c>
      <c r="W14" s="18">
        <v>9000</v>
      </c>
      <c r="X14" s="109" t="s">
        <v>766</v>
      </c>
      <c r="Y14" s="110"/>
      <c r="Z14" s="110"/>
      <c r="AA14" s="110"/>
      <c r="AB14" s="98" t="s">
        <v>16</v>
      </c>
      <c r="AC14" s="158">
        <v>14867</v>
      </c>
      <c r="AD14" s="98">
        <v>2136</v>
      </c>
      <c r="AE14" s="97">
        <v>11015</v>
      </c>
      <c r="AF14" s="98">
        <v>17951</v>
      </c>
      <c r="AG14" s="98">
        <v>23724</v>
      </c>
      <c r="AH14" s="97">
        <v>30498</v>
      </c>
      <c r="AI14" s="158">
        <v>31151</v>
      </c>
      <c r="AJ14" s="111">
        <v>7</v>
      </c>
      <c r="AK14" s="111">
        <v>10640</v>
      </c>
      <c r="AL14" s="111">
        <v>914</v>
      </c>
      <c r="AM14" s="111">
        <v>150</v>
      </c>
      <c r="AN14" s="111">
        <f t="shared" si="7"/>
        <v>1050</v>
      </c>
      <c r="AO14" s="111"/>
      <c r="AP14" s="111">
        <f t="shared" si="8"/>
        <v>12754</v>
      </c>
      <c r="AQ14" s="111" t="s">
        <v>283</v>
      </c>
      <c r="AR14" s="158">
        <v>7551</v>
      </c>
      <c r="AS14" s="158">
        <v>8259</v>
      </c>
      <c r="AT14" s="111"/>
      <c r="AU14" s="97">
        <v>0.6</v>
      </c>
    </row>
    <row r="15" spans="1:47" s="167" customFormat="1" ht="14.4" x14ac:dyDescent="0.3">
      <c r="A15" s="13">
        <v>13</v>
      </c>
      <c r="B15" s="13" t="s">
        <v>58</v>
      </c>
      <c r="C15" s="13" t="s">
        <v>308</v>
      </c>
      <c r="D15" s="13" t="str">
        <f t="shared" si="9"/>
        <v>AURA E</v>
      </c>
      <c r="E15" s="18">
        <v>648600</v>
      </c>
      <c r="F15" s="107" t="str">
        <f t="shared" si="0"/>
        <v/>
      </c>
      <c r="G15" s="108">
        <f t="shared" si="1"/>
        <v>33436.633556799999</v>
      </c>
      <c r="H15" s="108">
        <f t="shared" si="10"/>
        <v>33971.764878399998</v>
      </c>
      <c r="I15" s="99"/>
      <c r="J15" s="108">
        <f t="shared" si="11"/>
        <v>24156.1767784</v>
      </c>
      <c r="K15" s="108">
        <f t="shared" si="12"/>
        <v>24423.742439199996</v>
      </c>
      <c r="L15" s="108">
        <f t="shared" si="2"/>
        <v>3259.9623999999999</v>
      </c>
      <c r="M15" s="108">
        <f t="shared" si="3"/>
        <v>3987.0429999999997</v>
      </c>
      <c r="N15" s="116">
        <f t="shared" si="4"/>
        <v>4714.1235999999999</v>
      </c>
      <c r="O15" s="116">
        <f t="shared" si="5"/>
        <v>1817.7014999999999</v>
      </c>
      <c r="P15" s="118">
        <f t="shared" si="13"/>
        <v>59238</v>
      </c>
      <c r="Q15" s="118">
        <f t="shared" si="14"/>
        <v>58982.000000000007</v>
      </c>
      <c r="R15" s="98"/>
      <c r="S15" s="98"/>
      <c r="T15" s="18">
        <v>8334</v>
      </c>
      <c r="U15" s="158">
        <v>11445</v>
      </c>
      <c r="V15" s="98">
        <f t="shared" si="6"/>
        <v>8648</v>
      </c>
      <c r="W15" s="18">
        <v>9000</v>
      </c>
      <c r="X15" s="165" t="s">
        <v>282</v>
      </c>
      <c r="Y15" s="110"/>
      <c r="Z15" s="110"/>
      <c r="AA15" s="110"/>
      <c r="AB15" s="163" t="s">
        <v>16</v>
      </c>
      <c r="AC15" s="158">
        <v>13451</v>
      </c>
      <c r="AD15" s="98">
        <v>2136</v>
      </c>
      <c r="AE15" s="97">
        <v>11015</v>
      </c>
      <c r="AF15" s="98">
        <v>17951</v>
      </c>
      <c r="AG15" s="98">
        <v>23724</v>
      </c>
      <c r="AH15" s="97">
        <v>30498</v>
      </c>
      <c r="AI15" s="158">
        <v>28319</v>
      </c>
      <c r="AJ15" s="111">
        <v>6</v>
      </c>
      <c r="AK15" s="111">
        <v>10640</v>
      </c>
      <c r="AL15" s="111">
        <v>914</v>
      </c>
      <c r="AM15" s="111">
        <v>150</v>
      </c>
      <c r="AN15" s="111">
        <f t="shared" si="7"/>
        <v>900</v>
      </c>
      <c r="AO15" s="111"/>
      <c r="AP15" s="111">
        <f t="shared" si="8"/>
        <v>12604</v>
      </c>
      <c r="AQ15" s="111" t="s">
        <v>283</v>
      </c>
      <c r="AR15" s="158">
        <v>6843</v>
      </c>
      <c r="AS15" s="158">
        <v>7433</v>
      </c>
      <c r="AT15" s="111"/>
      <c r="AU15" s="97">
        <v>0.6</v>
      </c>
    </row>
    <row r="16" spans="1:47" s="167" customFormat="1" ht="14.4" x14ac:dyDescent="0.3">
      <c r="A16" s="13">
        <v>14</v>
      </c>
      <c r="B16" s="13" t="s">
        <v>58</v>
      </c>
      <c r="C16" s="13" t="s">
        <v>292</v>
      </c>
      <c r="D16" s="13" t="str">
        <f t="shared" si="9"/>
        <v>AURA S</v>
      </c>
      <c r="E16" s="18">
        <v>732700</v>
      </c>
      <c r="F16" s="107" t="str">
        <f t="shared" si="0"/>
        <v/>
      </c>
      <c r="G16" s="108">
        <f t="shared" si="1"/>
        <v>35843.313837599999</v>
      </c>
      <c r="H16" s="108">
        <f t="shared" si="10"/>
        <v>36447.832368800002</v>
      </c>
      <c r="I16" s="99"/>
      <c r="J16" s="108">
        <f t="shared" si="11"/>
        <v>25359.5169188</v>
      </c>
      <c r="K16" s="108">
        <f t="shared" si="12"/>
        <v>25661.776184399998</v>
      </c>
      <c r="L16" s="108">
        <f t="shared" si="2"/>
        <v>3637.0668000000005</v>
      </c>
      <c r="M16" s="108">
        <f t="shared" si="3"/>
        <v>4458.4235000000008</v>
      </c>
      <c r="N16" s="116">
        <f t="shared" si="4"/>
        <v>5279.7802000000001</v>
      </c>
      <c r="O16" s="116">
        <f t="shared" si="5"/>
        <v>2053.3917500000002</v>
      </c>
      <c r="P16" s="118">
        <f t="shared" si="13"/>
        <v>65966</v>
      </c>
      <c r="Q16" s="118">
        <f t="shared" si="14"/>
        <v>64869.000000000007</v>
      </c>
      <c r="R16" s="98"/>
      <c r="S16" s="98"/>
      <c r="T16" s="18">
        <v>8334</v>
      </c>
      <c r="U16" s="158">
        <v>11445</v>
      </c>
      <c r="V16" s="98">
        <f t="shared" si="6"/>
        <v>9769.3333333333339</v>
      </c>
      <c r="W16" s="18">
        <v>9000</v>
      </c>
      <c r="X16" s="165" t="s">
        <v>282</v>
      </c>
      <c r="Y16" s="110"/>
      <c r="Z16" s="110"/>
      <c r="AA16" s="110"/>
      <c r="AB16" s="163" t="s">
        <v>16</v>
      </c>
      <c r="AC16" s="158">
        <v>13451</v>
      </c>
      <c r="AD16" s="98">
        <v>2136</v>
      </c>
      <c r="AE16" s="97">
        <v>11015</v>
      </c>
      <c r="AF16" s="98">
        <v>17951</v>
      </c>
      <c r="AG16" s="98">
        <v>23724</v>
      </c>
      <c r="AH16" s="97">
        <v>30498</v>
      </c>
      <c r="AI16" s="158">
        <v>28319</v>
      </c>
      <c r="AJ16" s="111">
        <v>6</v>
      </c>
      <c r="AK16" s="111">
        <v>10640</v>
      </c>
      <c r="AL16" s="111">
        <v>914</v>
      </c>
      <c r="AM16" s="111">
        <v>150</v>
      </c>
      <c r="AN16" s="111">
        <f t="shared" si="7"/>
        <v>900</v>
      </c>
      <c r="AO16" s="111"/>
      <c r="AP16" s="111">
        <f t="shared" si="8"/>
        <v>12604</v>
      </c>
      <c r="AQ16" s="111" t="s">
        <v>283</v>
      </c>
      <c r="AR16" s="158">
        <v>6843</v>
      </c>
      <c r="AS16" s="158">
        <v>7433</v>
      </c>
      <c r="AT16" s="111"/>
      <c r="AU16" s="97">
        <v>0.6</v>
      </c>
    </row>
    <row r="17" spans="1:48" s="167" customFormat="1" ht="14.4" x14ac:dyDescent="0.3">
      <c r="A17" s="13">
        <v>15</v>
      </c>
      <c r="B17" s="13" t="s">
        <v>58</v>
      </c>
      <c r="C17" s="13" t="s">
        <v>293</v>
      </c>
      <c r="D17" s="13" t="str">
        <f t="shared" si="9"/>
        <v>AURA SX</v>
      </c>
      <c r="E17" s="18">
        <v>809200</v>
      </c>
      <c r="F17" s="107" t="str">
        <f t="shared" si="0"/>
        <v/>
      </c>
      <c r="G17" s="108">
        <f t="shared" si="1"/>
        <v>38209.5057696</v>
      </c>
      <c r="H17" s="108">
        <f t="shared" si="10"/>
        <v>38877.141084799994</v>
      </c>
      <c r="I17" s="99"/>
      <c r="J17" s="108">
        <f t="shared" si="11"/>
        <v>26631.112884799997</v>
      </c>
      <c r="K17" s="108">
        <f t="shared" si="12"/>
        <v>26964.930542399998</v>
      </c>
      <c r="L17" s="108">
        <f t="shared" si="2"/>
        <v>3980.0927999999999</v>
      </c>
      <c r="M17" s="108">
        <f t="shared" si="3"/>
        <v>4887.206000000001</v>
      </c>
      <c r="N17" s="116">
        <f t="shared" si="4"/>
        <v>5794.3192000000008</v>
      </c>
      <c r="O17" s="116">
        <f t="shared" si="5"/>
        <v>2267.7830000000004</v>
      </c>
      <c r="P17" s="118">
        <f t="shared" si="13"/>
        <v>72086</v>
      </c>
      <c r="Q17" s="118">
        <f t="shared" si="14"/>
        <v>70224</v>
      </c>
      <c r="R17" s="98"/>
      <c r="S17" s="98"/>
      <c r="T17" s="18">
        <v>8334</v>
      </c>
      <c r="U17" s="158">
        <v>11445</v>
      </c>
      <c r="V17" s="98">
        <f t="shared" si="6"/>
        <v>10789.333333333334</v>
      </c>
      <c r="W17" s="18">
        <v>9000</v>
      </c>
      <c r="X17" s="165" t="s">
        <v>282</v>
      </c>
      <c r="Y17" s="110"/>
      <c r="Z17" s="110"/>
      <c r="AA17" s="110"/>
      <c r="AB17" s="163" t="s">
        <v>16</v>
      </c>
      <c r="AC17" s="158">
        <v>13451</v>
      </c>
      <c r="AD17" s="98">
        <v>2136</v>
      </c>
      <c r="AE17" s="97">
        <v>11015</v>
      </c>
      <c r="AF17" s="98">
        <v>17951</v>
      </c>
      <c r="AG17" s="98">
        <v>23724</v>
      </c>
      <c r="AH17" s="97">
        <v>30498</v>
      </c>
      <c r="AI17" s="158">
        <v>28319</v>
      </c>
      <c r="AJ17" s="111">
        <v>7</v>
      </c>
      <c r="AK17" s="111">
        <v>10640</v>
      </c>
      <c r="AL17" s="111">
        <v>914</v>
      </c>
      <c r="AM17" s="111">
        <v>150</v>
      </c>
      <c r="AN17" s="111">
        <f t="shared" si="7"/>
        <v>1050</v>
      </c>
      <c r="AO17" s="111"/>
      <c r="AP17" s="111">
        <f t="shared" si="8"/>
        <v>12754</v>
      </c>
      <c r="AQ17" s="111" t="s">
        <v>283</v>
      </c>
      <c r="AR17" s="158">
        <v>6843</v>
      </c>
      <c r="AS17" s="158">
        <v>7433</v>
      </c>
      <c r="AT17" s="111"/>
      <c r="AU17" s="97">
        <v>0.6</v>
      </c>
    </row>
    <row r="18" spans="1:48" s="167" customFormat="1" ht="14.4" x14ac:dyDescent="0.3">
      <c r="A18" s="13">
        <v>16</v>
      </c>
      <c r="B18" s="13" t="s">
        <v>58</v>
      </c>
      <c r="C18" s="13" t="s">
        <v>707</v>
      </c>
      <c r="D18" s="13" t="str">
        <f t="shared" si="9"/>
        <v>AURA SX O</v>
      </c>
      <c r="E18" s="18">
        <v>865700</v>
      </c>
      <c r="F18" s="107" t="str">
        <f t="shared" si="0"/>
        <v/>
      </c>
      <c r="G18" s="108">
        <f t="shared" si="1"/>
        <v>39826.3599416</v>
      </c>
      <c r="H18" s="108">
        <f t="shared" si="10"/>
        <v>40540.610920799998</v>
      </c>
      <c r="I18" s="99"/>
      <c r="J18" s="108">
        <f t="shared" si="11"/>
        <v>27439.539970799997</v>
      </c>
      <c r="K18" s="108">
        <f t="shared" si="12"/>
        <v>27796.6654604</v>
      </c>
      <c r="L18" s="108">
        <f t="shared" si="2"/>
        <v>4233.4387999999999</v>
      </c>
      <c r="M18" s="108">
        <f t="shared" si="3"/>
        <v>5203.8885</v>
      </c>
      <c r="N18" s="116">
        <f t="shared" si="4"/>
        <v>6174.3382000000001</v>
      </c>
      <c r="O18" s="116">
        <f t="shared" si="5"/>
        <v>2426.1242499999998</v>
      </c>
      <c r="P18" s="118">
        <f t="shared" si="13"/>
        <v>76606</v>
      </c>
      <c r="Q18" s="118">
        <f t="shared" si="14"/>
        <v>74179</v>
      </c>
      <c r="R18" s="98"/>
      <c r="S18" s="98"/>
      <c r="T18" s="18">
        <v>8334</v>
      </c>
      <c r="U18" s="158">
        <v>11445</v>
      </c>
      <c r="V18" s="98">
        <f t="shared" si="6"/>
        <v>11542.666666666666</v>
      </c>
      <c r="W18" s="18">
        <v>9000</v>
      </c>
      <c r="X18" s="165" t="s">
        <v>282</v>
      </c>
      <c r="Y18" s="110"/>
      <c r="Z18" s="110"/>
      <c r="AA18" s="110"/>
      <c r="AB18" s="163" t="s">
        <v>16</v>
      </c>
      <c r="AC18" s="158">
        <v>13451</v>
      </c>
      <c r="AD18" s="98">
        <v>2136</v>
      </c>
      <c r="AE18" s="97">
        <v>11015</v>
      </c>
      <c r="AF18" s="98">
        <v>17951</v>
      </c>
      <c r="AG18" s="98">
        <v>23724</v>
      </c>
      <c r="AH18" s="97">
        <v>30498</v>
      </c>
      <c r="AI18" s="158">
        <v>28319</v>
      </c>
      <c r="AJ18" s="111">
        <v>7</v>
      </c>
      <c r="AK18" s="111">
        <v>10640</v>
      </c>
      <c r="AL18" s="111">
        <v>914</v>
      </c>
      <c r="AM18" s="111">
        <v>150</v>
      </c>
      <c r="AN18" s="111">
        <f t="shared" si="7"/>
        <v>1050</v>
      </c>
      <c r="AO18" s="111"/>
      <c r="AP18" s="111">
        <f t="shared" si="8"/>
        <v>12754</v>
      </c>
      <c r="AQ18" s="111" t="s">
        <v>283</v>
      </c>
      <c r="AR18" s="158">
        <v>6843</v>
      </c>
      <c r="AS18" s="158">
        <v>7433</v>
      </c>
      <c r="AT18" s="111"/>
      <c r="AU18" s="97">
        <v>0.6</v>
      </c>
    </row>
    <row r="19" spans="1:48" s="167" customFormat="1" ht="14.4" x14ac:dyDescent="0.3">
      <c r="A19" s="13">
        <v>17</v>
      </c>
      <c r="B19" s="13" t="s">
        <v>58</v>
      </c>
      <c r="C19" s="13" t="s">
        <v>742</v>
      </c>
      <c r="D19" s="13" t="str">
        <f t="shared" si="9"/>
        <v>AURA SX Plus AMT</v>
      </c>
      <c r="E19" s="18">
        <v>889400</v>
      </c>
      <c r="F19" s="107" t="str">
        <f t="shared" si="0"/>
        <v/>
      </c>
      <c r="G19" s="108">
        <f t="shared" si="1"/>
        <v>40504.580187200001</v>
      </c>
      <c r="H19" s="108">
        <f t="shared" si="10"/>
        <v>41238.384993599997</v>
      </c>
      <c r="I19" s="99"/>
      <c r="J19" s="108">
        <f t="shared" si="11"/>
        <v>27778.650093600001</v>
      </c>
      <c r="K19" s="108">
        <f t="shared" si="12"/>
        <v>28145.552496800003</v>
      </c>
      <c r="L19" s="108">
        <f t="shared" si="2"/>
        <v>4339.7096000000001</v>
      </c>
      <c r="M19" s="108">
        <f t="shared" si="3"/>
        <v>5336.7269999999999</v>
      </c>
      <c r="N19" s="116">
        <f t="shared" si="4"/>
        <v>6333.7443999999996</v>
      </c>
      <c r="O19" s="116">
        <f t="shared" si="5"/>
        <v>2492.5434999999998</v>
      </c>
      <c r="P19" s="118">
        <f t="shared" si="13"/>
        <v>78502</v>
      </c>
      <c r="Q19" s="118">
        <f t="shared" si="14"/>
        <v>75838</v>
      </c>
      <c r="R19" s="98"/>
      <c r="S19" s="98"/>
      <c r="T19" s="18">
        <v>8334</v>
      </c>
      <c r="U19" s="158">
        <v>12625</v>
      </c>
      <c r="V19" s="98">
        <f t="shared" si="6"/>
        <v>11858.666666666666</v>
      </c>
      <c r="W19" s="18">
        <v>9000</v>
      </c>
      <c r="X19" s="165" t="s">
        <v>282</v>
      </c>
      <c r="Y19" s="110"/>
      <c r="Z19" s="110"/>
      <c r="AA19" s="110"/>
      <c r="AB19" s="163" t="s">
        <v>16</v>
      </c>
      <c r="AC19" s="158">
        <v>14867</v>
      </c>
      <c r="AD19" s="98">
        <v>2136</v>
      </c>
      <c r="AE19" s="97">
        <v>11015</v>
      </c>
      <c r="AF19" s="98">
        <v>17951</v>
      </c>
      <c r="AG19" s="98">
        <v>23724</v>
      </c>
      <c r="AH19" s="97">
        <v>30498</v>
      </c>
      <c r="AI19" s="166" t="s">
        <v>16</v>
      </c>
      <c r="AJ19" s="111">
        <v>7</v>
      </c>
      <c r="AK19" s="111">
        <v>10640</v>
      </c>
      <c r="AL19" s="111">
        <v>914</v>
      </c>
      <c r="AM19" s="111">
        <v>150</v>
      </c>
      <c r="AN19" s="111">
        <f t="shared" si="7"/>
        <v>1050</v>
      </c>
      <c r="AO19" s="111"/>
      <c r="AP19" s="111">
        <f t="shared" si="8"/>
        <v>12754</v>
      </c>
      <c r="AQ19" s="111" t="s">
        <v>283</v>
      </c>
      <c r="AR19" s="158">
        <v>7551</v>
      </c>
      <c r="AS19" s="158">
        <v>8259</v>
      </c>
      <c r="AT19" s="111"/>
      <c r="AU19" s="97">
        <v>0.6</v>
      </c>
    </row>
    <row r="20" spans="1:48" s="167" customFormat="1" ht="14.4" x14ac:dyDescent="0.3">
      <c r="A20" s="13">
        <v>18</v>
      </c>
      <c r="B20" s="13" t="s">
        <v>58</v>
      </c>
      <c r="C20" s="13" t="s">
        <v>298</v>
      </c>
      <c r="D20" s="13" t="str">
        <f t="shared" si="9"/>
        <v>AURA S CNG</v>
      </c>
      <c r="E20" s="18">
        <v>830700</v>
      </c>
      <c r="F20" s="107" t="str">
        <f t="shared" si="0"/>
        <v/>
      </c>
      <c r="G20" s="119">
        <f t="shared" si="1"/>
        <v>38470.768861600001</v>
      </c>
      <c r="H20" s="119">
        <f t="shared" si="10"/>
        <v>39156.142880799998</v>
      </c>
      <c r="I20" s="99"/>
      <c r="J20" s="116">
        <f t="shared" si="11"/>
        <v>32527.7566462</v>
      </c>
      <c r="K20" s="108">
        <f t="shared" si="12"/>
        <v>33041.787160599997</v>
      </c>
      <c r="L20" s="116">
        <f t="shared" ref="L20:L26" si="15">(((E20*95%)*0.45%)+298)+((((E20*95%)*0.45%)+298)*18%)</f>
        <v>4542.1061500000005</v>
      </c>
      <c r="M20" s="116">
        <f t="shared" ref="M20:M26" si="16">(((E20*95%)*0.55%)+298)+((((E20*95%)*0.55%)+298)*18%)</f>
        <v>5473.3208500000001</v>
      </c>
      <c r="N20" s="116">
        <f t="shared" ref="N20:N26" si="17">(((E20*95%)*0.65%)+298)+((((E20*95%)*0.65%)+298)*18%)</f>
        <v>6404.5355500000005</v>
      </c>
      <c r="O20" s="116">
        <f t="shared" si="5"/>
        <v>2328.0367500000002</v>
      </c>
      <c r="P20" s="118">
        <f t="shared" si="13"/>
        <v>73806</v>
      </c>
      <c r="Q20" s="118">
        <f t="shared" si="14"/>
        <v>71729</v>
      </c>
      <c r="R20" s="98"/>
      <c r="S20" s="98"/>
      <c r="T20" s="18">
        <v>8334</v>
      </c>
      <c r="U20" s="164">
        <v>12625</v>
      </c>
      <c r="V20" s="98">
        <f t="shared" si="6"/>
        <v>11076</v>
      </c>
      <c r="W20" s="18">
        <v>9000</v>
      </c>
      <c r="X20" s="165" t="s">
        <v>284</v>
      </c>
      <c r="Y20" s="98"/>
      <c r="Z20" s="98"/>
      <c r="AA20" s="98"/>
      <c r="AB20" s="163" t="s">
        <v>16</v>
      </c>
      <c r="AC20" s="164">
        <v>14867</v>
      </c>
      <c r="AD20" s="98">
        <v>2136</v>
      </c>
      <c r="AE20" s="97">
        <v>9267</v>
      </c>
      <c r="AF20" s="98">
        <v>15134</v>
      </c>
      <c r="AG20" s="98">
        <v>20492</v>
      </c>
      <c r="AH20" s="97">
        <v>26661</v>
      </c>
      <c r="AI20" s="166" t="s">
        <v>16</v>
      </c>
      <c r="AJ20" s="111">
        <v>5</v>
      </c>
      <c r="AK20" s="111">
        <v>10640</v>
      </c>
      <c r="AL20" s="111">
        <v>914</v>
      </c>
      <c r="AM20" s="111">
        <v>150</v>
      </c>
      <c r="AN20" s="111">
        <f t="shared" si="7"/>
        <v>750</v>
      </c>
      <c r="AO20" s="111"/>
      <c r="AP20" s="111">
        <f t="shared" si="8"/>
        <v>12454</v>
      </c>
      <c r="AQ20" s="111" t="s">
        <v>281</v>
      </c>
      <c r="AR20" s="164">
        <v>7551</v>
      </c>
      <c r="AS20" s="164">
        <v>8259</v>
      </c>
      <c r="AT20" s="111">
        <v>20000</v>
      </c>
      <c r="AU20" s="97">
        <v>0.4</v>
      </c>
    </row>
    <row r="21" spans="1:48" s="167" customFormat="1" ht="14.4" x14ac:dyDescent="0.3">
      <c r="A21" s="13">
        <v>19</v>
      </c>
      <c r="B21" s="13" t="s">
        <v>58</v>
      </c>
      <c r="C21" s="13" t="s">
        <v>299</v>
      </c>
      <c r="D21" s="13" t="str">
        <f t="shared" si="9"/>
        <v>AURA SX CNG</v>
      </c>
      <c r="E21" s="18">
        <v>904700</v>
      </c>
      <c r="F21" s="107" t="str">
        <f t="shared" si="0"/>
        <v/>
      </c>
      <c r="G21" s="119">
        <f t="shared" si="1"/>
        <v>40588.4185736</v>
      </c>
      <c r="H21" s="119">
        <f t="shared" si="10"/>
        <v>41334.846736799998</v>
      </c>
      <c r="I21" s="99"/>
      <c r="J21" s="116">
        <f t="shared" si="11"/>
        <v>34115.993930199998</v>
      </c>
      <c r="K21" s="108">
        <f t="shared" si="12"/>
        <v>34675.815052599995</v>
      </c>
      <c r="L21" s="116">
        <f t="shared" si="15"/>
        <v>4915.3991500000011</v>
      </c>
      <c r="M21" s="116">
        <f t="shared" si="16"/>
        <v>5929.5678500000013</v>
      </c>
      <c r="N21" s="116">
        <f t="shared" si="17"/>
        <v>6943.7365499999996</v>
      </c>
      <c r="O21" s="116">
        <f t="shared" si="5"/>
        <v>2535.42175</v>
      </c>
      <c r="P21" s="118">
        <f t="shared" si="13"/>
        <v>79726</v>
      </c>
      <c r="Q21" s="118">
        <f t="shared" si="14"/>
        <v>76909</v>
      </c>
      <c r="R21" s="98"/>
      <c r="S21" s="98"/>
      <c r="T21" s="18">
        <v>8334</v>
      </c>
      <c r="U21" s="164">
        <v>12625</v>
      </c>
      <c r="V21" s="98">
        <f t="shared" si="6"/>
        <v>12062.666666666666</v>
      </c>
      <c r="W21" s="18">
        <v>9000</v>
      </c>
      <c r="X21" s="165" t="s">
        <v>284</v>
      </c>
      <c r="Y21" s="98"/>
      <c r="Z21" s="98"/>
      <c r="AA21" s="98"/>
      <c r="AB21" s="163" t="s">
        <v>16</v>
      </c>
      <c r="AC21" s="164">
        <v>14867</v>
      </c>
      <c r="AD21" s="98">
        <v>2136</v>
      </c>
      <c r="AE21" s="97">
        <v>9267</v>
      </c>
      <c r="AF21" s="98">
        <v>15134</v>
      </c>
      <c r="AG21" s="98">
        <v>20492</v>
      </c>
      <c r="AH21" s="97">
        <v>26661</v>
      </c>
      <c r="AI21" s="166" t="s">
        <v>16</v>
      </c>
      <c r="AJ21" s="111">
        <v>5</v>
      </c>
      <c r="AK21" s="111">
        <v>10640</v>
      </c>
      <c r="AL21" s="111">
        <v>914</v>
      </c>
      <c r="AM21" s="111">
        <v>150</v>
      </c>
      <c r="AN21" s="111">
        <f t="shared" si="7"/>
        <v>750</v>
      </c>
      <c r="AO21" s="111"/>
      <c r="AP21" s="111">
        <f t="shared" si="8"/>
        <v>12454</v>
      </c>
      <c r="AQ21" s="111" t="s">
        <v>281</v>
      </c>
      <c r="AR21" s="164">
        <v>7551</v>
      </c>
      <c r="AS21" s="164">
        <v>8259</v>
      </c>
      <c r="AT21" s="111">
        <v>20000</v>
      </c>
      <c r="AU21" s="97">
        <v>0.4</v>
      </c>
      <c r="AV21" s="168"/>
    </row>
    <row r="22" spans="1:48" ht="14.4" x14ac:dyDescent="0.3">
      <c r="A22" s="88">
        <v>20</v>
      </c>
      <c r="B22" s="88" t="s">
        <v>289</v>
      </c>
      <c r="C22" s="88" t="s">
        <v>290</v>
      </c>
      <c r="D22" s="88" t="str">
        <f t="shared" si="9"/>
        <v>EXTER EX</v>
      </c>
      <c r="E22" s="18">
        <v>612800</v>
      </c>
      <c r="F22" s="107" t="str">
        <f t="shared" si="0"/>
        <v/>
      </c>
      <c r="G22" s="119">
        <f>+((E22-E22*0.05)*0.03191-(((E22-E22*0.05)*0.03191)*0.2))+((E22-E22*0.05)*0.03191-(((E22-E22*0.05)*0.03191)*0.2))*0.05+AP22+(((E22-E22*0.05)*0.03191-(((E22-E22*0.05)*0.03191)*0.2))+(((E22-E22*0.05)*0.03191-(((E22-E22*0.05)*0.03191)*0.2))*0.05)+AP22)*0.18+3</f>
        <v>33324.370414720004</v>
      </c>
      <c r="H22" s="119">
        <f>+((E22-E22*0.05)*0.03283-(((E22-E22*0.05)*0.03283)*0.2))+((E22-E22*0.05)*0.03283-(((E22-E22*0.05)*0.03283)*0.2))*0.05+AP22+(((E22-E22*0.05)*0.03283-(((E22-E22*0.05)*0.03283)*0.2))+(((E22-E22*0.05)*0.03283-(((E22-E22*0.05)*0.03283)*0.2))*0.05)+AP22)*0.18+3</f>
        <v>33855.244447360004</v>
      </c>
      <c r="I22" s="99"/>
      <c r="J22" s="116">
        <f>+((E22-E22*0.05)*0.03191-(((E22-E22*0.05)*0.03191)*AU22))+((E22-E22*0.05)*0.03191-(((E22-E22*0.05)*0.03191)*AU22))*0.05+AP22+(((E22-E22*0.05)*0.03191-(((E22-E22*0.05)*0.03191)*AU22))+(((E22-E22*0.05)*0.03191-(((E22-E22*0.05)*0.03191)*AU22))*0.05)+AP22)*0.18+3</f>
        <v>28721.057811039998</v>
      </c>
      <c r="K22" s="108">
        <f>+((E22-E22*0.05)*0.03283-(((E22-E22*0.05)*0.03283)*AU22))+((E22-E22*0.05)*0.03283-(((E22-E22*0.05)*0.03283)*AU22))*0.05+AP22+(((E22-E22*0.05)*0.03283-(((E22-E22*0.05)*0.03283)*AU22))+(((E22-E22*0.05)*0.03283-(((E22-E22*0.05)*0.03283)*AU22))*0.05)+AP22)*0.18+3</f>
        <v>29119.213335519999</v>
      </c>
      <c r="L22" s="116">
        <f t="shared" si="15"/>
        <v>3442.9096000000004</v>
      </c>
      <c r="M22" s="116">
        <f t="shared" si="16"/>
        <v>4129.8584000000001</v>
      </c>
      <c r="N22" s="116">
        <f t="shared" si="17"/>
        <v>4816.8072000000002</v>
      </c>
      <c r="O22" s="116">
        <f t="shared" si="5"/>
        <v>1717.3720000000001</v>
      </c>
      <c r="P22" s="20">
        <f t="shared" si="13"/>
        <v>56374</v>
      </c>
      <c r="Q22" s="118">
        <f t="shared" si="14"/>
        <v>56476.000000000007</v>
      </c>
      <c r="R22" s="98"/>
      <c r="S22" s="98"/>
      <c r="T22" s="18">
        <v>5721</v>
      </c>
      <c r="U22" s="98"/>
      <c r="V22" s="98">
        <f t="shared" si="6"/>
        <v>8170.666666666667</v>
      </c>
      <c r="W22" s="18">
        <v>9000</v>
      </c>
      <c r="X22" s="109" t="s">
        <v>282</v>
      </c>
      <c r="Y22" s="98"/>
      <c r="Z22" s="98"/>
      <c r="AA22" s="98"/>
      <c r="AB22" s="98"/>
      <c r="AC22" s="98"/>
      <c r="AD22" s="98">
        <v>2136</v>
      </c>
      <c r="AE22" s="97">
        <v>9267</v>
      </c>
      <c r="AF22" s="98">
        <v>15134</v>
      </c>
      <c r="AG22" s="98">
        <v>20492</v>
      </c>
      <c r="AH22" s="97">
        <v>26661</v>
      </c>
      <c r="AI22" s="111" t="s">
        <v>16</v>
      </c>
      <c r="AJ22" s="111">
        <v>5</v>
      </c>
      <c r="AK22" s="111">
        <v>10640</v>
      </c>
      <c r="AL22" s="111">
        <v>914</v>
      </c>
      <c r="AM22" s="111">
        <v>150</v>
      </c>
      <c r="AN22" s="111">
        <f t="shared" si="7"/>
        <v>750</v>
      </c>
      <c r="AO22" s="111">
        <v>180</v>
      </c>
      <c r="AP22" s="111">
        <f t="shared" si="8"/>
        <v>12634</v>
      </c>
      <c r="AQ22" s="111" t="s">
        <v>281</v>
      </c>
      <c r="AR22" s="111"/>
      <c r="AS22" s="111"/>
      <c r="AT22" s="111">
        <v>30000</v>
      </c>
      <c r="AU22" s="97">
        <v>0.4</v>
      </c>
    </row>
    <row r="23" spans="1:48" ht="14.4" x14ac:dyDescent="0.3">
      <c r="A23" s="88">
        <v>21</v>
      </c>
      <c r="B23" s="88" t="s">
        <v>289</v>
      </c>
      <c r="C23" s="88" t="s">
        <v>291</v>
      </c>
      <c r="D23" s="88" t="str">
        <f t="shared" si="9"/>
        <v>EXTER EX (O)</v>
      </c>
      <c r="E23" s="18">
        <v>648300</v>
      </c>
      <c r="F23" s="107" t="str">
        <f t="shared" si="0"/>
        <v/>
      </c>
      <c r="G23" s="119">
        <f>+((E23-E23*0.05)*0.03191)-(((E23-E23*0.05)*0.03191)*0.2)+AP23+(((E23-E23*0.05)*0.03191)-(((E23-E23*0.05)*0.03191)*0.2)+AP23)*0.18+3</f>
        <v>33251.048490400004</v>
      </c>
      <c r="H23" s="119">
        <f>+((E23-E23*0.05)*0.03283)-(((E23-E23*0.05)*0.03283)*0.2)+AP23+(((E23-E23*0.05)*0.03283)-(((E23-E23*0.05)*0.03283)*0.2)+AP23)*0.18+3</f>
        <v>33785.932295199993</v>
      </c>
      <c r="I23" s="99"/>
      <c r="J23" s="116">
        <f>+((E23-E23*0.05)*0.03191)-(((E23-E23*0.05)*0.03191)*AU23)+AP23+(((E23-E23*0.05)*0.03191)-(((E23-E23*0.05)*0.03191)*AU23)+AP23)*0.18+3</f>
        <v>28612.966367800003</v>
      </c>
      <c r="K23" s="108">
        <f>+((E23-E23*0.05)*0.03283)-(((E23-E23*0.05)*0.03283)*AU23)+AP23+(((E23-E23*0.05)*0.03283)-(((E23-E23*0.05)*0.03283)*AU23)+AP23)*0.18+3</f>
        <v>29014.129221399999</v>
      </c>
      <c r="L23" s="116">
        <f t="shared" si="15"/>
        <v>3621.9893500000007</v>
      </c>
      <c r="M23" s="116">
        <f t="shared" si="16"/>
        <v>4348.7336500000001</v>
      </c>
      <c r="N23" s="116">
        <f t="shared" si="17"/>
        <v>5075.4779500000004</v>
      </c>
      <c r="O23" s="116">
        <f t="shared" si="5"/>
        <v>1816.8607500000001</v>
      </c>
      <c r="P23" s="20">
        <f t="shared" si="13"/>
        <v>59214</v>
      </c>
      <c r="Q23" s="118">
        <f t="shared" si="14"/>
        <v>58961.000000000007</v>
      </c>
      <c r="R23" s="98"/>
      <c r="S23" s="98"/>
      <c r="T23" s="18">
        <v>5721</v>
      </c>
      <c r="U23" s="98"/>
      <c r="V23" s="98">
        <f t="shared" si="6"/>
        <v>8644</v>
      </c>
      <c r="W23" s="18">
        <v>9000</v>
      </c>
      <c r="X23" s="109" t="s">
        <v>282</v>
      </c>
      <c r="Y23" s="98"/>
      <c r="Z23" s="98"/>
      <c r="AA23" s="98"/>
      <c r="AB23" s="98"/>
      <c r="AC23" s="98"/>
      <c r="AD23" s="98">
        <v>2136</v>
      </c>
      <c r="AE23" s="97">
        <v>9267</v>
      </c>
      <c r="AF23" s="98">
        <v>15134</v>
      </c>
      <c r="AG23" s="98">
        <v>20492</v>
      </c>
      <c r="AH23" s="97">
        <v>26661</v>
      </c>
      <c r="AI23" s="111" t="s">
        <v>16</v>
      </c>
      <c r="AJ23" s="111">
        <v>5</v>
      </c>
      <c r="AK23" s="111">
        <v>10640</v>
      </c>
      <c r="AL23" s="111">
        <v>914</v>
      </c>
      <c r="AM23" s="111">
        <v>150</v>
      </c>
      <c r="AN23" s="111">
        <f t="shared" si="7"/>
        <v>750</v>
      </c>
      <c r="AO23" s="111"/>
      <c r="AP23" s="111">
        <f t="shared" si="8"/>
        <v>12454</v>
      </c>
      <c r="AQ23" s="111" t="s">
        <v>281</v>
      </c>
      <c r="AR23" s="111"/>
      <c r="AS23" s="111"/>
      <c r="AT23" s="111">
        <v>20000</v>
      </c>
      <c r="AU23" s="97">
        <v>0.4</v>
      </c>
    </row>
    <row r="24" spans="1:48" ht="14.4" x14ac:dyDescent="0.3">
      <c r="A24" s="88">
        <v>22</v>
      </c>
      <c r="B24" s="88" t="s">
        <v>289</v>
      </c>
      <c r="C24" s="88" t="s">
        <v>292</v>
      </c>
      <c r="D24" s="88" t="str">
        <f t="shared" si="9"/>
        <v>EXTER S</v>
      </c>
      <c r="E24" s="18">
        <v>750300</v>
      </c>
      <c r="F24" s="107" t="str">
        <f t="shared" si="0"/>
        <v/>
      </c>
      <c r="G24" s="119">
        <f>+((E24-E24*0.05)*0.03191-(((E24-E24*0.05)*0.03191)*0.2))+((E24-E24*0.05)*0.03191-(((E24-E24*0.05)*0.03191)*0.2))*0.05+AP24+(((E24-E24*0.05)*0.03191-(((E24-E24*0.05)*0.03191)*0.2))+(((E24-E24*0.05)*0.03191-(((E24-E24*0.05)*0.03191)*0.2))*0.05)+AP24)*0.18+3</f>
        <v>37455.933619720003</v>
      </c>
      <c r="H24" s="119">
        <f>+((E24-E24*0.05)*0.03283-(((E24-E24*0.05)*0.03283)*0.2))+((E24-E24*0.05)*0.03283-(((E24-E24*0.05)*0.03283)*0.2))*0.05+AP24+(((E24-E24*0.05)*0.03283-(((E24-E24*0.05)*0.03283)*0.2))+(((E24-E24*0.05)*0.03283-(((E24-E24*0.05)*0.03283)*0.2))*0.05)+AP24)*0.18+3</f>
        <v>38105.925112359997</v>
      </c>
      <c r="I24" s="99"/>
      <c r="J24" s="116">
        <f>+((E24-E24*0.05)*0.03191-(((E24-E24*0.05)*0.03191)*AU24))+((E24-E24*0.05)*0.03191-(((E24-E24*0.05)*0.03191)*AU24))*0.05+AP24+(((E24-E24*0.05)*0.03191-(((E24-E24*0.05)*0.03191)*AU24))+(((E24-E24*0.05)*0.03191-(((E24-E24*0.05)*0.03191)*AU24))*0.05)+AP24)*0.18+3</f>
        <v>31819.730214789997</v>
      </c>
      <c r="K24" s="108">
        <f>+((E24-E24*0.05)*0.03283-(((E24-E24*0.05)*0.03283)*AU24))+((E24-E24*0.05)*0.03283-(((E24-E24*0.05)*0.03283)*AU24))*0.05+AP24+(((E24-E24*0.05)*0.03283-(((E24-E24*0.05)*0.03283)*AU24))+(((E24-E24*0.05)*0.03283-(((E24-E24*0.05)*0.03283)*AU24))*0.05)+AP24)*0.18+3</f>
        <v>32307.22383427</v>
      </c>
      <c r="L24" s="116">
        <f t="shared" si="15"/>
        <v>4136.5283500000005</v>
      </c>
      <c r="M24" s="116">
        <f t="shared" si="16"/>
        <v>4977.6146500000013</v>
      </c>
      <c r="N24" s="116">
        <f t="shared" si="17"/>
        <v>5818.7009500000004</v>
      </c>
      <c r="O24" s="116">
        <f t="shared" si="5"/>
        <v>2102.7157500000003</v>
      </c>
      <c r="P24" s="20">
        <f t="shared" si="13"/>
        <v>67374</v>
      </c>
      <c r="Q24" s="118">
        <f t="shared" si="14"/>
        <v>66101</v>
      </c>
      <c r="R24" s="98"/>
      <c r="S24" s="98"/>
      <c r="T24" s="18">
        <v>5721</v>
      </c>
      <c r="U24" s="98"/>
      <c r="V24" s="98">
        <f t="shared" si="6"/>
        <v>10004</v>
      </c>
      <c r="W24" s="18">
        <v>9000</v>
      </c>
      <c r="X24" s="109" t="s">
        <v>282</v>
      </c>
      <c r="Y24" s="98"/>
      <c r="Z24" s="98"/>
      <c r="AA24" s="98"/>
      <c r="AB24" s="98"/>
      <c r="AC24" s="98"/>
      <c r="AD24" s="98">
        <v>2136</v>
      </c>
      <c r="AE24" s="97">
        <v>9267</v>
      </c>
      <c r="AF24" s="98">
        <v>15134</v>
      </c>
      <c r="AG24" s="98">
        <v>20492</v>
      </c>
      <c r="AH24" s="97">
        <v>26661</v>
      </c>
      <c r="AI24" s="111" t="s">
        <v>16</v>
      </c>
      <c r="AJ24" s="111">
        <v>5</v>
      </c>
      <c r="AK24" s="111">
        <v>10640</v>
      </c>
      <c r="AL24" s="111">
        <v>914</v>
      </c>
      <c r="AM24" s="111">
        <v>150</v>
      </c>
      <c r="AN24" s="111">
        <f t="shared" si="7"/>
        <v>750</v>
      </c>
      <c r="AO24" s="111">
        <v>180</v>
      </c>
      <c r="AP24" s="111">
        <f t="shared" si="8"/>
        <v>12634</v>
      </c>
      <c r="AQ24" s="111" t="s">
        <v>281</v>
      </c>
      <c r="AR24" s="111"/>
      <c r="AS24" s="111"/>
      <c r="AT24" s="111">
        <v>30000</v>
      </c>
      <c r="AU24" s="97">
        <v>0.4</v>
      </c>
    </row>
    <row r="25" spans="1:48" ht="14.4" x14ac:dyDescent="0.3">
      <c r="A25" s="88">
        <v>23</v>
      </c>
      <c r="B25" s="88" t="s">
        <v>289</v>
      </c>
      <c r="C25" s="88" t="s">
        <v>708</v>
      </c>
      <c r="D25" s="88" t="str">
        <f t="shared" si="9"/>
        <v>EXTER S O</v>
      </c>
      <c r="E25" s="18">
        <v>765300</v>
      </c>
      <c r="F25" s="107" t="str">
        <f t="shared" si="0"/>
        <v/>
      </c>
      <c r="G25" s="119">
        <f t="shared" ref="G25:G46" si="18">+((E25-E25*0.05)*0.03191)-(((E25-E25*0.05)*0.03191)*0.2)+AP25+(((E25-E25*0.05)*0.03191)-(((E25-E25*0.05)*0.03191)*0.2)+AP25)*0.18+3</f>
        <v>36599.224386400005</v>
      </c>
      <c r="H25" s="119">
        <f t="shared" ref="H25:H46" si="19">+((E25-E25*0.05)*0.03283)-(((E25-E25*0.05)*0.03283)*0.2)+AP25+(((E25-E25*0.05)*0.03283)-(((E25-E25*0.05)*0.03283)*0.2)+AP25)*0.18+3</f>
        <v>37230.639743200001</v>
      </c>
      <c r="I25" s="99"/>
      <c r="J25" s="116">
        <f t="shared" ref="J25:J46" si="20">+((E25-E25*0.05)*0.03191)-(((E25-E25*0.05)*0.03191)*AU25)+AP25+(((E25-E25*0.05)*0.03191)-(((E25-E25*0.05)*0.03191)*AU25)+AP25)*0.18+3</f>
        <v>31124.0982898</v>
      </c>
      <c r="K25" s="108">
        <f t="shared" ref="K25:K46" si="21">+((E25-E25*0.05)*0.03283)-(((E25-E25*0.05)*0.03283)*AU25)+AP25+(((E25-E25*0.05)*0.03283)-(((E25-E25*0.05)*0.03283)*AU25)+AP25)*0.18+3</f>
        <v>31597.659807400003</v>
      </c>
      <c r="L25" s="116">
        <f t="shared" si="15"/>
        <v>4212.1958500000001</v>
      </c>
      <c r="M25" s="116">
        <f t="shared" si="16"/>
        <v>5070.0971500000014</v>
      </c>
      <c r="N25" s="116">
        <f t="shared" si="17"/>
        <v>5927.99845</v>
      </c>
      <c r="O25" s="116">
        <f t="shared" si="5"/>
        <v>2144.7532500000002</v>
      </c>
      <c r="P25" s="20">
        <f t="shared" si="13"/>
        <v>68574</v>
      </c>
      <c r="Q25" s="118">
        <f t="shared" si="14"/>
        <v>67151</v>
      </c>
      <c r="R25" s="98"/>
      <c r="S25" s="98"/>
      <c r="T25" s="18">
        <v>5721</v>
      </c>
      <c r="U25" s="98"/>
      <c r="V25" s="98">
        <f t="shared" si="6"/>
        <v>10204</v>
      </c>
      <c r="W25" s="18">
        <v>9000</v>
      </c>
      <c r="X25" s="109" t="s">
        <v>282</v>
      </c>
      <c r="Y25" s="98"/>
      <c r="Z25" s="98"/>
      <c r="AA25" s="98"/>
      <c r="AB25" s="98"/>
      <c r="AC25" s="98"/>
      <c r="AD25" s="98">
        <v>2136</v>
      </c>
      <c r="AE25" s="97">
        <v>9267</v>
      </c>
      <c r="AF25" s="98">
        <v>15134</v>
      </c>
      <c r="AG25" s="98">
        <v>20492</v>
      </c>
      <c r="AH25" s="97">
        <v>26661</v>
      </c>
      <c r="AI25" s="111" t="s">
        <v>16</v>
      </c>
      <c r="AJ25" s="111">
        <v>5</v>
      </c>
      <c r="AK25" s="111">
        <v>10640</v>
      </c>
      <c r="AL25" s="111">
        <v>914</v>
      </c>
      <c r="AM25" s="111">
        <v>150</v>
      </c>
      <c r="AN25" s="111">
        <f t="shared" si="7"/>
        <v>750</v>
      </c>
      <c r="AO25" s="111"/>
      <c r="AP25" s="111">
        <f t="shared" si="8"/>
        <v>12454</v>
      </c>
      <c r="AQ25" s="111" t="s">
        <v>281</v>
      </c>
      <c r="AR25" s="111"/>
      <c r="AS25" s="111"/>
      <c r="AT25" s="111">
        <v>20000</v>
      </c>
      <c r="AU25" s="97">
        <v>0.4</v>
      </c>
    </row>
    <row r="26" spans="1:48" ht="14.4" x14ac:dyDescent="0.3">
      <c r="A26" s="88">
        <v>24</v>
      </c>
      <c r="B26" s="88" t="s">
        <v>289</v>
      </c>
      <c r="C26" s="88" t="s">
        <v>293</v>
      </c>
      <c r="D26" s="88" t="str">
        <f t="shared" si="9"/>
        <v>EXTER SX</v>
      </c>
      <c r="E26" s="18">
        <v>823300</v>
      </c>
      <c r="F26" s="107" t="str">
        <f t="shared" si="0"/>
        <v/>
      </c>
      <c r="G26" s="119">
        <f t="shared" si="18"/>
        <v>38259.003890400003</v>
      </c>
      <c r="H26" s="119">
        <f t="shared" si="19"/>
        <v>38938.272495199999</v>
      </c>
      <c r="I26" s="99"/>
      <c r="J26" s="116">
        <f t="shared" si="20"/>
        <v>32368.932917800001</v>
      </c>
      <c r="K26" s="108">
        <f t="shared" si="21"/>
        <v>32878.384371399996</v>
      </c>
      <c r="L26" s="116">
        <f t="shared" si="15"/>
        <v>4504.7768500000002</v>
      </c>
      <c r="M26" s="116">
        <f t="shared" si="16"/>
        <v>5427.6961500000007</v>
      </c>
      <c r="N26" s="116">
        <f t="shared" si="17"/>
        <v>6350.6154500000002</v>
      </c>
      <c r="O26" s="116">
        <f t="shared" si="5"/>
        <v>2307.2982500000003</v>
      </c>
      <c r="P26" s="20">
        <f t="shared" si="13"/>
        <v>73214</v>
      </c>
      <c r="Q26" s="118">
        <f t="shared" si="14"/>
        <v>71211</v>
      </c>
      <c r="R26" s="98"/>
      <c r="S26" s="98"/>
      <c r="T26" s="18">
        <v>5721</v>
      </c>
      <c r="U26" s="98"/>
      <c r="V26" s="98">
        <f t="shared" si="6"/>
        <v>10977.333333333334</v>
      </c>
      <c r="W26" s="18">
        <v>9000</v>
      </c>
      <c r="X26" s="109" t="s">
        <v>282</v>
      </c>
      <c r="Y26" s="98"/>
      <c r="Z26" s="98"/>
      <c r="AA26" s="98"/>
      <c r="AB26" s="98"/>
      <c r="AC26" s="98"/>
      <c r="AD26" s="98">
        <v>2136</v>
      </c>
      <c r="AE26" s="97">
        <v>9267</v>
      </c>
      <c r="AF26" s="98">
        <v>15134</v>
      </c>
      <c r="AG26" s="98">
        <v>20492</v>
      </c>
      <c r="AH26" s="97">
        <v>26661</v>
      </c>
      <c r="AI26" s="111" t="s">
        <v>16</v>
      </c>
      <c r="AJ26" s="111">
        <v>5</v>
      </c>
      <c r="AK26" s="111">
        <v>10640</v>
      </c>
      <c r="AL26" s="111">
        <v>914</v>
      </c>
      <c r="AM26" s="111">
        <v>150</v>
      </c>
      <c r="AN26" s="111">
        <f t="shared" si="7"/>
        <v>750</v>
      </c>
      <c r="AO26" s="111"/>
      <c r="AP26" s="111">
        <f t="shared" si="8"/>
        <v>12454</v>
      </c>
      <c r="AQ26" s="111" t="s">
        <v>281</v>
      </c>
      <c r="AR26" s="111"/>
      <c r="AS26" s="111"/>
      <c r="AT26" s="111">
        <v>20000</v>
      </c>
      <c r="AU26" s="97">
        <v>0.4</v>
      </c>
    </row>
    <row r="27" spans="1:48" ht="14.4" x14ac:dyDescent="0.3">
      <c r="A27" s="88">
        <v>25</v>
      </c>
      <c r="B27" s="88" t="s">
        <v>289</v>
      </c>
      <c r="C27" s="88" t="s">
        <v>294</v>
      </c>
      <c r="D27" s="88" t="str">
        <f t="shared" si="9"/>
        <v>EXTER SX DT</v>
      </c>
      <c r="E27" s="18">
        <v>847300</v>
      </c>
      <c r="F27" s="107" t="str">
        <f t="shared" si="0"/>
        <v/>
      </c>
      <c r="G27" s="119">
        <f t="shared" si="18"/>
        <v>38945.8092024</v>
      </c>
      <c r="H27" s="119">
        <f t="shared" si="19"/>
        <v>39644.879151199995</v>
      </c>
      <c r="I27" s="99"/>
      <c r="J27" s="116">
        <f t="shared" si="20"/>
        <v>26822.2646012</v>
      </c>
      <c r="K27" s="108">
        <f t="shared" si="21"/>
        <v>27171.799575599998</v>
      </c>
      <c r="L27" s="108">
        <f t="shared" ref="L27:L46" si="22">(((E27*95%)*0.4%)+298)+((((E27*95%)*0.4%)+298)*18%)</f>
        <v>4150.9332000000004</v>
      </c>
      <c r="M27" s="108">
        <f t="shared" ref="M27:M46" si="23">(((E27*95%)*0.5%)+298)+((((E27*95%)*0.5%)+298)*18%)</f>
        <v>5100.7565000000004</v>
      </c>
      <c r="N27" s="116">
        <f t="shared" ref="N27:N46" si="24">(((E27*95%)*0.6%)+298)+((((E27*95%)*0.6%)+298)*18%)</f>
        <v>6050.5797999999995</v>
      </c>
      <c r="O27" s="116">
        <f t="shared" si="5"/>
        <v>2374.55825</v>
      </c>
      <c r="P27" s="20">
        <f t="shared" si="13"/>
        <v>75134</v>
      </c>
      <c r="Q27" s="118">
        <f t="shared" si="14"/>
        <v>72891</v>
      </c>
      <c r="R27" s="98"/>
      <c r="S27" s="98"/>
      <c r="T27" s="18">
        <v>5721</v>
      </c>
      <c r="U27" s="98"/>
      <c r="V27" s="98">
        <f t="shared" si="6"/>
        <v>11297.333333333334</v>
      </c>
      <c r="W27" s="18">
        <v>9000</v>
      </c>
      <c r="X27" s="109" t="s">
        <v>282</v>
      </c>
      <c r="Y27" s="110"/>
      <c r="Z27" s="110"/>
      <c r="AA27" s="110"/>
      <c r="AB27" s="98"/>
      <c r="AC27" s="98"/>
      <c r="AD27" s="98">
        <v>2136</v>
      </c>
      <c r="AE27" s="97">
        <v>11365</v>
      </c>
      <c r="AF27" s="98">
        <v>18158</v>
      </c>
      <c r="AG27" s="98">
        <v>24401</v>
      </c>
      <c r="AH27" s="97">
        <v>31386</v>
      </c>
      <c r="AI27" s="111" t="s">
        <v>16</v>
      </c>
      <c r="AJ27" s="111">
        <v>5</v>
      </c>
      <c r="AK27" s="111">
        <v>10640</v>
      </c>
      <c r="AL27" s="111">
        <v>914</v>
      </c>
      <c r="AM27" s="111">
        <v>150</v>
      </c>
      <c r="AN27" s="111">
        <f t="shared" si="7"/>
        <v>750</v>
      </c>
      <c r="AO27" s="111"/>
      <c r="AP27" s="111">
        <f t="shared" si="8"/>
        <v>12454</v>
      </c>
      <c r="AQ27" s="111" t="s">
        <v>281</v>
      </c>
      <c r="AR27" s="111"/>
      <c r="AS27" s="111"/>
      <c r="AT27" s="111"/>
      <c r="AU27" s="97">
        <v>0.6</v>
      </c>
    </row>
    <row r="28" spans="1:48" ht="14.4" x14ac:dyDescent="0.3">
      <c r="A28" s="88">
        <v>26</v>
      </c>
      <c r="B28" s="88" t="s">
        <v>289</v>
      </c>
      <c r="C28" s="88" t="s">
        <v>707</v>
      </c>
      <c r="D28" s="88" t="str">
        <f t="shared" si="9"/>
        <v>EXTER SX O</v>
      </c>
      <c r="E28" s="18">
        <v>887300</v>
      </c>
      <c r="F28" s="107" t="str">
        <f t="shared" si="0"/>
        <v/>
      </c>
      <c r="G28" s="119">
        <f t="shared" si="18"/>
        <v>40090.484722399997</v>
      </c>
      <c r="H28" s="119">
        <f t="shared" si="19"/>
        <v>40822.556911199994</v>
      </c>
      <c r="I28" s="99"/>
      <c r="J28" s="116">
        <f t="shared" si="20"/>
        <v>27394.602361199999</v>
      </c>
      <c r="K28" s="108">
        <f t="shared" si="21"/>
        <v>27760.638455599998</v>
      </c>
      <c r="L28" s="108">
        <f t="shared" si="22"/>
        <v>4330.2932000000001</v>
      </c>
      <c r="M28" s="108">
        <f t="shared" si="23"/>
        <v>5324.9565000000002</v>
      </c>
      <c r="N28" s="116">
        <f t="shared" si="24"/>
        <v>6319.6197999999995</v>
      </c>
      <c r="O28" s="116">
        <f t="shared" si="5"/>
        <v>2486.65825</v>
      </c>
      <c r="P28" s="20">
        <f t="shared" si="13"/>
        <v>78334</v>
      </c>
      <c r="Q28" s="118">
        <f t="shared" si="14"/>
        <v>75691</v>
      </c>
      <c r="R28" s="98"/>
      <c r="S28" s="98"/>
      <c r="T28" s="18">
        <v>5721</v>
      </c>
      <c r="U28" s="98"/>
      <c r="V28" s="98">
        <f t="shared" si="6"/>
        <v>11830.666666666666</v>
      </c>
      <c r="W28" s="18">
        <v>9000</v>
      </c>
      <c r="X28" s="109" t="s">
        <v>282</v>
      </c>
      <c r="Y28" s="110"/>
      <c r="Z28" s="110"/>
      <c r="AA28" s="110"/>
      <c r="AB28" s="98"/>
      <c r="AC28" s="98"/>
      <c r="AD28" s="98">
        <v>2136</v>
      </c>
      <c r="AE28" s="97">
        <v>11365</v>
      </c>
      <c r="AF28" s="98">
        <v>18158</v>
      </c>
      <c r="AG28" s="98">
        <v>24401</v>
      </c>
      <c r="AH28" s="97">
        <v>31386</v>
      </c>
      <c r="AI28" s="111" t="s">
        <v>16</v>
      </c>
      <c r="AJ28" s="111">
        <v>5</v>
      </c>
      <c r="AK28" s="111">
        <v>10640</v>
      </c>
      <c r="AL28" s="111">
        <v>914</v>
      </c>
      <c r="AM28" s="111">
        <v>150</v>
      </c>
      <c r="AN28" s="111">
        <f t="shared" si="7"/>
        <v>750</v>
      </c>
      <c r="AO28" s="111"/>
      <c r="AP28" s="111">
        <f t="shared" si="8"/>
        <v>12454</v>
      </c>
      <c r="AQ28" s="111" t="s">
        <v>281</v>
      </c>
      <c r="AR28" s="111"/>
      <c r="AS28" s="111"/>
      <c r="AT28" s="111"/>
      <c r="AU28" s="97">
        <v>0.6</v>
      </c>
    </row>
    <row r="29" spans="1:48" ht="14.4" x14ac:dyDescent="0.3">
      <c r="A29" s="88">
        <v>27</v>
      </c>
      <c r="B29" s="88" t="s">
        <v>289</v>
      </c>
      <c r="C29" s="88" t="s">
        <v>709</v>
      </c>
      <c r="D29" s="88" t="str">
        <f t="shared" si="9"/>
        <v>EXTER SX O CONNECT</v>
      </c>
      <c r="E29" s="18">
        <v>955900</v>
      </c>
      <c r="F29" s="107" t="str">
        <f t="shared" si="0"/>
        <v/>
      </c>
      <c r="G29" s="108">
        <f t="shared" si="18"/>
        <v>42053.603239200005</v>
      </c>
      <c r="H29" s="108">
        <f t="shared" si="19"/>
        <v>42842.274269599999</v>
      </c>
      <c r="I29" s="99"/>
      <c r="J29" s="116">
        <f t="shared" si="20"/>
        <v>30085.841822049999</v>
      </c>
      <c r="K29" s="108">
        <f t="shared" si="21"/>
        <v>30529.469276650001</v>
      </c>
      <c r="L29" s="108">
        <f t="shared" si="22"/>
        <v>4637.8955999999998</v>
      </c>
      <c r="M29" s="108">
        <f t="shared" si="23"/>
        <v>5709.4595000000008</v>
      </c>
      <c r="N29" s="116">
        <f t="shared" si="24"/>
        <v>6781.0234</v>
      </c>
      <c r="O29" s="116">
        <f t="shared" si="5"/>
        <v>2678.9097500000003</v>
      </c>
      <c r="P29" s="20">
        <f t="shared" si="13"/>
        <v>83822</v>
      </c>
      <c r="Q29" s="118">
        <f t="shared" si="14"/>
        <v>80493</v>
      </c>
      <c r="R29" s="98"/>
      <c r="S29" s="98"/>
      <c r="T29" s="18">
        <v>5721</v>
      </c>
      <c r="U29" s="98"/>
      <c r="V29" s="98">
        <f t="shared" si="6"/>
        <v>12745.333333333334</v>
      </c>
      <c r="W29" s="18">
        <v>9000</v>
      </c>
      <c r="X29" s="109" t="s">
        <v>282</v>
      </c>
      <c r="Y29" s="110"/>
      <c r="Z29" s="110"/>
      <c r="AA29" s="110"/>
      <c r="AB29" s="98"/>
      <c r="AC29" s="98"/>
      <c r="AD29" s="98">
        <v>2136</v>
      </c>
      <c r="AE29" s="97">
        <v>13445</v>
      </c>
      <c r="AF29" s="98">
        <v>20802</v>
      </c>
      <c r="AG29" s="98">
        <v>28381</v>
      </c>
      <c r="AH29" s="97">
        <v>35926</v>
      </c>
      <c r="AI29" s="111" t="s">
        <v>16</v>
      </c>
      <c r="AJ29" s="111">
        <v>5</v>
      </c>
      <c r="AK29" s="111">
        <v>10640</v>
      </c>
      <c r="AL29" s="111">
        <v>914</v>
      </c>
      <c r="AM29" s="111">
        <v>150</v>
      </c>
      <c r="AN29" s="111">
        <f t="shared" si="7"/>
        <v>750</v>
      </c>
      <c r="AO29" s="111"/>
      <c r="AP29" s="111">
        <f t="shared" si="8"/>
        <v>12454</v>
      </c>
      <c r="AQ29" s="111" t="s">
        <v>281</v>
      </c>
      <c r="AR29" s="111"/>
      <c r="AS29" s="111"/>
      <c r="AT29" s="111"/>
      <c r="AU29" s="97">
        <v>0.55000000000000004</v>
      </c>
    </row>
    <row r="30" spans="1:48" ht="14.4" x14ac:dyDescent="0.3">
      <c r="A30" s="88">
        <v>28</v>
      </c>
      <c r="B30" s="88" t="s">
        <v>289</v>
      </c>
      <c r="C30" s="88" t="s">
        <v>710</v>
      </c>
      <c r="D30" s="88" t="str">
        <f t="shared" si="9"/>
        <v>EXTER SX O CONNECT DT</v>
      </c>
      <c r="E30" s="18">
        <v>970900</v>
      </c>
      <c r="F30" s="107" t="str">
        <f t="shared" si="0"/>
        <v/>
      </c>
      <c r="G30" s="108">
        <f t="shared" si="18"/>
        <v>42482.856559200001</v>
      </c>
      <c r="H30" s="108">
        <f t="shared" si="19"/>
        <v>43283.903429599995</v>
      </c>
      <c r="I30" s="99"/>
      <c r="J30" s="116">
        <f t="shared" si="20"/>
        <v>30327.296814549998</v>
      </c>
      <c r="K30" s="108">
        <f t="shared" si="21"/>
        <v>30777.885679149997</v>
      </c>
      <c r="L30" s="108">
        <f t="shared" si="22"/>
        <v>4705.1556</v>
      </c>
      <c r="M30" s="108">
        <f t="shared" si="23"/>
        <v>5793.5345000000007</v>
      </c>
      <c r="N30" s="116">
        <f t="shared" si="24"/>
        <v>6881.9134000000004</v>
      </c>
      <c r="O30" s="116">
        <f t="shared" si="5"/>
        <v>2720.9472500000002</v>
      </c>
      <c r="P30" s="20">
        <f t="shared" si="13"/>
        <v>85022</v>
      </c>
      <c r="Q30" s="118">
        <f t="shared" si="14"/>
        <v>81543</v>
      </c>
      <c r="R30" s="98"/>
      <c r="S30" s="98"/>
      <c r="T30" s="18">
        <v>5721</v>
      </c>
      <c r="U30" s="98"/>
      <c r="V30" s="98">
        <f t="shared" si="6"/>
        <v>12945.333333333334</v>
      </c>
      <c r="W30" s="18">
        <v>9000</v>
      </c>
      <c r="X30" s="109" t="s">
        <v>282</v>
      </c>
      <c r="Y30" s="110"/>
      <c r="Z30" s="110"/>
      <c r="AA30" s="110"/>
      <c r="AB30" s="98"/>
      <c r="AC30" s="98"/>
      <c r="AD30" s="98">
        <v>2136</v>
      </c>
      <c r="AE30" s="97">
        <v>13445</v>
      </c>
      <c r="AF30" s="98">
        <v>20802</v>
      </c>
      <c r="AG30" s="98">
        <v>28381</v>
      </c>
      <c r="AH30" s="97">
        <v>35926</v>
      </c>
      <c r="AI30" s="111" t="s">
        <v>16</v>
      </c>
      <c r="AJ30" s="111">
        <v>5</v>
      </c>
      <c r="AK30" s="111">
        <v>10640</v>
      </c>
      <c r="AL30" s="111">
        <v>914</v>
      </c>
      <c r="AM30" s="111">
        <v>150</v>
      </c>
      <c r="AN30" s="111">
        <f t="shared" si="7"/>
        <v>750</v>
      </c>
      <c r="AO30" s="111"/>
      <c r="AP30" s="111">
        <f t="shared" si="8"/>
        <v>12454</v>
      </c>
      <c r="AQ30" s="111" t="s">
        <v>281</v>
      </c>
      <c r="AR30" s="111"/>
      <c r="AS30" s="111"/>
      <c r="AT30" s="111"/>
      <c r="AU30" s="97">
        <v>0.55000000000000004</v>
      </c>
    </row>
    <row r="31" spans="1:48" ht="14.4" x14ac:dyDescent="0.3">
      <c r="A31" s="88">
        <v>29</v>
      </c>
      <c r="B31" s="88" t="s">
        <v>289</v>
      </c>
      <c r="C31" s="88" t="s">
        <v>295</v>
      </c>
      <c r="D31" s="88" t="str">
        <f t="shared" si="9"/>
        <v>EXTER S AMT</v>
      </c>
      <c r="E31" s="18">
        <v>822900</v>
      </c>
      <c r="F31" s="107" t="str">
        <f t="shared" si="0"/>
        <v/>
      </c>
      <c r="G31" s="108">
        <f t="shared" si="18"/>
        <v>38247.557135200004</v>
      </c>
      <c r="H31" s="108">
        <f t="shared" si="19"/>
        <v>38926.495717599995</v>
      </c>
      <c r="I31" s="99"/>
      <c r="J31" s="116">
        <f t="shared" si="20"/>
        <v>27944.940888550002</v>
      </c>
      <c r="K31" s="108">
        <f t="shared" si="21"/>
        <v>28326.843841149996</v>
      </c>
      <c r="L31" s="108">
        <f t="shared" si="22"/>
        <v>4041.5236</v>
      </c>
      <c r="M31" s="108">
        <f t="shared" si="23"/>
        <v>4963.9944999999998</v>
      </c>
      <c r="N31" s="116">
        <f t="shared" si="24"/>
        <v>5886.4654</v>
      </c>
      <c r="O31" s="116">
        <f t="shared" si="5"/>
        <v>2306.1772500000002</v>
      </c>
      <c r="P31" s="20">
        <f t="shared" si="13"/>
        <v>73182</v>
      </c>
      <c r="Q31" s="118">
        <f t="shared" si="14"/>
        <v>71183</v>
      </c>
      <c r="R31" s="98"/>
      <c r="S31" s="98"/>
      <c r="T31" s="18">
        <v>5721</v>
      </c>
      <c r="U31" s="98"/>
      <c r="V31" s="98">
        <f t="shared" si="6"/>
        <v>10972</v>
      </c>
      <c r="W31" s="18">
        <v>9000</v>
      </c>
      <c r="X31" s="109" t="s">
        <v>766</v>
      </c>
      <c r="Y31" s="110"/>
      <c r="Z31" s="110"/>
      <c r="AA31" s="110"/>
      <c r="AB31" s="98"/>
      <c r="AC31" s="98"/>
      <c r="AD31" s="98">
        <v>2136</v>
      </c>
      <c r="AE31" s="97">
        <v>13445</v>
      </c>
      <c r="AF31" s="98">
        <v>20802</v>
      </c>
      <c r="AG31" s="98">
        <v>28381</v>
      </c>
      <c r="AH31" s="97">
        <v>35926</v>
      </c>
      <c r="AI31" s="111" t="s">
        <v>16</v>
      </c>
      <c r="AJ31" s="111">
        <v>5</v>
      </c>
      <c r="AK31" s="111">
        <v>10640</v>
      </c>
      <c r="AL31" s="111">
        <v>914</v>
      </c>
      <c r="AM31" s="111">
        <v>150</v>
      </c>
      <c r="AN31" s="111">
        <f t="shared" si="7"/>
        <v>750</v>
      </c>
      <c r="AO31" s="111"/>
      <c r="AP31" s="111">
        <f t="shared" si="8"/>
        <v>12454</v>
      </c>
      <c r="AQ31" s="111" t="s">
        <v>281</v>
      </c>
      <c r="AR31" s="111"/>
      <c r="AS31" s="111"/>
      <c r="AT31" s="111"/>
      <c r="AU31" s="97">
        <v>0.55000000000000004</v>
      </c>
    </row>
    <row r="32" spans="1:48" ht="14.4" x14ac:dyDescent="0.3">
      <c r="A32" s="88">
        <v>30</v>
      </c>
      <c r="B32" s="88" t="s">
        <v>289</v>
      </c>
      <c r="C32" s="88" t="s">
        <v>296</v>
      </c>
      <c r="D32" s="88" t="str">
        <f t="shared" si="9"/>
        <v>EXTER SX AMT</v>
      </c>
      <c r="E32" s="18">
        <v>890300</v>
      </c>
      <c r="F32" s="107" t="str">
        <f t="shared" si="0"/>
        <v/>
      </c>
      <c r="G32" s="108">
        <f t="shared" si="18"/>
        <v>40176.335386400002</v>
      </c>
      <c r="H32" s="108">
        <f t="shared" si="19"/>
        <v>40910.882743200003</v>
      </c>
      <c r="I32" s="99"/>
      <c r="J32" s="116">
        <f t="shared" si="20"/>
        <v>29029.878654850003</v>
      </c>
      <c r="K32" s="108">
        <f t="shared" si="21"/>
        <v>29443.061543049997</v>
      </c>
      <c r="L32" s="108">
        <f t="shared" si="22"/>
        <v>4343.7451999999994</v>
      </c>
      <c r="M32" s="108">
        <f t="shared" si="23"/>
        <v>5341.7714999999998</v>
      </c>
      <c r="N32" s="116">
        <f t="shared" si="24"/>
        <v>6339.7978000000003</v>
      </c>
      <c r="O32" s="116">
        <f t="shared" si="5"/>
        <v>2495.0657500000002</v>
      </c>
      <c r="P32" s="20">
        <f t="shared" si="13"/>
        <v>78574</v>
      </c>
      <c r="Q32" s="118">
        <f t="shared" si="14"/>
        <v>75901</v>
      </c>
      <c r="R32" s="98"/>
      <c r="S32" s="98"/>
      <c r="T32" s="18">
        <v>5721</v>
      </c>
      <c r="U32" s="98"/>
      <c r="V32" s="98">
        <f t="shared" si="6"/>
        <v>11870.666666666666</v>
      </c>
      <c r="W32" s="18">
        <v>9000</v>
      </c>
      <c r="X32" s="109" t="s">
        <v>766</v>
      </c>
      <c r="Y32" s="110"/>
      <c r="Z32" s="110"/>
      <c r="AA32" s="110"/>
      <c r="AB32" s="98"/>
      <c r="AC32" s="98"/>
      <c r="AD32" s="98">
        <v>2136</v>
      </c>
      <c r="AE32" s="97">
        <v>13445</v>
      </c>
      <c r="AF32" s="98">
        <v>20802</v>
      </c>
      <c r="AG32" s="98">
        <v>28381</v>
      </c>
      <c r="AH32" s="97">
        <v>35926</v>
      </c>
      <c r="AI32" s="111" t="s">
        <v>16</v>
      </c>
      <c r="AJ32" s="111">
        <v>5</v>
      </c>
      <c r="AK32" s="111">
        <v>10640</v>
      </c>
      <c r="AL32" s="111">
        <v>914</v>
      </c>
      <c r="AM32" s="111">
        <v>150</v>
      </c>
      <c r="AN32" s="111">
        <f t="shared" si="7"/>
        <v>750</v>
      </c>
      <c r="AO32" s="111"/>
      <c r="AP32" s="111">
        <f t="shared" si="8"/>
        <v>12454</v>
      </c>
      <c r="AQ32" s="111" t="s">
        <v>281</v>
      </c>
      <c r="AR32" s="111"/>
      <c r="AS32" s="111"/>
      <c r="AT32" s="111"/>
      <c r="AU32" s="97">
        <v>0.55000000000000004</v>
      </c>
    </row>
    <row r="33" spans="1:47" ht="14.4" x14ac:dyDescent="0.3">
      <c r="A33" s="88">
        <v>31</v>
      </c>
      <c r="B33" s="88" t="s">
        <v>289</v>
      </c>
      <c r="C33" s="88" t="s">
        <v>297</v>
      </c>
      <c r="D33" s="88" t="str">
        <f t="shared" si="9"/>
        <v>EXTER SX AMT DT</v>
      </c>
      <c r="E33" s="18">
        <v>915300</v>
      </c>
      <c r="F33" s="107" t="str">
        <f t="shared" si="0"/>
        <v/>
      </c>
      <c r="G33" s="108">
        <f t="shared" si="18"/>
        <v>40891.757586400003</v>
      </c>
      <c r="H33" s="108">
        <f t="shared" si="19"/>
        <v>41646.931343199998</v>
      </c>
      <c r="I33" s="99"/>
      <c r="J33" s="116">
        <f t="shared" si="20"/>
        <v>29432.303642350002</v>
      </c>
      <c r="K33" s="108">
        <f t="shared" si="21"/>
        <v>29857.088880549996</v>
      </c>
      <c r="L33" s="108">
        <f t="shared" si="22"/>
        <v>4455.8451999999997</v>
      </c>
      <c r="M33" s="108">
        <f t="shared" si="23"/>
        <v>5481.8964999999998</v>
      </c>
      <c r="N33" s="116">
        <f t="shared" si="24"/>
        <v>6507.9477999999999</v>
      </c>
      <c r="O33" s="116">
        <f t="shared" si="5"/>
        <v>2565.1282500000002</v>
      </c>
      <c r="P33" s="20">
        <f t="shared" si="13"/>
        <v>80574</v>
      </c>
      <c r="Q33" s="118">
        <f t="shared" si="14"/>
        <v>77651</v>
      </c>
      <c r="R33" s="98"/>
      <c r="S33" s="98"/>
      <c r="T33" s="18">
        <v>5721</v>
      </c>
      <c r="U33" s="98"/>
      <c r="V33" s="98">
        <f t="shared" si="6"/>
        <v>12204</v>
      </c>
      <c r="W33" s="18">
        <v>9000</v>
      </c>
      <c r="X33" s="109" t="s">
        <v>766</v>
      </c>
      <c r="Y33" s="110"/>
      <c r="Z33" s="110"/>
      <c r="AA33" s="110"/>
      <c r="AB33" s="98"/>
      <c r="AC33" s="98"/>
      <c r="AD33" s="98">
        <v>2136</v>
      </c>
      <c r="AE33" s="97">
        <v>13445</v>
      </c>
      <c r="AF33" s="98">
        <v>20802</v>
      </c>
      <c r="AG33" s="98">
        <v>28381</v>
      </c>
      <c r="AH33" s="97">
        <v>35926</v>
      </c>
      <c r="AI33" s="111" t="s">
        <v>16</v>
      </c>
      <c r="AJ33" s="111">
        <v>5</v>
      </c>
      <c r="AK33" s="111">
        <v>10640</v>
      </c>
      <c r="AL33" s="111">
        <v>914</v>
      </c>
      <c r="AM33" s="111">
        <v>150</v>
      </c>
      <c r="AN33" s="111">
        <f t="shared" si="7"/>
        <v>750</v>
      </c>
      <c r="AO33" s="111"/>
      <c r="AP33" s="111">
        <f t="shared" si="8"/>
        <v>12454</v>
      </c>
      <c r="AQ33" s="111" t="s">
        <v>281</v>
      </c>
      <c r="AR33" s="111"/>
      <c r="AS33" s="111"/>
      <c r="AT33" s="111"/>
      <c r="AU33" s="97">
        <v>0.55000000000000004</v>
      </c>
    </row>
    <row r="34" spans="1:47" ht="14.4" x14ac:dyDescent="0.3">
      <c r="A34" s="88">
        <v>32</v>
      </c>
      <c r="B34" s="88" t="s">
        <v>289</v>
      </c>
      <c r="C34" s="88" t="s">
        <v>711</v>
      </c>
      <c r="D34" s="88" t="str">
        <f t="shared" si="9"/>
        <v>EXTER SX O AMT</v>
      </c>
      <c r="E34" s="18">
        <v>954300</v>
      </c>
      <c r="F34" s="107" t="str">
        <f t="shared" si="0"/>
        <v/>
      </c>
      <c r="G34" s="108">
        <f t="shared" si="18"/>
        <v>42007.816218399996</v>
      </c>
      <c r="H34" s="108">
        <f t="shared" si="19"/>
        <v>42795.167159199998</v>
      </c>
      <c r="I34" s="99"/>
      <c r="J34" s="116">
        <f t="shared" si="20"/>
        <v>30060.086622850002</v>
      </c>
      <c r="K34" s="108">
        <f t="shared" si="21"/>
        <v>30502.971527049998</v>
      </c>
      <c r="L34" s="108">
        <f t="shared" si="22"/>
        <v>4630.7212</v>
      </c>
      <c r="M34" s="108">
        <f t="shared" si="23"/>
        <v>5700.4915000000001</v>
      </c>
      <c r="N34" s="116">
        <f t="shared" si="24"/>
        <v>6770.2618000000002</v>
      </c>
      <c r="O34" s="116">
        <f t="shared" si="5"/>
        <v>2674.4257500000003</v>
      </c>
      <c r="P34" s="20">
        <f t="shared" si="13"/>
        <v>83694</v>
      </c>
      <c r="Q34" s="118">
        <f t="shared" si="14"/>
        <v>80381</v>
      </c>
      <c r="R34" s="98"/>
      <c r="S34" s="98"/>
      <c r="T34" s="18">
        <v>5721</v>
      </c>
      <c r="U34" s="98"/>
      <c r="V34" s="98">
        <f t="shared" si="6"/>
        <v>12724</v>
      </c>
      <c r="W34" s="18">
        <v>9000</v>
      </c>
      <c r="X34" s="109" t="s">
        <v>766</v>
      </c>
      <c r="Y34" s="110"/>
      <c r="Z34" s="110"/>
      <c r="AA34" s="110"/>
      <c r="AB34" s="98"/>
      <c r="AC34" s="98"/>
      <c r="AD34" s="98">
        <v>2136</v>
      </c>
      <c r="AE34" s="97">
        <v>13445</v>
      </c>
      <c r="AF34" s="98">
        <v>20802</v>
      </c>
      <c r="AG34" s="98">
        <v>28381</v>
      </c>
      <c r="AH34" s="97">
        <v>35926</v>
      </c>
      <c r="AI34" s="111" t="s">
        <v>16</v>
      </c>
      <c r="AJ34" s="111">
        <v>5</v>
      </c>
      <c r="AK34" s="111">
        <v>10640</v>
      </c>
      <c r="AL34" s="111">
        <v>914</v>
      </c>
      <c r="AM34" s="111">
        <v>150</v>
      </c>
      <c r="AN34" s="111">
        <f t="shared" si="7"/>
        <v>750</v>
      </c>
      <c r="AO34" s="111"/>
      <c r="AP34" s="111">
        <f t="shared" si="8"/>
        <v>12454</v>
      </c>
      <c r="AQ34" s="111" t="s">
        <v>281</v>
      </c>
      <c r="AR34" s="111"/>
      <c r="AS34" s="111"/>
      <c r="AT34" s="111"/>
      <c r="AU34" s="97">
        <v>0.55000000000000004</v>
      </c>
    </row>
    <row r="35" spans="1:47" ht="14.4" x14ac:dyDescent="0.3">
      <c r="A35" s="88">
        <v>33</v>
      </c>
      <c r="B35" s="88" t="s">
        <v>289</v>
      </c>
      <c r="C35" s="88" t="s">
        <v>712</v>
      </c>
      <c r="D35" s="88" t="str">
        <f t="shared" si="9"/>
        <v>EXTER SX O CONNECT AMT</v>
      </c>
      <c r="E35" s="18">
        <v>999999</v>
      </c>
      <c r="F35" s="107" t="str">
        <f t="shared" ref="F35:F66" si="25">IF(E35&gt;999999,((E35*1)/100),"")</f>
        <v/>
      </c>
      <c r="G35" s="108">
        <f t="shared" si="18"/>
        <v>43315.57938311201</v>
      </c>
      <c r="H35" s="108">
        <f t="shared" si="19"/>
        <v>44140.634558056001</v>
      </c>
      <c r="I35" s="99"/>
      <c r="J35" s="116">
        <f t="shared" si="20"/>
        <v>30795.703403000502</v>
      </c>
      <c r="K35" s="108">
        <f t="shared" si="21"/>
        <v>31259.796938906497</v>
      </c>
      <c r="L35" s="108">
        <f t="shared" si="22"/>
        <v>4835.6355159999994</v>
      </c>
      <c r="M35" s="108">
        <f t="shared" si="23"/>
        <v>5956.634395</v>
      </c>
      <c r="N35" s="116">
        <f t="shared" si="24"/>
        <v>7077.6332739999998</v>
      </c>
      <c r="O35" s="116">
        <f t="shared" ref="O35:O66" si="26">(((E35*95%)*0.25%))+((((E35*95%)*0.25%))*18%)</f>
        <v>2802.4971974999999</v>
      </c>
      <c r="P35" s="20">
        <f t="shared" ref="P35:P66" si="27">IF(E35&lt;1000000,E35*8%,IF(E35&gt;=1000000,E35*10%))+600+1500+750+4500</f>
        <v>87349.92</v>
      </c>
      <c r="Q35" s="118">
        <f t="shared" ref="Q35:Q56" si="28">IF(E35&lt;600000,E35*4%,IF(E35&lt;1000000,E35*7%,IF(E35&gt;=1000000,E35*10%)))+600+1500+230+4000+2000+4500+750</f>
        <v>83579.930000000008</v>
      </c>
      <c r="R35" s="98"/>
      <c r="S35" s="98"/>
      <c r="T35" s="18">
        <v>5721</v>
      </c>
      <c r="U35" s="98"/>
      <c r="V35" s="98">
        <f t="shared" ref="V35:V66" si="29">((IF(E35&lt;1000000,E35*8%,IF(AND(E35&gt;=1000000,E35&lt;2000000),E35*10%,IF(E35&gt;=2000000,E35*12%,0)))*1.25*2)/15)</f>
        <v>13333.32</v>
      </c>
      <c r="W35" s="18">
        <v>9000</v>
      </c>
      <c r="X35" s="109" t="s">
        <v>766</v>
      </c>
      <c r="Y35" s="110"/>
      <c r="Z35" s="110"/>
      <c r="AA35" s="110"/>
      <c r="AB35" s="98"/>
      <c r="AC35" s="98"/>
      <c r="AD35" s="98">
        <v>2136</v>
      </c>
      <c r="AE35" s="97">
        <v>13445</v>
      </c>
      <c r="AF35" s="98">
        <v>20802</v>
      </c>
      <c r="AG35" s="98">
        <v>28381</v>
      </c>
      <c r="AH35" s="97">
        <v>35926</v>
      </c>
      <c r="AI35" s="111" t="s">
        <v>16</v>
      </c>
      <c r="AJ35" s="111">
        <v>5</v>
      </c>
      <c r="AK35" s="111">
        <v>10640</v>
      </c>
      <c r="AL35" s="111">
        <v>914</v>
      </c>
      <c r="AM35" s="111">
        <v>150</v>
      </c>
      <c r="AN35" s="111">
        <f t="shared" si="7"/>
        <v>750</v>
      </c>
      <c r="AO35" s="111"/>
      <c r="AP35" s="111">
        <f t="shared" ref="AP35:AP66" si="30">SUM(AK35:AO35)</f>
        <v>12454</v>
      </c>
      <c r="AQ35" s="111" t="s">
        <v>281</v>
      </c>
      <c r="AR35" s="111"/>
      <c r="AS35" s="111"/>
      <c r="AT35" s="111"/>
      <c r="AU35" s="97">
        <v>0.55000000000000004</v>
      </c>
    </row>
    <row r="36" spans="1:47" ht="14.4" x14ac:dyDescent="0.3">
      <c r="A36" s="88">
        <v>34</v>
      </c>
      <c r="B36" s="88" t="s">
        <v>289</v>
      </c>
      <c r="C36" s="88" t="s">
        <v>713</v>
      </c>
      <c r="D36" s="88" t="str">
        <f t="shared" si="9"/>
        <v>EXTER SX O CONNECT AMT DT</v>
      </c>
      <c r="E36" s="18">
        <v>1027900</v>
      </c>
      <c r="F36" s="107">
        <f t="shared" si="25"/>
        <v>10279</v>
      </c>
      <c r="G36" s="108">
        <f t="shared" si="18"/>
        <v>44114.019175200003</v>
      </c>
      <c r="H36" s="108">
        <f t="shared" si="19"/>
        <v>44962.094237600002</v>
      </c>
      <c r="I36" s="99"/>
      <c r="J36" s="116">
        <f t="shared" si="20"/>
        <v>31244.825786049998</v>
      </c>
      <c r="K36" s="108">
        <f t="shared" si="21"/>
        <v>31721.868008649999</v>
      </c>
      <c r="L36" s="108">
        <f t="shared" si="22"/>
        <v>4960.7436000000007</v>
      </c>
      <c r="M36" s="108">
        <f t="shared" si="23"/>
        <v>6113.0195000000003</v>
      </c>
      <c r="N36" s="116">
        <f t="shared" si="24"/>
        <v>7265.2954</v>
      </c>
      <c r="O36" s="116">
        <f t="shared" si="26"/>
        <v>2880.6897500000005</v>
      </c>
      <c r="P36" s="20">
        <f t="shared" si="27"/>
        <v>110140</v>
      </c>
      <c r="Q36" s="118">
        <f t="shared" si="28"/>
        <v>116370</v>
      </c>
      <c r="R36" s="98"/>
      <c r="S36" s="98"/>
      <c r="T36" s="18">
        <v>5721</v>
      </c>
      <c r="U36" s="98"/>
      <c r="V36" s="98">
        <f t="shared" si="29"/>
        <v>17131.666666666668</v>
      </c>
      <c r="W36" s="18">
        <v>9000</v>
      </c>
      <c r="X36" s="109" t="s">
        <v>766</v>
      </c>
      <c r="Y36" s="110"/>
      <c r="Z36" s="110"/>
      <c r="AA36" s="110"/>
      <c r="AB36" s="98"/>
      <c r="AC36" s="98"/>
      <c r="AD36" s="98">
        <v>2136</v>
      </c>
      <c r="AE36" s="97">
        <v>13445</v>
      </c>
      <c r="AF36" s="98">
        <v>20802</v>
      </c>
      <c r="AG36" s="98">
        <v>28381</v>
      </c>
      <c r="AH36" s="97">
        <v>35926</v>
      </c>
      <c r="AI36" s="111" t="s">
        <v>16</v>
      </c>
      <c r="AJ36" s="111">
        <v>5</v>
      </c>
      <c r="AK36" s="111">
        <v>10640</v>
      </c>
      <c r="AL36" s="111">
        <v>914</v>
      </c>
      <c r="AM36" s="111">
        <v>150</v>
      </c>
      <c r="AN36" s="111">
        <f t="shared" si="7"/>
        <v>750</v>
      </c>
      <c r="AO36" s="111"/>
      <c r="AP36" s="111">
        <f t="shared" si="30"/>
        <v>12454</v>
      </c>
      <c r="AQ36" s="111" t="s">
        <v>281</v>
      </c>
      <c r="AR36" s="111"/>
      <c r="AS36" s="111"/>
      <c r="AT36" s="111"/>
      <c r="AU36" s="97">
        <v>0.55000000000000004</v>
      </c>
    </row>
    <row r="37" spans="1:47" ht="14.4" x14ac:dyDescent="0.3">
      <c r="A37" s="88">
        <v>35</v>
      </c>
      <c r="B37" s="88" t="s">
        <v>289</v>
      </c>
      <c r="C37" s="88" t="s">
        <v>298</v>
      </c>
      <c r="D37" s="88" t="str">
        <f t="shared" si="9"/>
        <v>EXTER S CNG</v>
      </c>
      <c r="E37" s="18">
        <v>843300</v>
      </c>
      <c r="F37" s="107" t="str">
        <f t="shared" si="25"/>
        <v/>
      </c>
      <c r="G37" s="108">
        <f t="shared" si="18"/>
        <v>38831.341650400005</v>
      </c>
      <c r="H37" s="108">
        <f t="shared" si="19"/>
        <v>39527.111375199995</v>
      </c>
      <c r="I37" s="99"/>
      <c r="J37" s="116">
        <f t="shared" si="20"/>
        <v>28273.319678350003</v>
      </c>
      <c r="K37" s="108">
        <f t="shared" si="21"/>
        <v>28664.690148549998</v>
      </c>
      <c r="L37" s="108">
        <f t="shared" si="22"/>
        <v>4132.9971999999998</v>
      </c>
      <c r="M37" s="108">
        <f t="shared" si="23"/>
        <v>5078.3365000000003</v>
      </c>
      <c r="N37" s="116">
        <f t="shared" si="24"/>
        <v>6023.6758000000009</v>
      </c>
      <c r="O37" s="116">
        <f t="shared" si="26"/>
        <v>2363.34825</v>
      </c>
      <c r="P37" s="20">
        <f t="shared" si="27"/>
        <v>74814</v>
      </c>
      <c r="Q37" s="118">
        <f t="shared" si="28"/>
        <v>72611</v>
      </c>
      <c r="R37" s="98"/>
      <c r="S37" s="98"/>
      <c r="T37" s="18">
        <v>5721</v>
      </c>
      <c r="U37" s="98"/>
      <c r="V37" s="98">
        <f t="shared" si="29"/>
        <v>11244</v>
      </c>
      <c r="W37" s="18">
        <v>9000</v>
      </c>
      <c r="X37" s="109" t="s">
        <v>284</v>
      </c>
      <c r="Y37" s="110"/>
      <c r="Z37" s="110"/>
      <c r="AA37" s="110"/>
      <c r="AB37" s="98"/>
      <c r="AC37" s="98"/>
      <c r="AD37" s="98">
        <v>2136</v>
      </c>
      <c r="AE37" s="97">
        <v>13445</v>
      </c>
      <c r="AF37" s="98">
        <v>20802</v>
      </c>
      <c r="AG37" s="98">
        <v>28381</v>
      </c>
      <c r="AH37" s="97">
        <v>35926</v>
      </c>
      <c r="AI37" s="111" t="s">
        <v>16</v>
      </c>
      <c r="AJ37" s="111">
        <v>5</v>
      </c>
      <c r="AK37" s="111">
        <v>10640</v>
      </c>
      <c r="AL37" s="111">
        <v>914</v>
      </c>
      <c r="AM37" s="111">
        <v>150</v>
      </c>
      <c r="AN37" s="111">
        <f t="shared" si="7"/>
        <v>750</v>
      </c>
      <c r="AO37" s="111"/>
      <c r="AP37" s="111">
        <f t="shared" si="30"/>
        <v>12454</v>
      </c>
      <c r="AQ37" s="111" t="s">
        <v>281</v>
      </c>
      <c r="AR37" s="111"/>
      <c r="AS37" s="111"/>
      <c r="AT37" s="111"/>
      <c r="AU37" s="97">
        <v>0.55000000000000004</v>
      </c>
    </row>
    <row r="38" spans="1:47" ht="14.4" x14ac:dyDescent="0.3">
      <c r="A38" s="88">
        <v>36</v>
      </c>
      <c r="B38" s="88" t="s">
        <v>289</v>
      </c>
      <c r="C38" s="88" t="s">
        <v>299</v>
      </c>
      <c r="D38" s="88" t="str">
        <f t="shared" si="9"/>
        <v>EXTER SX CNG</v>
      </c>
      <c r="E38" s="18">
        <v>916300</v>
      </c>
      <c r="F38" s="107" t="str">
        <f t="shared" si="25"/>
        <v/>
      </c>
      <c r="G38" s="119">
        <f t="shared" si="18"/>
        <v>40920.3744744</v>
      </c>
      <c r="H38" s="119">
        <f t="shared" si="19"/>
        <v>41676.373287199996</v>
      </c>
      <c r="I38" s="99"/>
      <c r="J38" s="116">
        <f t="shared" si="20"/>
        <v>27809.5472372</v>
      </c>
      <c r="K38" s="108">
        <f t="shared" si="21"/>
        <v>28187.546643599999</v>
      </c>
      <c r="L38" s="108">
        <f t="shared" si="22"/>
        <v>4460.3292000000001</v>
      </c>
      <c r="M38" s="108">
        <f t="shared" si="23"/>
        <v>5487.5015000000003</v>
      </c>
      <c r="N38" s="116">
        <f t="shared" si="24"/>
        <v>6514.6737999999996</v>
      </c>
      <c r="O38" s="116">
        <f t="shared" si="26"/>
        <v>2567.93075</v>
      </c>
      <c r="P38" s="20">
        <f t="shared" si="27"/>
        <v>80654</v>
      </c>
      <c r="Q38" s="118">
        <f t="shared" si="28"/>
        <v>77721</v>
      </c>
      <c r="R38" s="98"/>
      <c r="S38" s="98"/>
      <c r="T38" s="18">
        <v>5721</v>
      </c>
      <c r="U38" s="98"/>
      <c r="V38" s="98">
        <f t="shared" si="29"/>
        <v>12217.333333333334</v>
      </c>
      <c r="W38" s="18">
        <v>9000</v>
      </c>
      <c r="X38" s="109" t="s">
        <v>284</v>
      </c>
      <c r="Y38" s="110"/>
      <c r="Z38" s="110"/>
      <c r="AA38" s="110"/>
      <c r="AB38" s="98"/>
      <c r="AC38" s="98"/>
      <c r="AD38" s="98">
        <v>2136</v>
      </c>
      <c r="AE38" s="97">
        <v>11365</v>
      </c>
      <c r="AF38" s="98">
        <v>18158</v>
      </c>
      <c r="AG38" s="98">
        <v>24401</v>
      </c>
      <c r="AH38" s="97">
        <v>31386</v>
      </c>
      <c r="AI38" s="111" t="s">
        <v>16</v>
      </c>
      <c r="AJ38" s="111">
        <v>5</v>
      </c>
      <c r="AK38" s="111">
        <v>10640</v>
      </c>
      <c r="AL38" s="111">
        <v>914</v>
      </c>
      <c r="AM38" s="111">
        <v>150</v>
      </c>
      <c r="AN38" s="111">
        <f t="shared" si="7"/>
        <v>750</v>
      </c>
      <c r="AO38" s="111"/>
      <c r="AP38" s="111">
        <f t="shared" si="30"/>
        <v>12454</v>
      </c>
      <c r="AQ38" s="111" t="s">
        <v>281</v>
      </c>
      <c r="AR38" s="111"/>
      <c r="AS38" s="111"/>
      <c r="AT38" s="111"/>
      <c r="AU38" s="97">
        <v>0.6</v>
      </c>
    </row>
    <row r="39" spans="1:47" ht="14.4" customHeight="1" x14ac:dyDescent="0.3">
      <c r="A39" s="88">
        <v>37</v>
      </c>
      <c r="B39" s="88" t="s">
        <v>65</v>
      </c>
      <c r="C39" s="88" t="s">
        <v>309</v>
      </c>
      <c r="D39" s="88" t="str">
        <f t="shared" si="9"/>
        <v>Venue 1.2 E MT</v>
      </c>
      <c r="E39" s="18">
        <v>794100</v>
      </c>
      <c r="F39" s="107" t="str">
        <f t="shared" si="25"/>
        <v/>
      </c>
      <c r="G39" s="119">
        <f t="shared" si="18"/>
        <v>37423.390760800001</v>
      </c>
      <c r="H39" s="119">
        <f t="shared" si="19"/>
        <v>38078.567730399998</v>
      </c>
      <c r="I39" s="99"/>
      <c r="J39" s="116">
        <f t="shared" si="20"/>
        <v>26061.055380400005</v>
      </c>
      <c r="K39" s="108">
        <f t="shared" si="21"/>
        <v>26388.6438652</v>
      </c>
      <c r="L39" s="108">
        <f t="shared" si="22"/>
        <v>3912.3843999999999</v>
      </c>
      <c r="M39" s="108">
        <f t="shared" si="23"/>
        <v>4802.5704999999998</v>
      </c>
      <c r="N39" s="116">
        <f t="shared" si="24"/>
        <v>5692.7565999999997</v>
      </c>
      <c r="O39" s="116">
        <f t="shared" si="26"/>
        <v>2225.4652499999997</v>
      </c>
      <c r="P39" s="20">
        <f t="shared" si="27"/>
        <v>70878</v>
      </c>
      <c r="Q39" s="118">
        <f t="shared" si="28"/>
        <v>69167</v>
      </c>
      <c r="R39" s="98"/>
      <c r="S39" s="98"/>
      <c r="T39" s="18">
        <v>9994</v>
      </c>
      <c r="U39" s="98"/>
      <c r="V39" s="98">
        <f t="shared" si="29"/>
        <v>10588</v>
      </c>
      <c r="W39" s="18">
        <v>9500</v>
      </c>
      <c r="X39" s="109" t="s">
        <v>282</v>
      </c>
      <c r="Y39" s="110"/>
      <c r="Z39" s="110"/>
      <c r="AA39" s="110"/>
      <c r="AB39" s="98"/>
      <c r="AC39" s="98"/>
      <c r="AD39" s="98">
        <v>2136</v>
      </c>
      <c r="AE39" s="97">
        <v>11365</v>
      </c>
      <c r="AF39" s="98">
        <v>18158</v>
      </c>
      <c r="AG39" s="98">
        <v>24401</v>
      </c>
      <c r="AH39" s="97">
        <v>31386</v>
      </c>
      <c r="AI39" s="111" t="s">
        <v>16</v>
      </c>
      <c r="AJ39" s="111">
        <v>5</v>
      </c>
      <c r="AK39" s="111">
        <v>10640</v>
      </c>
      <c r="AL39" s="111">
        <v>914</v>
      </c>
      <c r="AM39" s="111">
        <v>150</v>
      </c>
      <c r="AN39" s="111">
        <f t="shared" si="7"/>
        <v>750</v>
      </c>
      <c r="AO39" s="111"/>
      <c r="AP39" s="111">
        <f t="shared" si="30"/>
        <v>12454</v>
      </c>
      <c r="AQ39" s="111" t="s">
        <v>281</v>
      </c>
      <c r="AR39" s="111"/>
      <c r="AS39" s="111"/>
      <c r="AT39" s="111"/>
      <c r="AU39" s="97">
        <v>0.6</v>
      </c>
    </row>
    <row r="40" spans="1:47" ht="14.4" x14ac:dyDescent="0.3">
      <c r="A40" s="88">
        <v>38</v>
      </c>
      <c r="B40" s="88" t="s">
        <v>65</v>
      </c>
      <c r="C40" s="88" t="s">
        <v>310</v>
      </c>
      <c r="D40" s="88" t="str">
        <f t="shared" si="9"/>
        <v>Venue 1.2 S MT</v>
      </c>
      <c r="E40" s="18">
        <v>910800</v>
      </c>
      <c r="F40" s="107" t="str">
        <f t="shared" si="25"/>
        <v/>
      </c>
      <c r="G40" s="119">
        <f t="shared" si="18"/>
        <v>40762.981590399999</v>
      </c>
      <c r="H40" s="119">
        <f t="shared" si="19"/>
        <v>41514.442595200002</v>
      </c>
      <c r="I40" s="99"/>
      <c r="J40" s="116">
        <f t="shared" si="20"/>
        <v>27730.8507952</v>
      </c>
      <c r="K40" s="108">
        <f t="shared" si="21"/>
        <v>28106.581297600002</v>
      </c>
      <c r="L40" s="108">
        <f t="shared" si="22"/>
        <v>4435.6671999999999</v>
      </c>
      <c r="M40" s="108">
        <f t="shared" si="23"/>
        <v>5456.674</v>
      </c>
      <c r="N40" s="116">
        <f t="shared" si="24"/>
        <v>6477.6808000000001</v>
      </c>
      <c r="O40" s="116">
        <f t="shared" si="26"/>
        <v>2552.5170000000003</v>
      </c>
      <c r="P40" s="20">
        <f t="shared" si="27"/>
        <v>80214</v>
      </c>
      <c r="Q40" s="118">
        <f t="shared" si="28"/>
        <v>77336</v>
      </c>
      <c r="R40" s="98"/>
      <c r="S40" s="98"/>
      <c r="T40" s="18">
        <v>9994</v>
      </c>
      <c r="U40" s="98"/>
      <c r="V40" s="98">
        <f t="shared" si="29"/>
        <v>12144</v>
      </c>
      <c r="W40" s="18">
        <v>9500</v>
      </c>
      <c r="X40" s="109" t="s">
        <v>282</v>
      </c>
      <c r="Y40" s="110"/>
      <c r="Z40" s="110"/>
      <c r="AA40" s="110"/>
      <c r="AB40" s="98"/>
      <c r="AC40" s="98"/>
      <c r="AD40" s="98">
        <v>2136</v>
      </c>
      <c r="AE40" s="97">
        <v>11365</v>
      </c>
      <c r="AF40" s="98">
        <v>18158</v>
      </c>
      <c r="AG40" s="98">
        <v>24401</v>
      </c>
      <c r="AH40" s="97">
        <v>31386</v>
      </c>
      <c r="AI40" s="111" t="s">
        <v>16</v>
      </c>
      <c r="AJ40" s="111">
        <v>5</v>
      </c>
      <c r="AK40" s="111">
        <v>10640</v>
      </c>
      <c r="AL40" s="111">
        <v>914</v>
      </c>
      <c r="AM40" s="111">
        <v>150</v>
      </c>
      <c r="AN40" s="111">
        <f t="shared" si="7"/>
        <v>750</v>
      </c>
      <c r="AO40" s="111"/>
      <c r="AP40" s="111">
        <f t="shared" si="30"/>
        <v>12454</v>
      </c>
      <c r="AQ40" s="111" t="s">
        <v>281</v>
      </c>
      <c r="AR40" s="111"/>
      <c r="AS40" s="111"/>
      <c r="AT40" s="111"/>
      <c r="AU40" s="97">
        <v>0.6</v>
      </c>
    </row>
    <row r="41" spans="1:47" ht="14.4" x14ac:dyDescent="0.3">
      <c r="A41" s="88">
        <v>39</v>
      </c>
      <c r="B41" s="88" t="s">
        <v>65</v>
      </c>
      <c r="C41" s="88" t="s">
        <v>714</v>
      </c>
      <c r="D41" s="88" t="str">
        <f t="shared" si="9"/>
        <v>Venue 1.2 S O MT</v>
      </c>
      <c r="E41" s="18">
        <v>988800</v>
      </c>
      <c r="F41" s="107" t="str">
        <f t="shared" si="25"/>
        <v/>
      </c>
      <c r="G41" s="119">
        <f t="shared" si="18"/>
        <v>42995.098854399999</v>
      </c>
      <c r="H41" s="119">
        <f t="shared" si="19"/>
        <v>43810.914227200003</v>
      </c>
      <c r="I41" s="99"/>
      <c r="J41" s="116">
        <f t="shared" si="20"/>
        <v>28846.9094272</v>
      </c>
      <c r="K41" s="108">
        <f t="shared" si="21"/>
        <v>29254.817113600002</v>
      </c>
      <c r="L41" s="108">
        <f t="shared" si="22"/>
        <v>4785.4192000000003</v>
      </c>
      <c r="M41" s="108">
        <f t="shared" si="23"/>
        <v>5893.8640000000005</v>
      </c>
      <c r="N41" s="116">
        <f t="shared" si="24"/>
        <v>7002.3087999999998</v>
      </c>
      <c r="O41" s="116">
        <f t="shared" si="26"/>
        <v>2771.1120000000001</v>
      </c>
      <c r="P41" s="20">
        <f t="shared" si="27"/>
        <v>86454</v>
      </c>
      <c r="Q41" s="118">
        <f t="shared" si="28"/>
        <v>82796</v>
      </c>
      <c r="R41" s="98"/>
      <c r="S41" s="98"/>
      <c r="T41" s="18">
        <v>9994</v>
      </c>
      <c r="U41" s="98"/>
      <c r="V41" s="98">
        <f t="shared" si="29"/>
        <v>13184</v>
      </c>
      <c r="W41" s="18">
        <v>9500</v>
      </c>
      <c r="X41" s="109" t="s">
        <v>282</v>
      </c>
      <c r="Y41" s="110"/>
      <c r="Z41" s="110"/>
      <c r="AA41" s="110"/>
      <c r="AB41" s="98"/>
      <c r="AC41" s="98"/>
      <c r="AD41" s="98">
        <v>2136</v>
      </c>
      <c r="AE41" s="97">
        <v>11365</v>
      </c>
      <c r="AF41" s="98">
        <v>18158</v>
      </c>
      <c r="AG41" s="98">
        <v>24401</v>
      </c>
      <c r="AH41" s="97">
        <v>31386</v>
      </c>
      <c r="AI41" s="111" t="s">
        <v>16</v>
      </c>
      <c r="AJ41" s="111">
        <v>5</v>
      </c>
      <c r="AK41" s="111">
        <v>10640</v>
      </c>
      <c r="AL41" s="111">
        <v>914</v>
      </c>
      <c r="AM41" s="111">
        <v>150</v>
      </c>
      <c r="AN41" s="111">
        <f t="shared" si="7"/>
        <v>750</v>
      </c>
      <c r="AO41" s="111"/>
      <c r="AP41" s="111">
        <f t="shared" si="30"/>
        <v>12454</v>
      </c>
      <c r="AQ41" s="111" t="s">
        <v>281</v>
      </c>
      <c r="AR41" s="111"/>
      <c r="AS41" s="111"/>
      <c r="AT41" s="111"/>
      <c r="AU41" s="97">
        <v>0.6</v>
      </c>
    </row>
    <row r="42" spans="1:47" ht="14.4" x14ac:dyDescent="0.3">
      <c r="A42" s="88">
        <v>40</v>
      </c>
      <c r="B42" s="88" t="s">
        <v>65</v>
      </c>
      <c r="C42" s="88" t="s">
        <v>715</v>
      </c>
      <c r="D42" s="88" t="str">
        <f t="shared" si="9"/>
        <v>Venue 1.2 S O Knight MT</v>
      </c>
      <c r="E42" s="18">
        <v>1012500</v>
      </c>
      <c r="F42" s="107">
        <f t="shared" si="25"/>
        <v>10125</v>
      </c>
      <c r="G42" s="119">
        <f t="shared" si="18"/>
        <v>43673.319100000001</v>
      </c>
      <c r="H42" s="119">
        <f t="shared" si="19"/>
        <v>44508.688299999994</v>
      </c>
      <c r="I42" s="99"/>
      <c r="J42" s="116">
        <f t="shared" si="20"/>
        <v>29186.019550000001</v>
      </c>
      <c r="K42" s="108">
        <f t="shared" si="21"/>
        <v>29603.704149999998</v>
      </c>
      <c r="L42" s="108">
        <f t="shared" si="22"/>
        <v>4891.6899999999996</v>
      </c>
      <c r="M42" s="108">
        <f t="shared" si="23"/>
        <v>6026.7025000000003</v>
      </c>
      <c r="N42" s="116">
        <f t="shared" si="24"/>
        <v>7161.7150000000001</v>
      </c>
      <c r="O42" s="116">
        <f t="shared" si="26"/>
        <v>2837.53125</v>
      </c>
      <c r="P42" s="20">
        <f t="shared" si="27"/>
        <v>108600</v>
      </c>
      <c r="Q42" s="118">
        <f t="shared" si="28"/>
        <v>114830</v>
      </c>
      <c r="R42" s="98"/>
      <c r="S42" s="98"/>
      <c r="T42" s="18">
        <v>9994</v>
      </c>
      <c r="U42" s="98"/>
      <c r="V42" s="98">
        <f t="shared" si="29"/>
        <v>16875</v>
      </c>
      <c r="W42" s="18">
        <v>9500</v>
      </c>
      <c r="X42" s="109" t="s">
        <v>282</v>
      </c>
      <c r="Y42" s="110"/>
      <c r="Z42" s="110"/>
      <c r="AA42" s="110"/>
      <c r="AB42" s="98"/>
      <c r="AC42" s="98"/>
      <c r="AD42" s="98">
        <v>2136</v>
      </c>
      <c r="AE42" s="97">
        <v>11365</v>
      </c>
      <c r="AF42" s="98">
        <v>18158</v>
      </c>
      <c r="AG42" s="98">
        <v>24401</v>
      </c>
      <c r="AH42" s="97">
        <v>31386</v>
      </c>
      <c r="AI42" s="111" t="s">
        <v>16</v>
      </c>
      <c r="AJ42" s="111">
        <v>5</v>
      </c>
      <c r="AK42" s="111">
        <v>10640</v>
      </c>
      <c r="AL42" s="111">
        <v>914</v>
      </c>
      <c r="AM42" s="111">
        <v>150</v>
      </c>
      <c r="AN42" s="111">
        <f t="shared" si="7"/>
        <v>750</v>
      </c>
      <c r="AO42" s="111"/>
      <c r="AP42" s="111">
        <f t="shared" si="30"/>
        <v>12454</v>
      </c>
      <c r="AQ42" s="111" t="s">
        <v>281</v>
      </c>
      <c r="AR42" s="111"/>
      <c r="AS42" s="111"/>
      <c r="AT42" s="111"/>
      <c r="AU42" s="97">
        <v>0.6</v>
      </c>
    </row>
    <row r="43" spans="1:47" ht="14.4" x14ac:dyDescent="0.3">
      <c r="A43" s="88">
        <v>41</v>
      </c>
      <c r="B43" s="88" t="s">
        <v>65</v>
      </c>
      <c r="C43" s="88" t="s">
        <v>311</v>
      </c>
      <c r="D43" s="88" t="str">
        <f t="shared" si="9"/>
        <v>Venue 1.2 SX MT</v>
      </c>
      <c r="E43" s="18">
        <v>1105300</v>
      </c>
      <c r="F43" s="107">
        <f t="shared" si="25"/>
        <v>11053</v>
      </c>
      <c r="G43" s="119">
        <f t="shared" si="18"/>
        <v>46328.966306399998</v>
      </c>
      <c r="H43" s="119">
        <f t="shared" si="19"/>
        <v>47240.900703200001</v>
      </c>
      <c r="I43" s="99"/>
      <c r="J43" s="116">
        <f t="shared" si="20"/>
        <v>30513.8431532</v>
      </c>
      <c r="K43" s="108">
        <f t="shared" si="21"/>
        <v>30969.810351600001</v>
      </c>
      <c r="L43" s="108">
        <f t="shared" si="22"/>
        <v>5307.8052000000007</v>
      </c>
      <c r="M43" s="108">
        <f t="shared" si="23"/>
        <v>6546.8465000000006</v>
      </c>
      <c r="N43" s="116">
        <f t="shared" si="24"/>
        <v>7785.8878000000004</v>
      </c>
      <c r="O43" s="116">
        <f t="shared" si="26"/>
        <v>3097.6032500000001</v>
      </c>
      <c r="P43" s="20">
        <f t="shared" si="27"/>
        <v>117880</v>
      </c>
      <c r="Q43" s="118">
        <f t="shared" si="28"/>
        <v>124110</v>
      </c>
      <c r="R43" s="98"/>
      <c r="S43" s="98"/>
      <c r="T43" s="18">
        <v>9994</v>
      </c>
      <c r="U43" s="98"/>
      <c r="V43" s="98">
        <f t="shared" si="29"/>
        <v>18421.666666666668</v>
      </c>
      <c r="W43" s="18">
        <v>9500</v>
      </c>
      <c r="X43" s="109" t="s">
        <v>282</v>
      </c>
      <c r="Y43" s="110"/>
      <c r="Z43" s="110"/>
      <c r="AA43" s="110"/>
      <c r="AB43" s="98"/>
      <c r="AC43" s="98"/>
      <c r="AD43" s="98">
        <v>2136</v>
      </c>
      <c r="AE43" s="97">
        <v>11365</v>
      </c>
      <c r="AF43" s="98">
        <v>18158</v>
      </c>
      <c r="AG43" s="98">
        <v>24401</v>
      </c>
      <c r="AH43" s="97">
        <v>31386</v>
      </c>
      <c r="AI43" s="111" t="s">
        <v>16</v>
      </c>
      <c r="AJ43" s="111">
        <v>5</v>
      </c>
      <c r="AK43" s="111">
        <v>10640</v>
      </c>
      <c r="AL43" s="111">
        <v>914</v>
      </c>
      <c r="AM43" s="111">
        <v>150</v>
      </c>
      <c r="AN43" s="111">
        <f t="shared" si="7"/>
        <v>750</v>
      </c>
      <c r="AO43" s="111"/>
      <c r="AP43" s="111">
        <f t="shared" si="30"/>
        <v>12454</v>
      </c>
      <c r="AQ43" s="111" t="s">
        <v>281</v>
      </c>
      <c r="AR43" s="111"/>
      <c r="AS43" s="111"/>
      <c r="AT43" s="111"/>
      <c r="AU43" s="97">
        <v>0.6</v>
      </c>
    </row>
    <row r="44" spans="1:47" ht="14.4" x14ac:dyDescent="0.3">
      <c r="A44" s="88">
        <v>42</v>
      </c>
      <c r="B44" s="88" t="s">
        <v>65</v>
      </c>
      <c r="C44" s="88" t="s">
        <v>312</v>
      </c>
      <c r="D44" s="88" t="str">
        <f t="shared" si="9"/>
        <v>Venue 1.2 SX DT MT</v>
      </c>
      <c r="E44" s="18">
        <v>1120300</v>
      </c>
      <c r="F44" s="107">
        <f t="shared" si="25"/>
        <v>11203</v>
      </c>
      <c r="G44" s="119">
        <f t="shared" si="18"/>
        <v>46758.219626399994</v>
      </c>
      <c r="H44" s="119">
        <f t="shared" si="19"/>
        <v>47682.529863200005</v>
      </c>
      <c r="I44" s="99"/>
      <c r="J44" s="116">
        <f t="shared" si="20"/>
        <v>30728.469813199998</v>
      </c>
      <c r="K44" s="108">
        <f t="shared" si="21"/>
        <v>31190.624931600003</v>
      </c>
      <c r="L44" s="108">
        <f t="shared" si="22"/>
        <v>5375.0652</v>
      </c>
      <c r="M44" s="108">
        <f t="shared" si="23"/>
        <v>6630.9215000000004</v>
      </c>
      <c r="N44" s="116">
        <f t="shared" si="24"/>
        <v>7886.7777999999998</v>
      </c>
      <c r="O44" s="116">
        <f t="shared" si="26"/>
        <v>3139.64075</v>
      </c>
      <c r="P44" s="20">
        <f t="shared" si="27"/>
        <v>119380</v>
      </c>
      <c r="Q44" s="118">
        <f t="shared" si="28"/>
        <v>125610</v>
      </c>
      <c r="R44" s="98"/>
      <c r="S44" s="98"/>
      <c r="T44" s="18">
        <v>9994</v>
      </c>
      <c r="U44" s="98"/>
      <c r="V44" s="98">
        <f t="shared" si="29"/>
        <v>18671.666666666668</v>
      </c>
      <c r="W44" s="18">
        <v>9500</v>
      </c>
      <c r="X44" s="109" t="s">
        <v>282</v>
      </c>
      <c r="Y44" s="110"/>
      <c r="Z44" s="110"/>
      <c r="AA44" s="110"/>
      <c r="AB44" s="98"/>
      <c r="AC44" s="98"/>
      <c r="AD44" s="98">
        <v>2136</v>
      </c>
      <c r="AE44" s="97">
        <v>11365</v>
      </c>
      <c r="AF44" s="98">
        <v>18158</v>
      </c>
      <c r="AG44" s="98">
        <v>24401</v>
      </c>
      <c r="AH44" s="97">
        <v>31386</v>
      </c>
      <c r="AI44" s="111" t="s">
        <v>16</v>
      </c>
      <c r="AJ44" s="111">
        <v>5</v>
      </c>
      <c r="AK44" s="111">
        <v>10640</v>
      </c>
      <c r="AL44" s="111">
        <v>914</v>
      </c>
      <c r="AM44" s="111">
        <v>150</v>
      </c>
      <c r="AN44" s="111">
        <f t="shared" si="7"/>
        <v>750</v>
      </c>
      <c r="AO44" s="111"/>
      <c r="AP44" s="111">
        <f t="shared" si="30"/>
        <v>12454</v>
      </c>
      <c r="AQ44" s="111" t="s">
        <v>281</v>
      </c>
      <c r="AR44" s="111"/>
      <c r="AS44" s="111"/>
      <c r="AT44" s="111"/>
      <c r="AU44" s="97">
        <v>0.6</v>
      </c>
    </row>
    <row r="45" spans="1:47" ht="14.4" x14ac:dyDescent="0.3">
      <c r="A45" s="88">
        <v>43</v>
      </c>
      <c r="B45" s="88" t="s">
        <v>65</v>
      </c>
      <c r="C45" s="88" t="s">
        <v>313</v>
      </c>
      <c r="D45" s="88" t="str">
        <f t="shared" si="9"/>
        <v>Venue 1.2 SX Knight MT</v>
      </c>
      <c r="E45" s="18">
        <v>1138200</v>
      </c>
      <c r="F45" s="107">
        <f t="shared" si="25"/>
        <v>11382</v>
      </c>
      <c r="G45" s="119">
        <f t="shared" si="18"/>
        <v>47270.461921599999</v>
      </c>
      <c r="H45" s="119">
        <f t="shared" si="19"/>
        <v>48209.540660799998</v>
      </c>
      <c r="I45" s="99"/>
      <c r="J45" s="116">
        <f t="shared" si="20"/>
        <v>30984.590960800004</v>
      </c>
      <c r="K45" s="108">
        <f t="shared" si="21"/>
        <v>31454.130330399999</v>
      </c>
      <c r="L45" s="108">
        <f t="shared" si="22"/>
        <v>5455.3287999999993</v>
      </c>
      <c r="M45" s="108">
        <f t="shared" si="23"/>
        <v>6731.2510000000002</v>
      </c>
      <c r="N45" s="116">
        <f t="shared" si="24"/>
        <v>8007.1731999999993</v>
      </c>
      <c r="O45" s="116">
        <f t="shared" si="26"/>
        <v>3189.8054999999999</v>
      </c>
      <c r="P45" s="20">
        <f t="shared" si="27"/>
        <v>121170</v>
      </c>
      <c r="Q45" s="118">
        <f t="shared" si="28"/>
        <v>127400</v>
      </c>
      <c r="R45" s="98"/>
      <c r="S45" s="98"/>
      <c r="T45" s="18">
        <v>9994</v>
      </c>
      <c r="U45" s="98"/>
      <c r="V45" s="98">
        <f t="shared" si="29"/>
        <v>18970</v>
      </c>
      <c r="W45" s="18">
        <v>9500</v>
      </c>
      <c r="X45" s="109" t="s">
        <v>282</v>
      </c>
      <c r="Y45" s="110"/>
      <c r="Z45" s="110"/>
      <c r="AA45" s="110"/>
      <c r="AB45" s="98"/>
      <c r="AC45" s="98"/>
      <c r="AD45" s="98">
        <v>2136</v>
      </c>
      <c r="AE45" s="97">
        <v>11365</v>
      </c>
      <c r="AF45" s="98">
        <v>18158</v>
      </c>
      <c r="AG45" s="98">
        <v>24401</v>
      </c>
      <c r="AH45" s="97">
        <v>31386</v>
      </c>
      <c r="AI45" s="111" t="s">
        <v>16</v>
      </c>
      <c r="AJ45" s="111">
        <v>5</v>
      </c>
      <c r="AK45" s="111">
        <v>10640</v>
      </c>
      <c r="AL45" s="111">
        <v>914</v>
      </c>
      <c r="AM45" s="111">
        <v>150</v>
      </c>
      <c r="AN45" s="111">
        <f t="shared" si="7"/>
        <v>750</v>
      </c>
      <c r="AO45" s="111"/>
      <c r="AP45" s="111">
        <f t="shared" si="30"/>
        <v>12454</v>
      </c>
      <c r="AQ45" s="111" t="s">
        <v>281</v>
      </c>
      <c r="AR45" s="111"/>
      <c r="AS45" s="111"/>
      <c r="AT45" s="111"/>
      <c r="AU45" s="97">
        <v>0.6</v>
      </c>
    </row>
    <row r="46" spans="1:47" ht="14.4" x14ac:dyDescent="0.3">
      <c r="A46" s="88">
        <v>44</v>
      </c>
      <c r="B46" s="88" t="s">
        <v>65</v>
      </c>
      <c r="C46" s="88" t="s">
        <v>314</v>
      </c>
      <c r="D46" s="88" t="str">
        <f t="shared" si="9"/>
        <v>Venue 1.2 SX DT Knight MT</v>
      </c>
      <c r="E46" s="18">
        <v>1153200</v>
      </c>
      <c r="F46" s="107">
        <f t="shared" si="25"/>
        <v>11532</v>
      </c>
      <c r="G46" s="119">
        <f t="shared" si="18"/>
        <v>47699.715241600003</v>
      </c>
      <c r="H46" s="119">
        <f t="shared" si="19"/>
        <v>48651.169820799994</v>
      </c>
      <c r="I46" s="99"/>
      <c r="J46" s="116">
        <f t="shared" si="20"/>
        <v>31199.217620800002</v>
      </c>
      <c r="K46" s="108">
        <f t="shared" si="21"/>
        <v>31674.944910399998</v>
      </c>
      <c r="L46" s="108">
        <f t="shared" si="22"/>
        <v>5522.5887999999995</v>
      </c>
      <c r="M46" s="108">
        <f t="shared" si="23"/>
        <v>6815.326</v>
      </c>
      <c r="N46" s="116">
        <f t="shared" si="24"/>
        <v>8108.0631999999996</v>
      </c>
      <c r="O46" s="116">
        <f t="shared" si="26"/>
        <v>3231.8429999999998</v>
      </c>
      <c r="P46" s="20">
        <f t="shared" si="27"/>
        <v>122670</v>
      </c>
      <c r="Q46" s="118">
        <f t="shared" si="28"/>
        <v>128900</v>
      </c>
      <c r="R46" s="98"/>
      <c r="S46" s="98"/>
      <c r="T46" s="18">
        <v>9994</v>
      </c>
      <c r="U46" s="98"/>
      <c r="V46" s="98">
        <f t="shared" si="29"/>
        <v>19220</v>
      </c>
      <c r="W46" s="18">
        <v>9500</v>
      </c>
      <c r="X46" s="109" t="s">
        <v>282</v>
      </c>
      <c r="Y46" s="110"/>
      <c r="Z46" s="110"/>
      <c r="AA46" s="110"/>
      <c r="AB46" s="98"/>
      <c r="AC46" s="98"/>
      <c r="AD46" s="98">
        <v>2136</v>
      </c>
      <c r="AE46" s="97">
        <v>11365</v>
      </c>
      <c r="AF46" s="98">
        <v>18158</v>
      </c>
      <c r="AG46" s="98">
        <v>24401</v>
      </c>
      <c r="AH46" s="97">
        <v>31386</v>
      </c>
      <c r="AI46" s="111" t="s">
        <v>16</v>
      </c>
      <c r="AJ46" s="111">
        <v>5</v>
      </c>
      <c r="AK46" s="111">
        <v>10640</v>
      </c>
      <c r="AL46" s="111">
        <v>914</v>
      </c>
      <c r="AM46" s="111">
        <v>150</v>
      </c>
      <c r="AN46" s="111">
        <f t="shared" si="7"/>
        <v>750</v>
      </c>
      <c r="AO46" s="111"/>
      <c r="AP46" s="111">
        <f t="shared" si="30"/>
        <v>12454</v>
      </c>
      <c r="AQ46" s="111" t="s">
        <v>281</v>
      </c>
      <c r="AR46" s="111"/>
      <c r="AS46" s="111"/>
      <c r="AT46" s="111"/>
      <c r="AU46" s="97">
        <v>0.6</v>
      </c>
    </row>
    <row r="47" spans="1:47" ht="14.4" x14ac:dyDescent="0.3">
      <c r="A47" s="88">
        <v>45</v>
      </c>
      <c r="B47" s="88" t="s">
        <v>65</v>
      </c>
      <c r="C47" s="88" t="s">
        <v>716</v>
      </c>
      <c r="D47" s="88" t="str">
        <f t="shared" si="9"/>
        <v>Venue 1.0 T S O MT</v>
      </c>
      <c r="E47" s="18">
        <v>1040200</v>
      </c>
      <c r="F47" s="107">
        <f t="shared" si="25"/>
        <v>10402</v>
      </c>
      <c r="G47" s="119">
        <f>+((E47-E47*0.05)*0.03039)-(((E47-E47*0.05)*0.03039)*0.2)+AP47+(((E47-E47*0.05)*0.03039)-(((E47-E47*0.05)*0.03039)*0.2)+AP47)*0.18+3</f>
        <v>38187.652830400002</v>
      </c>
      <c r="H47" s="119">
        <f>+((E47-E47*0.05)*0.03127)-(((E47-E47*0.05)*0.03127)*0.2)+AP47+(((E47-E47*0.05)*0.03127)-(((E47-E47*0.05)*0.03127)*0.2)+AP47)*0.18+3</f>
        <v>39008.562027200001</v>
      </c>
      <c r="I47" s="99"/>
      <c r="J47" s="116">
        <f>+((E47-E47*0.05)*0.03039)-(((E47-E47*0.05)*0.03039)*AU47)+AP47+(((E47-E47*0.05)*0.03039)-(((E47-E47*0.05)*0.03039)*AU47)+AP47)*0.18+3</f>
        <v>38187.652830400002</v>
      </c>
      <c r="K47" s="108">
        <f>+((E47-E47*0.05)*0.03127)-(((E47-E47*0.05)*0.03127)*AU47)+AP47+(((E47-E47*0.05)*0.03127)-(((E47-E47*0.05)*0.03127)*AU47)+AP47)*0.18+3</f>
        <v>39008.562027200001</v>
      </c>
      <c r="L47" s="116">
        <f t="shared" ref="L47:L78" si="31">(((E47*95%)*0.45%)+298)+((((E47*95%)*0.45%)+298)*18%)</f>
        <v>5598.9289000000008</v>
      </c>
      <c r="M47" s="116">
        <f t="shared" ref="M47:M64" si="32">(((E47*95%)*0.55%)+298)+((((E47*95%)*0.55%)+298)*18%)</f>
        <v>6764.9931000000015</v>
      </c>
      <c r="N47" s="116">
        <f t="shared" ref="N47:N78" si="33">(((E47*95%)*0.65%)+298)+((((E47*95%)*0.65%)+298)*18%)</f>
        <v>7931.0573000000004</v>
      </c>
      <c r="O47" s="116">
        <f t="shared" si="26"/>
        <v>2915.1605</v>
      </c>
      <c r="P47" s="20">
        <f t="shared" si="27"/>
        <v>111370</v>
      </c>
      <c r="Q47" s="118">
        <f t="shared" si="28"/>
        <v>117600</v>
      </c>
      <c r="R47" s="98"/>
      <c r="S47" s="98"/>
      <c r="T47" s="18">
        <v>9994</v>
      </c>
      <c r="U47" s="98"/>
      <c r="V47" s="98">
        <f t="shared" si="29"/>
        <v>17336.666666666668</v>
      </c>
      <c r="W47" s="18">
        <v>9500</v>
      </c>
      <c r="X47" s="109" t="s">
        <v>282</v>
      </c>
      <c r="Y47" s="98"/>
      <c r="Z47" s="98"/>
      <c r="AA47" s="98"/>
      <c r="AB47" s="98"/>
      <c r="AC47" s="98"/>
      <c r="AD47" s="98">
        <v>2136</v>
      </c>
      <c r="AE47" s="97">
        <v>9554</v>
      </c>
      <c r="AF47" s="98">
        <v>15680</v>
      </c>
      <c r="AG47" s="98">
        <v>21288</v>
      </c>
      <c r="AH47" s="97">
        <v>27501</v>
      </c>
      <c r="AI47" s="111" t="s">
        <v>16</v>
      </c>
      <c r="AJ47" s="111">
        <v>5</v>
      </c>
      <c r="AK47" s="111">
        <v>6521</v>
      </c>
      <c r="AL47" s="111">
        <v>914</v>
      </c>
      <c r="AM47" s="111">
        <v>150</v>
      </c>
      <c r="AN47" s="111">
        <f>150*AJ47</f>
        <v>750</v>
      </c>
      <c r="AO47" s="111"/>
      <c r="AP47" s="111">
        <f t="shared" si="30"/>
        <v>8335</v>
      </c>
      <c r="AQ47" s="111" t="s">
        <v>285</v>
      </c>
      <c r="AR47" s="111"/>
      <c r="AS47" s="111"/>
      <c r="AT47" s="111"/>
      <c r="AU47" s="97">
        <v>0.2</v>
      </c>
    </row>
    <row r="48" spans="1:47" ht="14.4" x14ac:dyDescent="0.3">
      <c r="A48" s="88">
        <v>46</v>
      </c>
      <c r="B48" s="88" t="s">
        <v>65</v>
      </c>
      <c r="C48" s="88" t="s">
        <v>717</v>
      </c>
      <c r="D48" s="88" t="str">
        <f t="shared" si="9"/>
        <v>Venue 1.0 T SX O MT</v>
      </c>
      <c r="E48" s="18">
        <v>1244200</v>
      </c>
      <c r="F48" s="107">
        <f t="shared" si="25"/>
        <v>12442</v>
      </c>
      <c r="G48" s="119">
        <f>+((E48-E48*0.05)*0.03039)-(((E48-E48*0.05)*0.03039)*0.2)+AP48+(((E48-E48*0.05)*0.03039)-(((E48-E48*0.05)*0.03039)*0.2)+AP48)*0.18+3</f>
        <v>43747.418238400001</v>
      </c>
      <c r="H48" s="119">
        <f>+((E48-E48*0.05)*0.03127)-(((E48-E48*0.05)*0.03127)*0.2)+AP48+(((E48-E48*0.05)*0.03127)-(((E48-E48*0.05)*0.03127)*0.2)+AP48)*0.18+3</f>
        <v>44729.320971200003</v>
      </c>
      <c r="I48" s="99"/>
      <c r="J48" s="116">
        <f>+((E48-E48*0.05)*0.03039)-(((E48-E48*0.05)*0.03039)*AU48)+AP48+(((E48-E48*0.05)*0.03039)-(((E48-E48*0.05)*0.03039)*AU48)+AP48)*0.18+3</f>
        <v>43747.418238400001</v>
      </c>
      <c r="K48" s="108">
        <f>+((E48-E48*0.05)*0.03127)-(((E48-E48*0.05)*0.03127)*AU48)+AP48+(((E48-E48*0.05)*0.03127)-(((E48-E48*0.05)*0.03127)*AU48)+AP48)*0.18+3</f>
        <v>44729.320971200003</v>
      </c>
      <c r="L48" s="116">
        <f t="shared" si="31"/>
        <v>6628.0069000000012</v>
      </c>
      <c r="M48" s="116">
        <f t="shared" si="32"/>
        <v>8022.7551000000003</v>
      </c>
      <c r="N48" s="116">
        <f t="shared" si="33"/>
        <v>9417.5033000000003</v>
      </c>
      <c r="O48" s="116">
        <f t="shared" si="26"/>
        <v>3486.8705</v>
      </c>
      <c r="P48" s="20">
        <f t="shared" si="27"/>
        <v>131770</v>
      </c>
      <c r="Q48" s="118">
        <f t="shared" si="28"/>
        <v>138000</v>
      </c>
      <c r="R48" s="98"/>
      <c r="S48" s="98"/>
      <c r="T48" s="18">
        <v>9994</v>
      </c>
      <c r="U48" s="98"/>
      <c r="V48" s="98">
        <f t="shared" si="29"/>
        <v>20736.666666666668</v>
      </c>
      <c r="W48" s="18">
        <v>9500</v>
      </c>
      <c r="X48" s="109" t="s">
        <v>282</v>
      </c>
      <c r="Y48" s="98"/>
      <c r="Z48" s="98"/>
      <c r="AA48" s="98"/>
      <c r="AB48" s="98"/>
      <c r="AC48" s="98"/>
      <c r="AD48" s="98">
        <v>2136</v>
      </c>
      <c r="AE48" s="97">
        <v>9554</v>
      </c>
      <c r="AF48" s="98">
        <v>15680</v>
      </c>
      <c r="AG48" s="98">
        <v>21288</v>
      </c>
      <c r="AH48" s="97">
        <v>27501</v>
      </c>
      <c r="AI48" s="111" t="s">
        <v>16</v>
      </c>
      <c r="AJ48" s="111">
        <v>5</v>
      </c>
      <c r="AK48" s="111">
        <v>6521</v>
      </c>
      <c r="AL48" s="111">
        <v>914</v>
      </c>
      <c r="AM48" s="111">
        <v>150</v>
      </c>
      <c r="AN48" s="111">
        <f>150*AJ48</f>
        <v>750</v>
      </c>
      <c r="AO48" s="111"/>
      <c r="AP48" s="111">
        <f t="shared" si="30"/>
        <v>8335</v>
      </c>
      <c r="AQ48" s="111" t="s">
        <v>285</v>
      </c>
      <c r="AR48" s="111"/>
      <c r="AS48" s="111"/>
      <c r="AT48" s="111"/>
      <c r="AU48" s="97">
        <v>0.2</v>
      </c>
    </row>
    <row r="49" spans="1:47" ht="14.4" x14ac:dyDescent="0.3">
      <c r="A49" s="88">
        <v>47</v>
      </c>
      <c r="B49" s="88" t="s">
        <v>65</v>
      </c>
      <c r="C49" s="88" t="s">
        <v>718</v>
      </c>
      <c r="D49" s="88" t="str">
        <f t="shared" si="9"/>
        <v>Venue 1.0 T SX O DT MT</v>
      </c>
      <c r="E49" s="18">
        <v>1259200</v>
      </c>
      <c r="F49" s="107">
        <f t="shared" si="25"/>
        <v>12592</v>
      </c>
      <c r="G49" s="119">
        <f>+((E49-E49*0.05)*0.03039)-(((E49-E49*0.05)*0.03039)*0.2)+AP49+(((E49-E49*0.05)*0.03039)-(((E49-E49*0.05)*0.03039)*0.2)+AP49)*0.18+3</f>
        <v>44156.224518399998</v>
      </c>
      <c r="H49" s="119">
        <f>+((E49-E49*0.05)*0.03127)-(((E49-E49*0.05)*0.03127)*0.2)+AP49+(((E49-E49*0.05)*0.03127)-(((E49-E49*0.05)*0.03127)*0.2)+AP49)*0.18+3</f>
        <v>45149.965011200002</v>
      </c>
      <c r="I49" s="99"/>
      <c r="J49" s="116">
        <f>+((E49-E49*0.05)*0.03039)-(((E49-E49*0.05)*0.03039)*AU49)+AP49+(((E49-E49*0.05)*0.03039)-(((E49-E49*0.05)*0.03039)*AU49)+AP49)*0.18+3</f>
        <v>44156.224518399998</v>
      </c>
      <c r="K49" s="108">
        <f>+((E49-E49*0.05)*0.03127)-(((E49-E49*0.05)*0.03127)*AU49)+AP49+(((E49-E49*0.05)*0.03127)-(((E49-E49*0.05)*0.03127)*AU49)+AP49)*0.18+3</f>
        <v>45149.965011200002</v>
      </c>
      <c r="L49" s="116">
        <f t="shared" si="31"/>
        <v>6703.6744000000008</v>
      </c>
      <c r="M49" s="116">
        <f t="shared" si="32"/>
        <v>8115.2376000000004</v>
      </c>
      <c r="N49" s="116">
        <f t="shared" si="33"/>
        <v>9526.8008000000009</v>
      </c>
      <c r="O49" s="116">
        <f t="shared" si="26"/>
        <v>3528.9079999999999</v>
      </c>
      <c r="P49" s="20">
        <f t="shared" si="27"/>
        <v>133270</v>
      </c>
      <c r="Q49" s="118">
        <f t="shared" si="28"/>
        <v>139500</v>
      </c>
      <c r="R49" s="98"/>
      <c r="S49" s="98"/>
      <c r="T49" s="18">
        <v>9994</v>
      </c>
      <c r="U49" s="98"/>
      <c r="V49" s="98">
        <f t="shared" si="29"/>
        <v>20986.666666666668</v>
      </c>
      <c r="W49" s="18">
        <v>9500</v>
      </c>
      <c r="X49" s="109" t="s">
        <v>282</v>
      </c>
      <c r="Y49" s="98"/>
      <c r="Z49" s="98"/>
      <c r="AA49" s="98"/>
      <c r="AB49" s="98"/>
      <c r="AC49" s="98"/>
      <c r="AD49" s="98">
        <v>2136</v>
      </c>
      <c r="AE49" s="97">
        <v>9554</v>
      </c>
      <c r="AF49" s="98">
        <v>15680</v>
      </c>
      <c r="AG49" s="98">
        <v>21288</v>
      </c>
      <c r="AH49" s="97">
        <v>27501</v>
      </c>
      <c r="AI49" s="111" t="s">
        <v>16</v>
      </c>
      <c r="AJ49" s="111">
        <v>5</v>
      </c>
      <c r="AK49" s="111">
        <v>6521</v>
      </c>
      <c r="AL49" s="111">
        <v>914</v>
      </c>
      <c r="AM49" s="111">
        <v>150</v>
      </c>
      <c r="AN49" s="111">
        <f>150*AJ49</f>
        <v>750</v>
      </c>
      <c r="AO49" s="111"/>
      <c r="AP49" s="111">
        <f t="shared" si="30"/>
        <v>8335</v>
      </c>
      <c r="AQ49" s="111" t="s">
        <v>285</v>
      </c>
      <c r="AR49" s="111"/>
      <c r="AS49" s="111"/>
      <c r="AT49" s="111"/>
      <c r="AU49" s="97">
        <v>0.2</v>
      </c>
    </row>
    <row r="50" spans="1:47" ht="14.4" x14ac:dyDescent="0.3">
      <c r="A50" s="88">
        <v>48</v>
      </c>
      <c r="B50" s="88" t="s">
        <v>65</v>
      </c>
      <c r="C50" s="88" t="s">
        <v>719</v>
      </c>
      <c r="D50" s="88" t="str">
        <f t="shared" si="9"/>
        <v>Venue 1.0 T SX O Knight MT</v>
      </c>
      <c r="E50" s="18">
        <v>1265100</v>
      </c>
      <c r="F50" s="107">
        <f t="shared" si="25"/>
        <v>12651</v>
      </c>
      <c r="G50" s="119">
        <f t="shared" ref="G50:G58" si="34">+((E50-E50*0.05)*0.03191)-(((E50-E50*0.05)*0.03191)*0.2)+AP50+(((E50-E50*0.05)*0.03191)-(((E50-E50*0.05)*0.03191)*0.2)+AP50)*0.18+3</f>
        <v>50901.945008800001</v>
      </c>
      <c r="H50" s="119">
        <f t="shared" ref="H50:H58" si="35">+((E50-E50*0.05)*0.03283)-(((E50-E50*0.05)*0.03283)*0.2)+AP50+(((E50-E50*0.05)*0.03283)-(((E50-E50*0.05)*0.03283)*0.2)+AP50)*0.18+3</f>
        <v>51945.723354399997</v>
      </c>
      <c r="I50" s="99"/>
      <c r="J50" s="116">
        <f t="shared" ref="J50:J58" si="36">+((E50-E50*0.05)*0.03191)-(((E50-E50*0.05)*0.03191)*AU50)+AP50+(((E50-E50*0.05)*0.03191)-(((E50-E50*0.05)*0.03191)*AU50)+AP50)*0.18+3</f>
        <v>50901.945008800001</v>
      </c>
      <c r="K50" s="108">
        <f t="shared" ref="K50:K58" si="37">+((E50-E50*0.05)*0.03283)-(((E50-E50*0.05)*0.03283)*AU50)+AP50+(((E50-E50*0.05)*0.03283)-(((E50-E50*0.05)*0.03283)*AU50)+AP50)*0.18+3</f>
        <v>51945.723354399997</v>
      </c>
      <c r="L50" s="116">
        <f t="shared" si="31"/>
        <v>6733.4369500000012</v>
      </c>
      <c r="M50" s="116">
        <f t="shared" si="32"/>
        <v>8151.614050000001</v>
      </c>
      <c r="N50" s="116">
        <f t="shared" si="33"/>
        <v>9569.7911500000009</v>
      </c>
      <c r="O50" s="116">
        <f t="shared" si="26"/>
        <v>3545.4427500000002</v>
      </c>
      <c r="P50" s="20">
        <f t="shared" si="27"/>
        <v>133860</v>
      </c>
      <c r="Q50" s="118">
        <f t="shared" si="28"/>
        <v>140090</v>
      </c>
      <c r="R50" s="98"/>
      <c r="S50" s="98"/>
      <c r="T50" s="18">
        <v>9994</v>
      </c>
      <c r="U50" s="98"/>
      <c r="V50" s="98">
        <f t="shared" si="29"/>
        <v>21085</v>
      </c>
      <c r="W50" s="18">
        <v>9500</v>
      </c>
      <c r="X50" s="109" t="s">
        <v>282</v>
      </c>
      <c r="Y50" s="98"/>
      <c r="Z50" s="98"/>
      <c r="AA50" s="98"/>
      <c r="AB50" s="98"/>
      <c r="AC50" s="98"/>
      <c r="AD50" s="98">
        <v>2136</v>
      </c>
      <c r="AE50" s="97">
        <v>9554</v>
      </c>
      <c r="AF50" s="98">
        <v>15680</v>
      </c>
      <c r="AG50" s="98">
        <v>21288</v>
      </c>
      <c r="AH50" s="97">
        <v>27501</v>
      </c>
      <c r="AI50" s="111" t="s">
        <v>16</v>
      </c>
      <c r="AJ50" s="111">
        <v>5</v>
      </c>
      <c r="AK50" s="111">
        <v>10640</v>
      </c>
      <c r="AL50" s="111">
        <v>914</v>
      </c>
      <c r="AM50" s="111">
        <v>150</v>
      </c>
      <c r="AN50" s="111">
        <f t="shared" ref="AN50:AN58" si="38">AJ50*150</f>
        <v>750</v>
      </c>
      <c r="AO50" s="111"/>
      <c r="AP50" s="111">
        <f t="shared" si="30"/>
        <v>12454</v>
      </c>
      <c r="AQ50" s="111" t="s">
        <v>281</v>
      </c>
      <c r="AR50" s="111"/>
      <c r="AS50" s="111"/>
      <c r="AT50" s="111">
        <v>20000</v>
      </c>
      <c r="AU50" s="97">
        <v>0.2</v>
      </c>
    </row>
    <row r="51" spans="1:47" ht="14.4" x14ac:dyDescent="0.3">
      <c r="A51" s="88">
        <v>49</v>
      </c>
      <c r="B51" s="88" t="s">
        <v>65</v>
      </c>
      <c r="C51" s="88" t="s">
        <v>720</v>
      </c>
      <c r="D51" s="88" t="str">
        <f t="shared" si="9"/>
        <v>Venue 1.0 T SX O DT Knight MT</v>
      </c>
      <c r="E51" s="18">
        <v>1280100</v>
      </c>
      <c r="F51" s="107">
        <f t="shared" si="25"/>
        <v>12801</v>
      </c>
      <c r="G51" s="119">
        <f t="shared" si="34"/>
        <v>51331.198328800005</v>
      </c>
      <c r="H51" s="119">
        <f t="shared" si="35"/>
        <v>52387.352514400001</v>
      </c>
      <c r="I51" s="99"/>
      <c r="J51" s="116">
        <f t="shared" si="36"/>
        <v>51331.198328800005</v>
      </c>
      <c r="K51" s="108">
        <f t="shared" si="37"/>
        <v>52387.352514400001</v>
      </c>
      <c r="L51" s="116">
        <f t="shared" si="31"/>
        <v>6809.1044500000007</v>
      </c>
      <c r="M51" s="116">
        <f t="shared" si="32"/>
        <v>8244.096550000002</v>
      </c>
      <c r="N51" s="116">
        <f t="shared" si="33"/>
        <v>9679.0886499999997</v>
      </c>
      <c r="O51" s="116">
        <f t="shared" si="26"/>
        <v>3587.4802500000001</v>
      </c>
      <c r="P51" s="20">
        <f t="shared" si="27"/>
        <v>135360</v>
      </c>
      <c r="Q51" s="118">
        <f t="shared" si="28"/>
        <v>141590</v>
      </c>
      <c r="R51" s="98"/>
      <c r="S51" s="98"/>
      <c r="T51" s="18">
        <v>9994</v>
      </c>
      <c r="U51" s="98"/>
      <c r="V51" s="98">
        <f t="shared" si="29"/>
        <v>21335</v>
      </c>
      <c r="W51" s="18">
        <v>9500</v>
      </c>
      <c r="X51" s="109" t="s">
        <v>282</v>
      </c>
      <c r="Y51" s="98"/>
      <c r="Z51" s="98"/>
      <c r="AA51" s="98"/>
      <c r="AB51" s="98"/>
      <c r="AC51" s="98"/>
      <c r="AD51" s="98">
        <v>2136</v>
      </c>
      <c r="AE51" s="97">
        <v>9554</v>
      </c>
      <c r="AF51" s="98">
        <v>15680</v>
      </c>
      <c r="AG51" s="98">
        <v>21288</v>
      </c>
      <c r="AH51" s="97">
        <v>27501</v>
      </c>
      <c r="AI51" s="111" t="s">
        <v>16</v>
      </c>
      <c r="AJ51" s="111">
        <v>5</v>
      </c>
      <c r="AK51" s="111">
        <v>10640</v>
      </c>
      <c r="AL51" s="111">
        <v>914</v>
      </c>
      <c r="AM51" s="111">
        <v>150</v>
      </c>
      <c r="AN51" s="111">
        <f t="shared" si="38"/>
        <v>750</v>
      </c>
      <c r="AO51" s="111"/>
      <c r="AP51" s="111">
        <f t="shared" si="30"/>
        <v>12454</v>
      </c>
      <c r="AQ51" s="111" t="s">
        <v>281</v>
      </c>
      <c r="AR51" s="111"/>
      <c r="AS51" s="111"/>
      <c r="AT51" s="111"/>
      <c r="AU51" s="97">
        <v>0.2</v>
      </c>
    </row>
    <row r="52" spans="1:47" ht="14.4" customHeight="1" x14ac:dyDescent="0.3">
      <c r="A52" s="88">
        <v>50</v>
      </c>
      <c r="B52" s="88" t="s">
        <v>65</v>
      </c>
      <c r="C52" s="88" t="s">
        <v>721</v>
      </c>
      <c r="D52" s="88" t="str">
        <f t="shared" si="9"/>
        <v>Venue 1.0 T S O DCT</v>
      </c>
      <c r="E52" s="18">
        <v>1150900</v>
      </c>
      <c r="F52" s="107">
        <f t="shared" si="25"/>
        <v>11509</v>
      </c>
      <c r="G52" s="119">
        <f t="shared" si="34"/>
        <v>47633.896399199999</v>
      </c>
      <c r="H52" s="119">
        <f t="shared" si="35"/>
        <v>48583.453349599993</v>
      </c>
      <c r="I52" s="99"/>
      <c r="J52" s="116">
        <f t="shared" si="36"/>
        <v>47633.896399199999</v>
      </c>
      <c r="K52" s="108">
        <f t="shared" si="37"/>
        <v>48583.453349599993</v>
      </c>
      <c r="L52" s="116">
        <f t="shared" si="31"/>
        <v>6157.355050000001</v>
      </c>
      <c r="M52" s="116">
        <f t="shared" si="32"/>
        <v>7447.5139500000005</v>
      </c>
      <c r="N52" s="116">
        <f t="shared" si="33"/>
        <v>8737.6728500000008</v>
      </c>
      <c r="O52" s="116">
        <f t="shared" si="26"/>
        <v>3225.3972500000004</v>
      </c>
      <c r="P52" s="20">
        <f t="shared" si="27"/>
        <v>122440</v>
      </c>
      <c r="Q52" s="118">
        <f t="shared" si="28"/>
        <v>128670</v>
      </c>
      <c r="R52" s="98"/>
      <c r="S52" s="98"/>
      <c r="T52" s="18">
        <v>9994</v>
      </c>
      <c r="U52" s="98"/>
      <c r="V52" s="98">
        <f t="shared" si="29"/>
        <v>19181.666666666668</v>
      </c>
      <c r="W52" s="18">
        <v>9500</v>
      </c>
      <c r="X52" s="109" t="s">
        <v>282</v>
      </c>
      <c r="Y52" s="98"/>
      <c r="Z52" s="98"/>
      <c r="AA52" s="98"/>
      <c r="AB52" s="98"/>
      <c r="AC52" s="98"/>
      <c r="AD52" s="98">
        <v>2136</v>
      </c>
      <c r="AE52" s="97">
        <v>9554</v>
      </c>
      <c r="AF52" s="98">
        <v>15680</v>
      </c>
      <c r="AG52" s="98">
        <v>21288</v>
      </c>
      <c r="AH52" s="97">
        <v>27501</v>
      </c>
      <c r="AI52" s="111" t="s">
        <v>16</v>
      </c>
      <c r="AJ52" s="111">
        <v>5</v>
      </c>
      <c r="AK52" s="111">
        <v>10640</v>
      </c>
      <c r="AL52" s="111">
        <v>914</v>
      </c>
      <c r="AM52" s="111">
        <v>150</v>
      </c>
      <c r="AN52" s="111">
        <f t="shared" si="38"/>
        <v>750</v>
      </c>
      <c r="AO52" s="111"/>
      <c r="AP52" s="111">
        <f t="shared" si="30"/>
        <v>12454</v>
      </c>
      <c r="AQ52" s="111" t="s">
        <v>281</v>
      </c>
      <c r="AR52" s="111"/>
      <c r="AS52" s="111"/>
      <c r="AT52" s="111"/>
      <c r="AU52" s="97">
        <v>0.2</v>
      </c>
    </row>
    <row r="53" spans="1:47" ht="14.4" x14ac:dyDescent="0.3">
      <c r="A53" s="88">
        <v>51</v>
      </c>
      <c r="B53" s="88" t="s">
        <v>65</v>
      </c>
      <c r="C53" s="88" t="s">
        <v>722</v>
      </c>
      <c r="D53" s="88" t="str">
        <f t="shared" si="9"/>
        <v>Venue 1.0 T SX O DCT</v>
      </c>
      <c r="E53" s="18">
        <v>1323100</v>
      </c>
      <c r="F53" s="107">
        <f t="shared" si="25"/>
        <v>13231</v>
      </c>
      <c r="G53" s="119">
        <f t="shared" si="34"/>
        <v>52561.7245128</v>
      </c>
      <c r="H53" s="119">
        <f t="shared" si="35"/>
        <v>53653.356106399995</v>
      </c>
      <c r="I53" s="99"/>
      <c r="J53" s="116">
        <f t="shared" si="36"/>
        <v>52561.7245128</v>
      </c>
      <c r="K53" s="108">
        <f t="shared" si="37"/>
        <v>53653.356106399995</v>
      </c>
      <c r="L53" s="116">
        <f t="shared" si="31"/>
        <v>7026.0179500000004</v>
      </c>
      <c r="M53" s="116">
        <f t="shared" si="32"/>
        <v>8509.2130500000021</v>
      </c>
      <c r="N53" s="116">
        <f t="shared" si="33"/>
        <v>9992.4081500000029</v>
      </c>
      <c r="O53" s="116">
        <f t="shared" si="26"/>
        <v>3707.9877500000002</v>
      </c>
      <c r="P53" s="20">
        <f t="shared" si="27"/>
        <v>139660</v>
      </c>
      <c r="Q53" s="118">
        <f t="shared" si="28"/>
        <v>145890</v>
      </c>
      <c r="R53" s="98"/>
      <c r="S53" s="98"/>
      <c r="T53" s="18">
        <v>9994</v>
      </c>
      <c r="U53" s="98"/>
      <c r="V53" s="98">
        <f t="shared" si="29"/>
        <v>22051.666666666668</v>
      </c>
      <c r="W53" s="18">
        <v>9500</v>
      </c>
      <c r="X53" s="109" t="s">
        <v>282</v>
      </c>
      <c r="Y53" s="98"/>
      <c r="Z53" s="98"/>
      <c r="AA53" s="98"/>
      <c r="AB53" s="98"/>
      <c r="AC53" s="98"/>
      <c r="AD53" s="98">
        <v>2136</v>
      </c>
      <c r="AE53" s="97">
        <v>9554</v>
      </c>
      <c r="AF53" s="98">
        <v>15680</v>
      </c>
      <c r="AG53" s="98">
        <v>21288</v>
      </c>
      <c r="AH53" s="97">
        <v>27501</v>
      </c>
      <c r="AI53" s="111" t="s">
        <v>16</v>
      </c>
      <c r="AJ53" s="111">
        <v>5</v>
      </c>
      <c r="AK53" s="111">
        <v>10640</v>
      </c>
      <c r="AL53" s="111">
        <v>914</v>
      </c>
      <c r="AM53" s="111">
        <v>150</v>
      </c>
      <c r="AN53" s="111">
        <f t="shared" si="38"/>
        <v>750</v>
      </c>
      <c r="AO53" s="111"/>
      <c r="AP53" s="111">
        <f t="shared" si="30"/>
        <v>12454</v>
      </c>
      <c r="AQ53" s="111" t="s">
        <v>281</v>
      </c>
      <c r="AR53" s="111"/>
      <c r="AS53" s="111"/>
      <c r="AT53" s="111"/>
      <c r="AU53" s="97">
        <v>0.2</v>
      </c>
    </row>
    <row r="54" spans="1:47" ht="14.4" x14ac:dyDescent="0.3">
      <c r="A54" s="88">
        <v>52</v>
      </c>
      <c r="B54" s="88" t="s">
        <v>65</v>
      </c>
      <c r="C54" s="88" t="s">
        <v>723</v>
      </c>
      <c r="D54" s="88" t="str">
        <f t="shared" si="9"/>
        <v>Venue 1.0 T SX O DT DCT</v>
      </c>
      <c r="E54" s="18">
        <v>1338100</v>
      </c>
      <c r="F54" s="107">
        <f t="shared" si="25"/>
        <v>13381</v>
      </c>
      <c r="G54" s="119">
        <f t="shared" si="34"/>
        <v>52990.977832799996</v>
      </c>
      <c r="H54" s="119">
        <f t="shared" si="35"/>
        <v>54094.985266399992</v>
      </c>
      <c r="I54" s="99"/>
      <c r="J54" s="116">
        <f t="shared" si="36"/>
        <v>52990.977832799996</v>
      </c>
      <c r="K54" s="108">
        <f t="shared" si="37"/>
        <v>54094.985266399992</v>
      </c>
      <c r="L54" s="116">
        <f t="shared" si="31"/>
        <v>7101.6854500000009</v>
      </c>
      <c r="M54" s="116">
        <f t="shared" si="32"/>
        <v>8601.6955500000004</v>
      </c>
      <c r="N54" s="116">
        <f t="shared" si="33"/>
        <v>10101.70565</v>
      </c>
      <c r="O54" s="116">
        <f t="shared" si="26"/>
        <v>3750.0252500000001</v>
      </c>
      <c r="P54" s="20">
        <f t="shared" si="27"/>
        <v>141160</v>
      </c>
      <c r="Q54" s="118">
        <f t="shared" si="28"/>
        <v>147390</v>
      </c>
      <c r="R54" s="98"/>
      <c r="S54" s="98"/>
      <c r="T54" s="18">
        <v>9994</v>
      </c>
      <c r="U54" s="98"/>
      <c r="V54" s="98">
        <f t="shared" si="29"/>
        <v>22301.666666666668</v>
      </c>
      <c r="W54" s="18">
        <v>9500</v>
      </c>
      <c r="X54" s="109" t="s">
        <v>282</v>
      </c>
      <c r="Y54" s="98"/>
      <c r="Z54" s="98"/>
      <c r="AA54" s="98"/>
      <c r="AB54" s="98"/>
      <c r="AC54" s="98"/>
      <c r="AD54" s="98">
        <v>2136</v>
      </c>
      <c r="AE54" s="97">
        <v>9554</v>
      </c>
      <c r="AF54" s="98">
        <v>15680</v>
      </c>
      <c r="AG54" s="98">
        <v>21288</v>
      </c>
      <c r="AH54" s="97">
        <v>27501</v>
      </c>
      <c r="AI54" s="111" t="s">
        <v>16</v>
      </c>
      <c r="AJ54" s="111">
        <v>5</v>
      </c>
      <c r="AK54" s="111">
        <v>10640</v>
      </c>
      <c r="AL54" s="111">
        <v>914</v>
      </c>
      <c r="AM54" s="111">
        <v>150</v>
      </c>
      <c r="AN54" s="111">
        <f t="shared" si="38"/>
        <v>750</v>
      </c>
      <c r="AO54" s="111"/>
      <c r="AP54" s="111">
        <f t="shared" si="30"/>
        <v>12454</v>
      </c>
      <c r="AQ54" s="111" t="s">
        <v>281</v>
      </c>
      <c r="AR54" s="111"/>
      <c r="AS54" s="111"/>
      <c r="AT54" s="111"/>
      <c r="AU54" s="97">
        <v>0.2</v>
      </c>
    </row>
    <row r="55" spans="1:47" ht="14.4" x14ac:dyDescent="0.3">
      <c r="A55" s="88">
        <v>53</v>
      </c>
      <c r="B55" s="88" t="s">
        <v>65</v>
      </c>
      <c r="C55" s="88" t="s">
        <v>724</v>
      </c>
      <c r="D55" s="88" t="str">
        <f t="shared" si="9"/>
        <v>Venue 1.0 SX O Knight DCT</v>
      </c>
      <c r="E55" s="18">
        <v>1333100</v>
      </c>
      <c r="F55" s="107">
        <f t="shared" si="25"/>
        <v>13331</v>
      </c>
      <c r="G55" s="119">
        <f t="shared" si="34"/>
        <v>52847.893392799997</v>
      </c>
      <c r="H55" s="119">
        <f t="shared" si="35"/>
        <v>53947.775546399993</v>
      </c>
      <c r="I55" s="99"/>
      <c r="J55" s="116">
        <f t="shared" si="36"/>
        <v>52847.893392799997</v>
      </c>
      <c r="K55" s="108">
        <f t="shared" si="37"/>
        <v>53947.775546399993</v>
      </c>
      <c r="L55" s="116">
        <f t="shared" si="31"/>
        <v>7076.462950000001</v>
      </c>
      <c r="M55" s="116">
        <f t="shared" si="32"/>
        <v>8570.8680500000009</v>
      </c>
      <c r="N55" s="116">
        <f t="shared" si="33"/>
        <v>10065.273149999999</v>
      </c>
      <c r="O55" s="116">
        <f t="shared" si="26"/>
        <v>3736.0127500000003</v>
      </c>
      <c r="P55" s="20">
        <f t="shared" si="27"/>
        <v>140660</v>
      </c>
      <c r="Q55" s="118">
        <f t="shared" si="28"/>
        <v>146890</v>
      </c>
      <c r="R55" s="98"/>
      <c r="S55" s="98"/>
      <c r="T55" s="18">
        <v>9994</v>
      </c>
      <c r="U55" s="98"/>
      <c r="V55" s="98">
        <f t="shared" si="29"/>
        <v>22218.333333333332</v>
      </c>
      <c r="W55" s="18">
        <v>9500</v>
      </c>
      <c r="X55" s="109" t="s">
        <v>282</v>
      </c>
      <c r="Y55" s="98"/>
      <c r="Z55" s="98"/>
      <c r="AA55" s="98"/>
      <c r="AB55" s="98"/>
      <c r="AC55" s="98"/>
      <c r="AD55" s="98">
        <v>2136</v>
      </c>
      <c r="AE55" s="97">
        <v>9554</v>
      </c>
      <c r="AF55" s="98">
        <v>15680</v>
      </c>
      <c r="AG55" s="98">
        <v>21288</v>
      </c>
      <c r="AH55" s="97">
        <v>27501</v>
      </c>
      <c r="AI55" s="111" t="s">
        <v>16</v>
      </c>
      <c r="AJ55" s="111">
        <v>5</v>
      </c>
      <c r="AK55" s="111">
        <v>10640</v>
      </c>
      <c r="AL55" s="111">
        <v>914</v>
      </c>
      <c r="AM55" s="111">
        <v>150</v>
      </c>
      <c r="AN55" s="111">
        <f t="shared" si="38"/>
        <v>750</v>
      </c>
      <c r="AO55" s="111"/>
      <c r="AP55" s="111">
        <f t="shared" si="30"/>
        <v>12454</v>
      </c>
      <c r="AQ55" s="111" t="s">
        <v>281</v>
      </c>
      <c r="AR55" s="111"/>
      <c r="AS55" s="111"/>
      <c r="AT55" s="111">
        <v>20000</v>
      </c>
      <c r="AU55" s="97">
        <v>0.2</v>
      </c>
    </row>
    <row r="56" spans="1:47" ht="14.4" x14ac:dyDescent="0.3">
      <c r="A56" s="88">
        <v>54</v>
      </c>
      <c r="B56" s="88" t="s">
        <v>65</v>
      </c>
      <c r="C56" s="88" t="s">
        <v>725</v>
      </c>
      <c r="D56" s="88" t="str">
        <f t="shared" si="9"/>
        <v>Venue 1.0 SX O DT Knight DCT</v>
      </c>
      <c r="E56" s="18">
        <v>1348100</v>
      </c>
      <c r="F56" s="107">
        <f t="shared" si="25"/>
        <v>13481</v>
      </c>
      <c r="G56" s="119">
        <f t="shared" si="34"/>
        <v>53277.146712799993</v>
      </c>
      <c r="H56" s="119">
        <f t="shared" si="35"/>
        <v>54389.404706399997</v>
      </c>
      <c r="I56" s="99"/>
      <c r="J56" s="116">
        <f t="shared" si="36"/>
        <v>53277.146712799993</v>
      </c>
      <c r="K56" s="108">
        <f t="shared" si="37"/>
        <v>54389.404706399997</v>
      </c>
      <c r="L56" s="116">
        <f t="shared" si="31"/>
        <v>7152.1304500000006</v>
      </c>
      <c r="M56" s="116">
        <f t="shared" si="32"/>
        <v>8663.350550000001</v>
      </c>
      <c r="N56" s="116">
        <f t="shared" si="33"/>
        <v>10174.57065</v>
      </c>
      <c r="O56" s="116">
        <f t="shared" si="26"/>
        <v>3778.0502500000002</v>
      </c>
      <c r="P56" s="20">
        <f t="shared" si="27"/>
        <v>142160</v>
      </c>
      <c r="Q56" s="118">
        <f t="shared" si="28"/>
        <v>148390</v>
      </c>
      <c r="R56" s="98"/>
      <c r="S56" s="98"/>
      <c r="T56" s="18">
        <v>9994</v>
      </c>
      <c r="U56" s="98"/>
      <c r="V56" s="98">
        <f t="shared" si="29"/>
        <v>22468.333333333332</v>
      </c>
      <c r="W56" s="18">
        <v>9500</v>
      </c>
      <c r="X56" s="109" t="s">
        <v>282</v>
      </c>
      <c r="Y56" s="98"/>
      <c r="Z56" s="98"/>
      <c r="AA56" s="98"/>
      <c r="AB56" s="98"/>
      <c r="AC56" s="98"/>
      <c r="AD56" s="98">
        <v>2136</v>
      </c>
      <c r="AE56" s="97">
        <v>9554</v>
      </c>
      <c r="AF56" s="98">
        <v>15680</v>
      </c>
      <c r="AG56" s="98">
        <v>21288</v>
      </c>
      <c r="AH56" s="97">
        <v>27501</v>
      </c>
      <c r="AI56" s="111" t="s">
        <v>16</v>
      </c>
      <c r="AJ56" s="111">
        <v>5</v>
      </c>
      <c r="AK56" s="111">
        <v>10640</v>
      </c>
      <c r="AL56" s="111">
        <v>914</v>
      </c>
      <c r="AM56" s="111">
        <v>150</v>
      </c>
      <c r="AN56" s="111">
        <f t="shared" si="38"/>
        <v>750</v>
      </c>
      <c r="AO56" s="111"/>
      <c r="AP56" s="111">
        <f t="shared" si="30"/>
        <v>12454</v>
      </c>
      <c r="AQ56" s="111" t="s">
        <v>281</v>
      </c>
      <c r="AR56" s="111"/>
      <c r="AS56" s="111"/>
      <c r="AT56" s="111">
        <v>20000</v>
      </c>
      <c r="AU56" s="97">
        <v>0.2</v>
      </c>
    </row>
    <row r="57" spans="1:47" ht="14.4" x14ac:dyDescent="0.3">
      <c r="A57" s="88">
        <v>55</v>
      </c>
      <c r="B57" s="88" t="s">
        <v>65</v>
      </c>
      <c r="C57" s="96" t="s">
        <v>743</v>
      </c>
      <c r="D57" s="88" t="str">
        <f t="shared" si="9"/>
        <v>Venue 1.5 S Plus DSL</v>
      </c>
      <c r="E57" s="18">
        <v>1070700</v>
      </c>
      <c r="F57" s="107">
        <f t="shared" si="25"/>
        <v>10707</v>
      </c>
      <c r="G57" s="119">
        <f t="shared" si="34"/>
        <v>45338.821981599998</v>
      </c>
      <c r="H57" s="119">
        <f t="shared" si="35"/>
        <v>46222.209440799998</v>
      </c>
      <c r="I57" s="99"/>
      <c r="J57" s="116">
        <f t="shared" si="36"/>
        <v>45338.821981599998</v>
      </c>
      <c r="K57" s="108">
        <f t="shared" si="37"/>
        <v>46222.209440799998</v>
      </c>
      <c r="L57" s="116">
        <f t="shared" si="31"/>
        <v>5752.7861499999999</v>
      </c>
      <c r="M57" s="116">
        <f t="shared" si="32"/>
        <v>6953.0408500000003</v>
      </c>
      <c r="N57" s="116">
        <f t="shared" si="33"/>
        <v>8153.2955500000007</v>
      </c>
      <c r="O57" s="116">
        <f t="shared" si="26"/>
        <v>3000.6367499999997</v>
      </c>
      <c r="P57" s="20">
        <f t="shared" si="27"/>
        <v>114420</v>
      </c>
      <c r="Q57" s="118">
        <f>IF(E57&lt;600000,E57*5%,IF(E57&lt;1000000,E57*8.75%,IF(E57&gt;=1000000,E57*12.5%)))+600+1500+230+4000+2000+4500+750</f>
        <v>147417.5</v>
      </c>
      <c r="R57" s="98"/>
      <c r="S57" s="98"/>
      <c r="T57" s="18">
        <v>9994</v>
      </c>
      <c r="U57" s="98"/>
      <c r="V57" s="98">
        <f t="shared" si="29"/>
        <v>17845</v>
      </c>
      <c r="W57" s="18">
        <v>9500</v>
      </c>
      <c r="X57" s="112" t="s">
        <v>280</v>
      </c>
      <c r="Y57" s="98"/>
      <c r="Z57" s="98"/>
      <c r="AA57" s="98"/>
      <c r="AB57" s="98"/>
      <c r="AC57" s="98"/>
      <c r="AD57" s="98">
        <v>2136</v>
      </c>
      <c r="AE57" s="97">
        <v>9554</v>
      </c>
      <c r="AF57" s="98">
        <v>15680</v>
      </c>
      <c r="AG57" s="98">
        <v>21288</v>
      </c>
      <c r="AH57" s="97">
        <v>27501</v>
      </c>
      <c r="AI57" s="111" t="s">
        <v>16</v>
      </c>
      <c r="AJ57" s="111">
        <v>5</v>
      </c>
      <c r="AK57" s="111">
        <v>10640</v>
      </c>
      <c r="AL57" s="111">
        <v>914</v>
      </c>
      <c r="AM57" s="111">
        <v>150</v>
      </c>
      <c r="AN57" s="111">
        <f t="shared" si="38"/>
        <v>750</v>
      </c>
      <c r="AO57" s="111"/>
      <c r="AP57" s="111">
        <f t="shared" si="30"/>
        <v>12454</v>
      </c>
      <c r="AQ57" s="111" t="s">
        <v>281</v>
      </c>
      <c r="AR57" s="111"/>
      <c r="AS57" s="111"/>
      <c r="AT57" s="111">
        <v>20000</v>
      </c>
      <c r="AU57" s="97">
        <v>0.2</v>
      </c>
    </row>
    <row r="58" spans="1:47" ht="14.4" x14ac:dyDescent="0.3">
      <c r="A58" s="88">
        <v>56</v>
      </c>
      <c r="B58" s="88" t="s">
        <v>65</v>
      </c>
      <c r="C58" s="96" t="s">
        <v>315</v>
      </c>
      <c r="D58" s="88" t="str">
        <f t="shared" si="9"/>
        <v>Venue 1.5 SX DSL</v>
      </c>
      <c r="E58" s="18">
        <v>1237000</v>
      </c>
      <c r="F58" s="107">
        <f t="shared" si="25"/>
        <v>12370</v>
      </c>
      <c r="G58" s="119">
        <f t="shared" si="34"/>
        <v>50097.810455999999</v>
      </c>
      <c r="H58" s="119">
        <f t="shared" si="35"/>
        <v>51118.404728000001</v>
      </c>
      <c r="I58" s="99"/>
      <c r="J58" s="116">
        <f t="shared" si="36"/>
        <v>50097.810455999999</v>
      </c>
      <c r="K58" s="108">
        <f t="shared" si="37"/>
        <v>51118.404728000001</v>
      </c>
      <c r="L58" s="116">
        <f t="shared" si="31"/>
        <v>6591.6864999999998</v>
      </c>
      <c r="M58" s="116">
        <f t="shared" si="32"/>
        <v>7978.3635000000013</v>
      </c>
      <c r="N58" s="116">
        <f t="shared" si="33"/>
        <v>9365.040500000001</v>
      </c>
      <c r="O58" s="116">
        <f t="shared" si="26"/>
        <v>3466.6925000000001</v>
      </c>
      <c r="P58" s="20">
        <f t="shared" si="27"/>
        <v>131050</v>
      </c>
      <c r="Q58" s="118">
        <f>IF(E58&lt;600000,E58*5%,IF(E58&lt;1000000,E58*8.75%,IF(E58&gt;=1000000,E58*12.5%)))+600+1500+230+4000+2000+4500+750</f>
        <v>168205</v>
      </c>
      <c r="R58" s="98"/>
      <c r="S58" s="98"/>
      <c r="T58" s="18">
        <v>9994</v>
      </c>
      <c r="U58" s="98"/>
      <c r="V58" s="98">
        <f t="shared" si="29"/>
        <v>20616.666666666668</v>
      </c>
      <c r="W58" s="18">
        <v>9500</v>
      </c>
      <c r="X58" s="112" t="s">
        <v>280</v>
      </c>
      <c r="Y58" s="98"/>
      <c r="Z58" s="98"/>
      <c r="AA58" s="98"/>
      <c r="AB58" s="98"/>
      <c r="AC58" s="98"/>
      <c r="AD58" s="98">
        <v>2136</v>
      </c>
      <c r="AE58" s="97">
        <v>9554</v>
      </c>
      <c r="AF58" s="98">
        <v>15680</v>
      </c>
      <c r="AG58" s="98">
        <v>21288</v>
      </c>
      <c r="AH58" s="97">
        <v>27501</v>
      </c>
      <c r="AI58" s="111" t="s">
        <v>16</v>
      </c>
      <c r="AJ58" s="111">
        <v>5</v>
      </c>
      <c r="AK58" s="111">
        <v>10640</v>
      </c>
      <c r="AL58" s="111">
        <v>914</v>
      </c>
      <c r="AM58" s="111">
        <v>150</v>
      </c>
      <c r="AN58" s="111">
        <f t="shared" si="38"/>
        <v>750</v>
      </c>
      <c r="AO58" s="111"/>
      <c r="AP58" s="111">
        <f t="shared" si="30"/>
        <v>12454</v>
      </c>
      <c r="AQ58" s="111" t="s">
        <v>281</v>
      </c>
      <c r="AR58" s="111"/>
      <c r="AS58" s="111"/>
      <c r="AT58" s="111">
        <v>20000</v>
      </c>
      <c r="AU58" s="97">
        <v>0.2</v>
      </c>
    </row>
    <row r="59" spans="1:47" ht="14.4" x14ac:dyDescent="0.3">
      <c r="A59" s="88">
        <v>57</v>
      </c>
      <c r="B59" s="88" t="s">
        <v>65</v>
      </c>
      <c r="C59" s="96" t="s">
        <v>316</v>
      </c>
      <c r="D59" s="88" t="str">
        <f t="shared" si="9"/>
        <v>Venue 1.5 SX DT DSL</v>
      </c>
      <c r="E59" s="18">
        <v>1252000</v>
      </c>
      <c r="F59" s="107">
        <f t="shared" si="25"/>
        <v>12520</v>
      </c>
      <c r="G59" s="119">
        <f t="shared" ref="G59:G64" si="39">+((E59-E59*0.05)*0.03039)-(((E59-E59*0.05)*0.03039)*0.2)+AP59+(((E59-E59*0.05)*0.03039)-(((E59-E59*0.05)*0.03039)*0.2)+AP59)*0.18+3</f>
        <v>43959.997504000006</v>
      </c>
      <c r="H59" s="119">
        <f t="shared" ref="H59:H64" si="40">+((E59-E59*0.05)*0.03127)-(((E59-E59*0.05)*0.03127)*0.2)+AP59+(((E59-E59*0.05)*0.03127)-(((E59-E59*0.05)*0.03127)*0.2)+AP59)*0.18+3</f>
        <v>44948.055872000004</v>
      </c>
      <c r="I59" s="99"/>
      <c r="J59" s="116">
        <f t="shared" ref="J59:J64" si="41">+((E59-E59*0.05)*0.03039)-(((E59-E59*0.05)*0.03039)*AU59)+AP59+(((E59-E59*0.05)*0.03039)-(((E59-E59*0.05)*0.03039)*AU59)+AP59)*0.18+3</f>
        <v>43959.997504000006</v>
      </c>
      <c r="K59" s="108">
        <f t="shared" ref="K59:K64" si="42">+((E59-E59*0.05)*0.03127)-(((E59-E59*0.05)*0.03127)*AU59)+AP59+(((E59-E59*0.05)*0.03127)-(((E59-E59*0.05)*0.03127)*AU59)+AP59)*0.18+3</f>
        <v>44948.055872000004</v>
      </c>
      <c r="L59" s="116">
        <f t="shared" si="31"/>
        <v>6667.3540000000003</v>
      </c>
      <c r="M59" s="116">
        <f t="shared" si="32"/>
        <v>8070.8460000000014</v>
      </c>
      <c r="N59" s="116">
        <f t="shared" si="33"/>
        <v>9474.3379999999997</v>
      </c>
      <c r="O59" s="116">
        <f t="shared" si="26"/>
        <v>3508.73</v>
      </c>
      <c r="P59" s="20">
        <f t="shared" si="27"/>
        <v>132550</v>
      </c>
      <c r="Q59" s="118">
        <f>IF(E59&lt;600000,E59*5%,IF(E59&lt;1000000,E59*8.75%,IF(E59&gt;=1000000,E59*12.5%)))+600+1500+230+4000+2000+4500+750</f>
        <v>170080</v>
      </c>
      <c r="R59" s="98"/>
      <c r="S59" s="98"/>
      <c r="T59" s="18">
        <v>9994</v>
      </c>
      <c r="U59" s="98"/>
      <c r="V59" s="98">
        <f t="shared" si="29"/>
        <v>20866.666666666668</v>
      </c>
      <c r="W59" s="18">
        <v>9500</v>
      </c>
      <c r="X59" s="112" t="s">
        <v>280</v>
      </c>
      <c r="Y59" s="98"/>
      <c r="Z59" s="98"/>
      <c r="AA59" s="98"/>
      <c r="AB59" s="98"/>
      <c r="AC59" s="98"/>
      <c r="AD59" s="98">
        <v>2136</v>
      </c>
      <c r="AE59" s="97">
        <v>9554</v>
      </c>
      <c r="AF59" s="98">
        <v>15680</v>
      </c>
      <c r="AG59" s="98">
        <v>21288</v>
      </c>
      <c r="AH59" s="97">
        <v>27501</v>
      </c>
      <c r="AI59" s="111" t="s">
        <v>16</v>
      </c>
      <c r="AJ59" s="111">
        <v>5</v>
      </c>
      <c r="AK59" s="111">
        <v>6521</v>
      </c>
      <c r="AL59" s="111">
        <v>914</v>
      </c>
      <c r="AM59" s="111">
        <v>150</v>
      </c>
      <c r="AN59" s="111">
        <f t="shared" ref="AN59:AN66" si="43">150*AJ59</f>
        <v>750</v>
      </c>
      <c r="AO59" s="111"/>
      <c r="AP59" s="111">
        <f t="shared" si="30"/>
        <v>8335</v>
      </c>
      <c r="AQ59" s="111" t="s">
        <v>285</v>
      </c>
      <c r="AR59" s="111"/>
      <c r="AS59" s="111"/>
      <c r="AT59" s="111"/>
      <c r="AU59" s="97">
        <v>0.2</v>
      </c>
    </row>
    <row r="60" spans="1:47" ht="14.4" customHeight="1" x14ac:dyDescent="0.3">
      <c r="A60" s="88">
        <v>58</v>
      </c>
      <c r="B60" s="88" t="s">
        <v>65</v>
      </c>
      <c r="C60" s="96" t="s">
        <v>744</v>
      </c>
      <c r="D60" s="88" t="str">
        <f t="shared" si="9"/>
        <v>Venue 1.5 SX O DSL</v>
      </c>
      <c r="E60" s="18">
        <v>1328600</v>
      </c>
      <c r="F60" s="107">
        <f t="shared" si="25"/>
        <v>13286</v>
      </c>
      <c r="G60" s="119">
        <f t="shared" si="39"/>
        <v>46047.634907200001</v>
      </c>
      <c r="H60" s="119">
        <f t="shared" si="40"/>
        <v>47096.144769599996</v>
      </c>
      <c r="I60" s="99"/>
      <c r="J60" s="116">
        <f t="shared" si="41"/>
        <v>46047.634907200001</v>
      </c>
      <c r="K60" s="108">
        <f t="shared" si="42"/>
        <v>47096.144769599996</v>
      </c>
      <c r="L60" s="116">
        <f t="shared" si="31"/>
        <v>7053.7627000000002</v>
      </c>
      <c r="M60" s="116">
        <f t="shared" si="32"/>
        <v>8543.1233000000011</v>
      </c>
      <c r="N60" s="116">
        <f t="shared" si="33"/>
        <v>10032.483900000001</v>
      </c>
      <c r="O60" s="116">
        <f t="shared" si="26"/>
        <v>3723.4014999999999</v>
      </c>
      <c r="P60" s="20">
        <f t="shared" si="27"/>
        <v>140210</v>
      </c>
      <c r="Q60" s="118">
        <f>IF(E60&lt;600000,E60*5%,IF(E60&lt;1000000,E60*8.75%,IF(E60&gt;=1000000,E60*12.5%)))+600+1500+230+4000+2000+4500+750</f>
        <v>179655</v>
      </c>
      <c r="R60" s="98"/>
      <c r="S60" s="98"/>
      <c r="T60" s="18">
        <v>9994</v>
      </c>
      <c r="U60" s="98"/>
      <c r="V60" s="98">
        <f t="shared" si="29"/>
        <v>22143.333333333332</v>
      </c>
      <c r="W60" s="18">
        <v>9500</v>
      </c>
      <c r="X60" s="112" t="s">
        <v>280</v>
      </c>
      <c r="Y60" s="98"/>
      <c r="Z60" s="98"/>
      <c r="AA60" s="98"/>
      <c r="AB60" s="98"/>
      <c r="AC60" s="98"/>
      <c r="AD60" s="98">
        <v>2136</v>
      </c>
      <c r="AE60" s="97">
        <v>9554</v>
      </c>
      <c r="AF60" s="98">
        <v>15680</v>
      </c>
      <c r="AG60" s="98">
        <v>21288</v>
      </c>
      <c r="AH60" s="97">
        <v>27501</v>
      </c>
      <c r="AI60" s="111" t="s">
        <v>16</v>
      </c>
      <c r="AJ60" s="111">
        <v>5</v>
      </c>
      <c r="AK60" s="111">
        <v>6521</v>
      </c>
      <c r="AL60" s="111">
        <v>914</v>
      </c>
      <c r="AM60" s="111">
        <v>150</v>
      </c>
      <c r="AN60" s="111">
        <f t="shared" si="43"/>
        <v>750</v>
      </c>
      <c r="AO60" s="111"/>
      <c r="AP60" s="111">
        <f t="shared" si="30"/>
        <v>8335</v>
      </c>
      <c r="AQ60" s="111" t="s">
        <v>285</v>
      </c>
      <c r="AR60" s="111"/>
      <c r="AS60" s="111"/>
      <c r="AT60" s="111"/>
      <c r="AU60" s="97">
        <v>0.2</v>
      </c>
    </row>
    <row r="61" spans="1:47" ht="14.4" x14ac:dyDescent="0.3">
      <c r="A61" s="88">
        <v>59</v>
      </c>
      <c r="B61" s="88" t="s">
        <v>65</v>
      </c>
      <c r="C61" s="96" t="s">
        <v>745</v>
      </c>
      <c r="D61" s="88" t="str">
        <f t="shared" si="9"/>
        <v>Venue 1.5 SX O DT DSL</v>
      </c>
      <c r="E61" s="18">
        <v>1343600</v>
      </c>
      <c r="F61" s="107">
        <f t="shared" si="25"/>
        <v>13436</v>
      </c>
      <c r="G61" s="119">
        <f t="shared" si="39"/>
        <v>46456.441187200006</v>
      </c>
      <c r="H61" s="119">
        <f t="shared" si="40"/>
        <v>47516.788809599995</v>
      </c>
      <c r="I61" s="99"/>
      <c r="J61" s="116">
        <f t="shared" si="41"/>
        <v>46456.441187200006</v>
      </c>
      <c r="K61" s="108">
        <f t="shared" si="42"/>
        <v>47516.788809599995</v>
      </c>
      <c r="L61" s="116">
        <f t="shared" si="31"/>
        <v>7129.4302000000007</v>
      </c>
      <c r="M61" s="116">
        <f t="shared" si="32"/>
        <v>8635.6058000000012</v>
      </c>
      <c r="N61" s="116">
        <f t="shared" si="33"/>
        <v>10141.781400000002</v>
      </c>
      <c r="O61" s="116">
        <f t="shared" si="26"/>
        <v>3765.4390000000003</v>
      </c>
      <c r="P61" s="20">
        <f t="shared" si="27"/>
        <v>141710</v>
      </c>
      <c r="Q61" s="118">
        <f>IF(E61&lt;600000,E61*5%,IF(E61&lt;1000000,E61*8.75%,IF(E61&gt;=1000000,E61*12.5%)))+600+1500+230+4000+2000+4500+750</f>
        <v>181530</v>
      </c>
      <c r="R61" s="98"/>
      <c r="S61" s="98"/>
      <c r="T61" s="18">
        <v>9994</v>
      </c>
      <c r="U61" s="98"/>
      <c r="V61" s="98">
        <f t="shared" si="29"/>
        <v>22393.333333333332</v>
      </c>
      <c r="W61" s="18">
        <v>9500</v>
      </c>
      <c r="X61" s="112" t="s">
        <v>280</v>
      </c>
      <c r="Y61" s="98"/>
      <c r="Z61" s="98"/>
      <c r="AA61" s="98"/>
      <c r="AB61" s="98"/>
      <c r="AC61" s="98"/>
      <c r="AD61" s="98">
        <v>2136</v>
      </c>
      <c r="AE61" s="97">
        <v>9554</v>
      </c>
      <c r="AF61" s="98">
        <v>15680</v>
      </c>
      <c r="AG61" s="98">
        <v>21288</v>
      </c>
      <c r="AH61" s="97">
        <v>27501</v>
      </c>
      <c r="AI61" s="111" t="s">
        <v>16</v>
      </c>
      <c r="AJ61" s="111">
        <v>5</v>
      </c>
      <c r="AK61" s="111">
        <v>6521</v>
      </c>
      <c r="AL61" s="111">
        <v>914</v>
      </c>
      <c r="AM61" s="111">
        <v>150</v>
      </c>
      <c r="AN61" s="111">
        <f t="shared" si="43"/>
        <v>750</v>
      </c>
      <c r="AO61" s="111"/>
      <c r="AP61" s="111">
        <f t="shared" si="30"/>
        <v>8335</v>
      </c>
      <c r="AQ61" s="111" t="s">
        <v>285</v>
      </c>
      <c r="AR61" s="111"/>
      <c r="AS61" s="111"/>
      <c r="AT61" s="111"/>
      <c r="AU61" s="97">
        <v>0.2</v>
      </c>
    </row>
    <row r="62" spans="1:47" ht="14.4" x14ac:dyDescent="0.3">
      <c r="A62" s="13">
        <v>60</v>
      </c>
      <c r="B62" s="88" t="s">
        <v>65</v>
      </c>
      <c r="C62" s="13" t="s">
        <v>358</v>
      </c>
      <c r="D62" s="88" t="str">
        <f t="shared" si="9"/>
        <v>Venue 1.0 Turbo MPi MT Executive</v>
      </c>
      <c r="E62" s="14">
        <v>999990</v>
      </c>
      <c r="F62" s="107" t="str">
        <f t="shared" si="25"/>
        <v/>
      </c>
      <c r="G62" s="119">
        <f t="shared" si="39"/>
        <v>37091.779462480001</v>
      </c>
      <c r="H62" s="119">
        <f t="shared" si="40"/>
        <v>37880.955570639999</v>
      </c>
      <c r="I62" s="99"/>
      <c r="J62" s="116">
        <f t="shared" si="41"/>
        <v>37091.779462480001</v>
      </c>
      <c r="K62" s="108">
        <f t="shared" si="42"/>
        <v>37880.955570639999</v>
      </c>
      <c r="L62" s="116">
        <f t="shared" si="31"/>
        <v>5396.0895550000005</v>
      </c>
      <c r="M62" s="116">
        <f t="shared" si="32"/>
        <v>6517.0783449999999</v>
      </c>
      <c r="N62" s="116">
        <f t="shared" si="33"/>
        <v>7638.0671350000002</v>
      </c>
      <c r="O62" s="116">
        <f t="shared" si="26"/>
        <v>2802.4719750000004</v>
      </c>
      <c r="P62" s="20">
        <f t="shared" si="27"/>
        <v>87349.2</v>
      </c>
      <c r="Q62" s="118">
        <f t="shared" ref="Q62:Q72" si="44">IF(E62&lt;600000,E62*4%,IF(E62&lt;1000000,E62*7%,IF(E62&gt;=1000000,E62*10%)))+600+1500+230+4000+2000+4500+750</f>
        <v>83579.3</v>
      </c>
      <c r="R62" s="98"/>
      <c r="S62" s="98"/>
      <c r="T62" s="18">
        <v>9994</v>
      </c>
      <c r="U62" s="98"/>
      <c r="V62" s="98">
        <f t="shared" si="29"/>
        <v>13333.2</v>
      </c>
      <c r="W62" s="113">
        <v>9500</v>
      </c>
      <c r="X62" s="109" t="s">
        <v>282</v>
      </c>
      <c r="Y62" s="98"/>
      <c r="Z62" s="98"/>
      <c r="AA62" s="98"/>
      <c r="AB62" s="98"/>
      <c r="AC62" s="98"/>
      <c r="AD62" s="98">
        <v>2136</v>
      </c>
      <c r="AE62" s="97">
        <v>9554</v>
      </c>
      <c r="AF62" s="98">
        <v>15680</v>
      </c>
      <c r="AG62" s="98">
        <v>21288</v>
      </c>
      <c r="AH62" s="97">
        <v>27501</v>
      </c>
      <c r="AI62" s="111" t="s">
        <v>16</v>
      </c>
      <c r="AJ62" s="111">
        <v>5</v>
      </c>
      <c r="AK62" s="111">
        <v>6521</v>
      </c>
      <c r="AL62" s="111">
        <v>914</v>
      </c>
      <c r="AM62" s="111">
        <v>150</v>
      </c>
      <c r="AN62" s="111">
        <f t="shared" si="43"/>
        <v>750</v>
      </c>
      <c r="AO62" s="111"/>
      <c r="AP62" s="111">
        <f t="shared" si="30"/>
        <v>8335</v>
      </c>
      <c r="AQ62" s="111" t="s">
        <v>285</v>
      </c>
      <c r="AR62" s="111"/>
      <c r="AS62" s="111"/>
      <c r="AT62" s="111"/>
      <c r="AU62" s="97">
        <v>0.2</v>
      </c>
    </row>
    <row r="63" spans="1:47" ht="14.4" x14ac:dyDescent="0.3">
      <c r="A63" s="13">
        <v>61</v>
      </c>
      <c r="B63" s="88" t="s">
        <v>65</v>
      </c>
      <c r="C63" s="13" t="s">
        <v>726</v>
      </c>
      <c r="D63" s="88" t="str">
        <f t="shared" si="9"/>
        <v>Venue 1.0 Turbo MPi MT S O</v>
      </c>
      <c r="E63" s="14">
        <v>1075200</v>
      </c>
      <c r="F63" s="107">
        <f t="shared" si="25"/>
        <v>10752</v>
      </c>
      <c r="G63" s="119">
        <f t="shared" si="39"/>
        <v>39141.534150400003</v>
      </c>
      <c r="H63" s="119">
        <f t="shared" si="40"/>
        <v>39990.064787199997</v>
      </c>
      <c r="I63" s="99"/>
      <c r="J63" s="116">
        <f t="shared" si="41"/>
        <v>39141.534150400003</v>
      </c>
      <c r="K63" s="108">
        <f t="shared" si="42"/>
        <v>39990.064787199997</v>
      </c>
      <c r="L63" s="116">
        <f t="shared" si="31"/>
        <v>5775.4864000000007</v>
      </c>
      <c r="M63" s="116">
        <f t="shared" si="32"/>
        <v>6980.7856000000011</v>
      </c>
      <c r="N63" s="116">
        <f t="shared" si="33"/>
        <v>8186.0848000000005</v>
      </c>
      <c r="O63" s="116">
        <f t="shared" si="26"/>
        <v>3013.248</v>
      </c>
      <c r="P63" s="20">
        <f t="shared" si="27"/>
        <v>114870</v>
      </c>
      <c r="Q63" s="118">
        <f t="shared" si="44"/>
        <v>121100</v>
      </c>
      <c r="R63" s="98"/>
      <c r="S63" s="98"/>
      <c r="T63" s="18">
        <v>9994</v>
      </c>
      <c r="U63" s="98"/>
      <c r="V63" s="98">
        <f t="shared" si="29"/>
        <v>17920</v>
      </c>
      <c r="W63" s="113">
        <v>9500</v>
      </c>
      <c r="X63" s="109" t="s">
        <v>282</v>
      </c>
      <c r="Y63" s="98"/>
      <c r="Z63" s="98"/>
      <c r="AA63" s="98"/>
      <c r="AB63" s="98"/>
      <c r="AC63" s="98"/>
      <c r="AD63" s="98">
        <v>2136</v>
      </c>
      <c r="AE63" s="97">
        <v>9554</v>
      </c>
      <c r="AF63" s="98">
        <v>15680</v>
      </c>
      <c r="AG63" s="98">
        <v>21288</v>
      </c>
      <c r="AH63" s="97">
        <v>27501</v>
      </c>
      <c r="AI63" s="111" t="s">
        <v>16</v>
      </c>
      <c r="AJ63" s="111">
        <v>5</v>
      </c>
      <c r="AK63" s="111">
        <v>6521</v>
      </c>
      <c r="AL63" s="111">
        <v>914</v>
      </c>
      <c r="AM63" s="111">
        <v>150</v>
      </c>
      <c r="AN63" s="111">
        <f t="shared" si="43"/>
        <v>750</v>
      </c>
      <c r="AO63" s="111"/>
      <c r="AP63" s="111">
        <f t="shared" si="30"/>
        <v>8335</v>
      </c>
      <c r="AQ63" s="111" t="s">
        <v>285</v>
      </c>
      <c r="AR63" s="111"/>
      <c r="AS63" s="111"/>
      <c r="AT63" s="111"/>
      <c r="AU63" s="97">
        <v>0.2</v>
      </c>
    </row>
    <row r="64" spans="1:47" ht="14.4" x14ac:dyDescent="0.3">
      <c r="A64" s="13">
        <v>62</v>
      </c>
      <c r="B64" s="88" t="s">
        <v>65</v>
      </c>
      <c r="C64" s="13" t="s">
        <v>727</v>
      </c>
      <c r="D64" s="88" t="str">
        <f t="shared" si="9"/>
        <v>Venue 1.0 Turbo MPi DCT S O</v>
      </c>
      <c r="E64" s="14">
        <v>1185900</v>
      </c>
      <c r="F64" s="107">
        <f t="shared" si="25"/>
        <v>11859</v>
      </c>
      <c r="G64" s="119">
        <f t="shared" si="39"/>
        <v>42158.524496799997</v>
      </c>
      <c r="H64" s="119">
        <f t="shared" si="40"/>
        <v>43094.417802399999</v>
      </c>
      <c r="I64" s="99"/>
      <c r="J64" s="116">
        <f t="shared" si="41"/>
        <v>42158.524496799997</v>
      </c>
      <c r="K64" s="108">
        <f t="shared" si="42"/>
        <v>43094.417802399999</v>
      </c>
      <c r="L64" s="116">
        <f t="shared" si="31"/>
        <v>6333.9125500000009</v>
      </c>
      <c r="M64" s="116">
        <f t="shared" si="32"/>
        <v>7663.30645</v>
      </c>
      <c r="N64" s="116">
        <f t="shared" si="33"/>
        <v>8992.700350000001</v>
      </c>
      <c r="O64" s="116">
        <f t="shared" si="26"/>
        <v>3323.4847500000005</v>
      </c>
      <c r="P64" s="20">
        <f t="shared" si="27"/>
        <v>125940</v>
      </c>
      <c r="Q64" s="118">
        <f t="shared" si="44"/>
        <v>132170</v>
      </c>
      <c r="R64" s="98"/>
      <c r="S64" s="98"/>
      <c r="T64" s="18">
        <v>9994</v>
      </c>
      <c r="U64" s="98"/>
      <c r="V64" s="98">
        <f t="shared" si="29"/>
        <v>19765</v>
      </c>
      <c r="W64" s="113">
        <v>9500</v>
      </c>
      <c r="X64" s="109" t="s">
        <v>282</v>
      </c>
      <c r="Y64" s="98"/>
      <c r="Z64" s="98"/>
      <c r="AA64" s="98"/>
      <c r="AB64" s="98"/>
      <c r="AC64" s="98"/>
      <c r="AD64" s="98">
        <v>2136</v>
      </c>
      <c r="AE64" s="97">
        <v>9554</v>
      </c>
      <c r="AF64" s="98">
        <v>15680</v>
      </c>
      <c r="AG64" s="98">
        <v>21288</v>
      </c>
      <c r="AH64" s="97">
        <v>27501</v>
      </c>
      <c r="AI64" s="111" t="s">
        <v>16</v>
      </c>
      <c r="AJ64" s="111">
        <v>5</v>
      </c>
      <c r="AK64" s="111">
        <v>6521</v>
      </c>
      <c r="AL64" s="111">
        <v>914</v>
      </c>
      <c r="AM64" s="111">
        <v>150</v>
      </c>
      <c r="AN64" s="111">
        <f t="shared" si="43"/>
        <v>750</v>
      </c>
      <c r="AO64" s="111"/>
      <c r="AP64" s="111">
        <f t="shared" si="30"/>
        <v>8335</v>
      </c>
      <c r="AQ64" s="111" t="s">
        <v>285</v>
      </c>
      <c r="AR64" s="111"/>
      <c r="AS64" s="111"/>
      <c r="AT64" s="111"/>
      <c r="AU64" s="97">
        <v>0.2</v>
      </c>
    </row>
    <row r="65" spans="1:47" ht="14.4" x14ac:dyDescent="0.3">
      <c r="A65" s="13">
        <v>63</v>
      </c>
      <c r="B65" s="13" t="s">
        <v>368</v>
      </c>
      <c r="C65" s="13" t="s">
        <v>359</v>
      </c>
      <c r="D65" s="88" t="str">
        <f t="shared" si="9"/>
        <v>Venue N Line 1.0 T N6 MT</v>
      </c>
      <c r="E65" s="14">
        <v>1207700</v>
      </c>
      <c r="F65" s="107">
        <f t="shared" si="25"/>
        <v>12077</v>
      </c>
      <c r="G65" s="119">
        <f>+((E65-E65*0.05)*0.03039)-(((E65-E65*0.05)*0.03039)*0.45)+AP65+(((E65-E65*0.05)*0.03039)-(((E65-E65*0.05)*0.03039)*0.45)+AP65)*0.18+355</f>
        <v>49794.399949650004</v>
      </c>
      <c r="H65" s="119">
        <f>+((E65-E65*0.05)*0.03127)-(((E65-E65*0.05)*0.03127)*0.45)+AP65+(((E65-E65*0.05)*0.03127)-(((E65-E65*0.05)*0.03127)*0.45)+AP65)*0.18+3</f>
        <v>50097.654492449998</v>
      </c>
      <c r="I65" s="99"/>
      <c r="J65" s="116">
        <f>+((E65-E65*0.05)*0.03039)-(((E65-E65*0.05)*0.03039)*AU65)+AP65+(((E65-E65*0.05)*0.03039)-(((E65-E65*0.05)*0.03039)*AU65)+AP65)*0.18+355</f>
        <v>49794.399949650004</v>
      </c>
      <c r="K65" s="108">
        <f>+((E65-E65*0.05)*0.03127)-(((E65-E65*0.05)*0.03127)*AU65)+AP65+(((E65-E65*0.05)*0.03127)-(((E65-E65*0.05)*0.03127)*AU65)+AP65)*0.18+355</f>
        <v>50449.654492449998</v>
      </c>
      <c r="L65" s="116">
        <f t="shared" si="31"/>
        <v>6443.8826500000005</v>
      </c>
      <c r="M65" s="116">
        <f>(((E65*95%)*0.5%)+298)+((((E65*95%)*0.5%)+298)*18%)</f>
        <v>7120.7984999999999</v>
      </c>
      <c r="N65" s="116">
        <f t="shared" si="33"/>
        <v>9151.5460500000008</v>
      </c>
      <c r="O65" s="116">
        <f t="shared" si="26"/>
        <v>3384.5792499999998</v>
      </c>
      <c r="P65" s="20">
        <f t="shared" si="27"/>
        <v>128120</v>
      </c>
      <c r="Q65" s="118">
        <f t="shared" si="44"/>
        <v>134350</v>
      </c>
      <c r="R65" s="98"/>
      <c r="S65" s="98"/>
      <c r="T65" s="18">
        <v>9994</v>
      </c>
      <c r="U65" s="98"/>
      <c r="V65" s="98">
        <f t="shared" si="29"/>
        <v>20128.333333333332</v>
      </c>
      <c r="W65" s="18">
        <v>9500</v>
      </c>
      <c r="X65" s="109" t="s">
        <v>282</v>
      </c>
      <c r="Y65" s="98"/>
      <c r="Z65" s="98"/>
      <c r="AA65" s="98"/>
      <c r="AB65" s="98"/>
      <c r="AC65" s="98"/>
      <c r="AD65" s="98">
        <v>2136</v>
      </c>
      <c r="AE65" s="97"/>
      <c r="AF65" s="98"/>
      <c r="AG65" s="98"/>
      <c r="AH65" s="97"/>
      <c r="AI65" s="111" t="s">
        <v>16</v>
      </c>
      <c r="AJ65" s="111">
        <v>5</v>
      </c>
      <c r="AK65" s="111">
        <v>20907</v>
      </c>
      <c r="AL65" s="111">
        <v>914</v>
      </c>
      <c r="AM65" s="111">
        <v>150</v>
      </c>
      <c r="AN65" s="111">
        <f t="shared" si="43"/>
        <v>750</v>
      </c>
      <c r="AO65" s="111"/>
      <c r="AP65" s="111">
        <f t="shared" si="30"/>
        <v>22721</v>
      </c>
      <c r="AQ65" s="111" t="s">
        <v>285</v>
      </c>
      <c r="AR65" s="111"/>
      <c r="AS65" s="111"/>
      <c r="AT65" s="111">
        <v>150000</v>
      </c>
      <c r="AU65" s="97">
        <v>0.45</v>
      </c>
    </row>
    <row r="66" spans="1:47" ht="14.4" x14ac:dyDescent="0.3">
      <c r="A66" s="13">
        <v>64</v>
      </c>
      <c r="B66" s="13" t="s">
        <v>368</v>
      </c>
      <c r="C66" s="13" t="s">
        <v>360</v>
      </c>
      <c r="D66" s="88" t="str">
        <f t="shared" si="9"/>
        <v>Venue N Line 1.0 T N6 DT MT</v>
      </c>
      <c r="E66" s="14">
        <v>1222700</v>
      </c>
      <c r="F66" s="107">
        <f t="shared" si="25"/>
        <v>12227</v>
      </c>
      <c r="G66" s="119">
        <f>+((E66-E66*0.05)*0.03039)-(((E66-E66*0.05)*0.03039)*0.45)+AP66+(((E66-E66*0.05)*0.03039)-(((E66-E66*0.05)*0.03039)*0.45)+AP66)*0.18+355</f>
        <v>50075.454267149995</v>
      </c>
      <c r="H66" s="119">
        <f>+((E66-E66*0.05)*0.03127)-(((E66-E66*0.05)*0.03127)*0.45)+AP66+(((E66-E66*0.05)*0.03127)-(((E66-E66*0.05)*0.03127)*0.45)+AP66)*0.18+3</f>
        <v>50386.847269949998</v>
      </c>
      <c r="I66" s="99"/>
      <c r="J66" s="116">
        <f>+((E66-E66*0.05)*0.03039)-(((E66-E66*0.05)*0.03039)*AU66)+AP66+(((E66-E66*0.05)*0.03039)-(((E66-E66*0.05)*0.03039)*AU66)+AP66)*0.18+355</f>
        <v>50075.454267149995</v>
      </c>
      <c r="K66" s="108">
        <f>+((E66-E66*0.05)*0.03127)-(((E66-E66*0.05)*0.03127)*AU66)+AP66+(((E66-E66*0.05)*0.03127)-(((E66-E66*0.05)*0.03127)*AU66)+AP66)*0.18+355</f>
        <v>50738.847269949998</v>
      </c>
      <c r="L66" s="116">
        <f t="shared" si="31"/>
        <v>6519.5501500000009</v>
      </c>
      <c r="M66" s="116">
        <f>(((E66*95%)*0.5%)+298)+((((E66*95%)*0.5%)+298)*18%)</f>
        <v>7204.8734999999997</v>
      </c>
      <c r="N66" s="116">
        <f t="shared" si="33"/>
        <v>9260.8435500000014</v>
      </c>
      <c r="O66" s="116">
        <f t="shared" si="26"/>
        <v>3426.6167500000001</v>
      </c>
      <c r="P66" s="20">
        <f t="shared" si="27"/>
        <v>129620</v>
      </c>
      <c r="Q66" s="118">
        <f t="shared" si="44"/>
        <v>135850</v>
      </c>
      <c r="R66" s="98"/>
      <c r="S66" s="98"/>
      <c r="T66" s="18">
        <v>9994</v>
      </c>
      <c r="U66" s="98"/>
      <c r="V66" s="98">
        <f t="shared" si="29"/>
        <v>20378.333333333332</v>
      </c>
      <c r="W66" s="18">
        <v>9500</v>
      </c>
      <c r="X66" s="109" t="s">
        <v>282</v>
      </c>
      <c r="Y66" s="98"/>
      <c r="Z66" s="98"/>
      <c r="AA66" s="98"/>
      <c r="AB66" s="98"/>
      <c r="AC66" s="98"/>
      <c r="AD66" s="98">
        <v>2136</v>
      </c>
      <c r="AE66" s="97"/>
      <c r="AF66" s="98"/>
      <c r="AG66" s="98"/>
      <c r="AH66" s="97"/>
      <c r="AI66" s="111" t="s">
        <v>16</v>
      </c>
      <c r="AJ66" s="111">
        <v>5</v>
      </c>
      <c r="AK66" s="111">
        <v>20907</v>
      </c>
      <c r="AL66" s="111">
        <v>914</v>
      </c>
      <c r="AM66" s="111">
        <v>150</v>
      </c>
      <c r="AN66" s="111">
        <f t="shared" si="43"/>
        <v>750</v>
      </c>
      <c r="AO66" s="111"/>
      <c r="AP66" s="111">
        <f t="shared" si="30"/>
        <v>22721</v>
      </c>
      <c r="AQ66" s="111" t="s">
        <v>285</v>
      </c>
      <c r="AR66" s="111"/>
      <c r="AS66" s="111"/>
      <c r="AT66" s="111">
        <v>150000</v>
      </c>
      <c r="AU66" s="97">
        <v>0.45</v>
      </c>
    </row>
    <row r="67" spans="1:47" ht="14.4" x14ac:dyDescent="0.3">
      <c r="A67" s="13">
        <v>65</v>
      </c>
      <c r="B67" s="13" t="s">
        <v>368</v>
      </c>
      <c r="C67" s="13" t="s">
        <v>361</v>
      </c>
      <c r="D67" s="88" t="str">
        <f t="shared" si="9"/>
        <v>Venue N Line 1.0 T N8 MT</v>
      </c>
      <c r="E67" s="14">
        <v>1295900</v>
      </c>
      <c r="F67" s="107">
        <f t="shared" ref="F67:F77" si="45">IF(E67&gt;999999,((E67*1)/100),"")</f>
        <v>12959</v>
      </c>
      <c r="G67" s="119">
        <f>+((E67-E67*0.05)*0.03191)-(((E67-E67*0.05)*0.03191)*0.2)+AP67+(((E67-E67*0.05)*0.03191)-(((E67-E67*0.05)*0.03191)*0.2)+AP67)*0.18+3</f>
        <v>51783.345159200006</v>
      </c>
      <c r="H67" s="119">
        <f>+((E67-E67*0.05)*0.03283)-(((E67-E67*0.05)*0.03283)*0.2)+AP67+(((E67-E67*0.05)*0.03283)-(((E67-E67*0.05)*0.03283)*0.2)+AP67)*0.18+3</f>
        <v>52852.535229599998</v>
      </c>
      <c r="I67" s="99"/>
      <c r="J67" s="116">
        <f>+((E67-E67*0.05)*0.03191)-(((E67-E67*0.05)*0.03191)*AU67)+AP67+(((E67-E67*0.05)*0.03191)-(((E67-E67*0.05)*0.03191)*AU67)+AP67)*0.18+3</f>
        <v>37876.610724500002</v>
      </c>
      <c r="K67" s="108">
        <f>+((E67-E67*0.05)*0.03283)-(((E67-E67*0.05)*0.03283)*AU67)+AP67+(((E67-E67*0.05)*0.03283)-(((E67-E67*0.05)*0.03283)*AU67)+AP67)*0.18+3</f>
        <v>38544.854518499997</v>
      </c>
      <c r="L67" s="116">
        <f t="shared" si="31"/>
        <v>6888.8075500000014</v>
      </c>
      <c r="M67" s="116">
        <f t="shared" ref="M67:M78" si="46">(((E67*95%)*0.55%)+298)+((((E67*95%)*0.55%)+298)*18%)</f>
        <v>8341.51145</v>
      </c>
      <c r="N67" s="116">
        <f t="shared" si="33"/>
        <v>9794.2153500000004</v>
      </c>
      <c r="O67" s="116">
        <f t="shared" ref="O67:O98" si="47">(((E67*95%)*0.25%))+((((E67*95%)*0.25%))*18%)</f>
        <v>3631.7597500000002</v>
      </c>
      <c r="P67" s="20">
        <f t="shared" ref="P67:P98" si="48">IF(E67&lt;1000000,E67*8%,IF(E67&gt;=1000000,E67*10%))+600+1500+750+4500</f>
        <v>136940</v>
      </c>
      <c r="Q67" s="118">
        <f t="shared" si="44"/>
        <v>143170</v>
      </c>
      <c r="R67" s="98"/>
      <c r="S67" s="98"/>
      <c r="T67" s="18">
        <v>9994</v>
      </c>
      <c r="U67" s="98"/>
      <c r="V67" s="98">
        <f t="shared" ref="V67:V98" si="49">((IF(E67&lt;1000000,E67*8%,IF(AND(E67&gt;=1000000,E67&lt;2000000),E67*10%,IF(E67&gt;=2000000,E67*12%,0)))*1.25*2)/15)</f>
        <v>21598.333333333332</v>
      </c>
      <c r="W67" s="18">
        <v>9500</v>
      </c>
      <c r="X67" s="109" t="s">
        <v>282</v>
      </c>
      <c r="Y67" s="98"/>
      <c r="Z67" s="98"/>
      <c r="AA67" s="98"/>
      <c r="AB67" s="98"/>
      <c r="AC67" s="98"/>
      <c r="AD67" s="98">
        <v>2136</v>
      </c>
      <c r="AE67" s="97">
        <v>9267</v>
      </c>
      <c r="AF67" s="98">
        <v>15134</v>
      </c>
      <c r="AG67" s="98">
        <v>20492</v>
      </c>
      <c r="AH67" s="97">
        <v>26661</v>
      </c>
      <c r="AI67" s="111" t="s">
        <v>16</v>
      </c>
      <c r="AJ67" s="111">
        <v>5</v>
      </c>
      <c r="AK67" s="111">
        <v>10640</v>
      </c>
      <c r="AL67" s="111">
        <v>914</v>
      </c>
      <c r="AM67" s="111">
        <v>150</v>
      </c>
      <c r="AN67" s="111">
        <f t="shared" ref="AN67:AN78" si="50">AJ67*150</f>
        <v>750</v>
      </c>
      <c r="AO67" s="111"/>
      <c r="AP67" s="111">
        <f t="shared" ref="AP67:AP86" si="51">SUM(AK67:AO67)</f>
        <v>12454</v>
      </c>
      <c r="AQ67" s="111" t="s">
        <v>281</v>
      </c>
      <c r="AR67" s="111"/>
      <c r="AS67" s="111"/>
      <c r="AT67" s="111">
        <v>20000</v>
      </c>
      <c r="AU67" s="97">
        <v>0.5</v>
      </c>
    </row>
    <row r="68" spans="1:47" ht="14.4" x14ac:dyDescent="0.3">
      <c r="A68" s="13">
        <v>66</v>
      </c>
      <c r="B68" s="13" t="s">
        <v>368</v>
      </c>
      <c r="C68" s="13" t="s">
        <v>362</v>
      </c>
      <c r="D68" s="88" t="str">
        <f t="shared" ref="D68:D131" si="52">CONCATENATE(B68," ",C68)</f>
        <v>Venue N Line 1.0 T N8 DT MT</v>
      </c>
      <c r="E68" s="14">
        <v>1310900</v>
      </c>
      <c r="F68" s="107">
        <f t="shared" si="45"/>
        <v>13109</v>
      </c>
      <c r="G68" s="119">
        <f>+((E68-E68*0.05)*0.03191)-(((E68-E68*0.05)*0.03191)*0.2)+AP68+(((E68-E68*0.05)*0.03191)-(((E68-E68*0.05)*0.03191)*0.2)+AP68)*0.18+3</f>
        <v>52212.598479200002</v>
      </c>
      <c r="H68" s="119">
        <f>+((E68-E68*0.05)*0.03283)-(((E68-E68*0.05)*0.03283)*0.2)+AP68+(((E68-E68*0.05)*0.03283)-(((E68-E68*0.05)*0.03283)*0.2)+AP68)*0.18+3</f>
        <v>53294.164389599988</v>
      </c>
      <c r="I68" s="99"/>
      <c r="J68" s="116">
        <f>+((E68-E68*0.05)*0.03191)-(((E68-E68*0.05)*0.03191)*AU68)+AP68+(((E68-E68*0.05)*0.03191)-(((E68-E68*0.05)*0.03191)*AU68)+AP68)*0.18+3</f>
        <v>38144.894049499999</v>
      </c>
      <c r="K68" s="108">
        <f>+((E68-E68*0.05)*0.03283)-(((E68-E68*0.05)*0.03283)*AU68)+AP68+(((E68-E68*0.05)*0.03283)-(((E68-E68*0.05)*0.03283)*AU68)+AP68)*0.18+3</f>
        <v>38820.872743499989</v>
      </c>
      <c r="L68" s="116">
        <f t="shared" si="31"/>
        <v>6964.4750500000009</v>
      </c>
      <c r="M68" s="116">
        <f t="shared" si="46"/>
        <v>8433.99395</v>
      </c>
      <c r="N68" s="116">
        <f t="shared" si="33"/>
        <v>9903.512850000001</v>
      </c>
      <c r="O68" s="116">
        <f t="shared" si="47"/>
        <v>3673.7972500000005</v>
      </c>
      <c r="P68" s="20">
        <f t="shared" si="48"/>
        <v>138440</v>
      </c>
      <c r="Q68" s="118">
        <f t="shared" si="44"/>
        <v>144670</v>
      </c>
      <c r="R68" s="98"/>
      <c r="S68" s="98"/>
      <c r="T68" s="18">
        <v>9994</v>
      </c>
      <c r="U68" s="98"/>
      <c r="V68" s="98">
        <f t="shared" si="49"/>
        <v>21848.333333333332</v>
      </c>
      <c r="W68" s="18">
        <v>9500</v>
      </c>
      <c r="X68" s="109" t="s">
        <v>282</v>
      </c>
      <c r="Y68" s="98"/>
      <c r="Z68" s="98"/>
      <c r="AA68" s="98"/>
      <c r="AB68" s="98"/>
      <c r="AC68" s="98"/>
      <c r="AD68" s="98">
        <v>2136</v>
      </c>
      <c r="AE68" s="97">
        <v>9267</v>
      </c>
      <c r="AF68" s="98">
        <v>15134</v>
      </c>
      <c r="AG68" s="98">
        <v>20492</v>
      </c>
      <c r="AH68" s="97">
        <v>26661</v>
      </c>
      <c r="AI68" s="111" t="s">
        <v>16</v>
      </c>
      <c r="AJ68" s="111">
        <v>5</v>
      </c>
      <c r="AK68" s="111">
        <v>10640</v>
      </c>
      <c r="AL68" s="111">
        <v>914</v>
      </c>
      <c r="AM68" s="111">
        <v>150</v>
      </c>
      <c r="AN68" s="111">
        <f t="shared" si="50"/>
        <v>750</v>
      </c>
      <c r="AO68" s="111"/>
      <c r="AP68" s="111">
        <f t="shared" si="51"/>
        <v>12454</v>
      </c>
      <c r="AQ68" s="111" t="s">
        <v>281</v>
      </c>
      <c r="AR68" s="111"/>
      <c r="AS68" s="111"/>
      <c r="AT68" s="111">
        <v>20000</v>
      </c>
      <c r="AU68" s="97">
        <v>0.5</v>
      </c>
    </row>
    <row r="69" spans="1:47" ht="14.4" x14ac:dyDescent="0.3">
      <c r="A69" s="13">
        <v>67</v>
      </c>
      <c r="B69" s="13" t="s">
        <v>368</v>
      </c>
      <c r="C69" s="13" t="s">
        <v>363</v>
      </c>
      <c r="D69" s="88" t="str">
        <f t="shared" si="52"/>
        <v>Venue N Line 1.0 T N6 DCT</v>
      </c>
      <c r="E69" s="14">
        <v>1287300</v>
      </c>
      <c r="F69" s="107">
        <f t="shared" si="45"/>
        <v>12873</v>
      </c>
      <c r="G69" s="119">
        <f>+((E69-E69*0.05)*0.03191)-(((E69-E69*0.05)*0.03191)*0.2)+AP69+(((E69-E69*0.05)*0.03191)-(((E69-E69*0.05)*0.03191)*0.2)+AP69)*0.18+3</f>
        <v>51537.239922399996</v>
      </c>
      <c r="H69" s="119">
        <f>+((E69-E69*0.05)*0.03283)-(((E69-E69*0.05)*0.03283)*0.2)+AP69+(((E69-E69*0.05)*0.03283)-(((E69-E69*0.05)*0.03283)*0.2)+AP69)*0.18+3</f>
        <v>52599.334511199995</v>
      </c>
      <c r="I69" s="99"/>
      <c r="J69" s="116">
        <f>+((E69-E69*0.05)*0.03191)-(((E69-E69*0.05)*0.03191)*AU69)+AP69+(((E69-E69*0.05)*0.03191)-(((E69-E69*0.05)*0.03191)*AU69)+AP69)*0.18+3</f>
        <v>37722.7949515</v>
      </c>
      <c r="K69" s="108">
        <f>+((E69-E69*0.05)*0.03283)-(((E69-E69*0.05)*0.03283)*AU69)+AP69+(((E69-E69*0.05)*0.03283)-(((E69-E69*0.05)*0.03283)*AU69)+AP69)*0.18+3</f>
        <v>38386.604069499997</v>
      </c>
      <c r="L69" s="116">
        <f t="shared" si="31"/>
        <v>6845.4248500000003</v>
      </c>
      <c r="M69" s="116">
        <f t="shared" si="46"/>
        <v>8288.488150000001</v>
      </c>
      <c r="N69" s="116">
        <f t="shared" si="33"/>
        <v>9731.551449999999</v>
      </c>
      <c r="O69" s="116">
        <f t="shared" si="47"/>
        <v>3607.65825</v>
      </c>
      <c r="P69" s="20">
        <f t="shared" si="48"/>
        <v>136080</v>
      </c>
      <c r="Q69" s="118">
        <f t="shared" si="44"/>
        <v>142310</v>
      </c>
      <c r="R69" s="98"/>
      <c r="S69" s="98"/>
      <c r="T69" s="18">
        <v>9994</v>
      </c>
      <c r="U69" s="98"/>
      <c r="V69" s="98">
        <f t="shared" si="49"/>
        <v>21455</v>
      </c>
      <c r="W69" s="18">
        <v>9500</v>
      </c>
      <c r="X69" s="109" t="s">
        <v>282</v>
      </c>
      <c r="Y69" s="98"/>
      <c r="Z69" s="98"/>
      <c r="AA69" s="98"/>
      <c r="AB69" s="98"/>
      <c r="AC69" s="98"/>
      <c r="AD69" s="98">
        <v>2136</v>
      </c>
      <c r="AE69" s="97">
        <v>9267</v>
      </c>
      <c r="AF69" s="98">
        <v>15134</v>
      </c>
      <c r="AG69" s="98">
        <v>20492</v>
      </c>
      <c r="AH69" s="97">
        <v>26661</v>
      </c>
      <c r="AI69" s="111" t="s">
        <v>16</v>
      </c>
      <c r="AJ69" s="111">
        <v>5</v>
      </c>
      <c r="AK69" s="111">
        <v>10640</v>
      </c>
      <c r="AL69" s="111">
        <v>914</v>
      </c>
      <c r="AM69" s="111">
        <v>150</v>
      </c>
      <c r="AN69" s="111">
        <f t="shared" si="50"/>
        <v>750</v>
      </c>
      <c r="AO69" s="111"/>
      <c r="AP69" s="111">
        <f t="shared" si="51"/>
        <v>12454</v>
      </c>
      <c r="AQ69" s="111" t="s">
        <v>281</v>
      </c>
      <c r="AR69" s="111"/>
      <c r="AS69" s="111"/>
      <c r="AT69" s="111">
        <v>20000</v>
      </c>
      <c r="AU69" s="97">
        <v>0.5</v>
      </c>
    </row>
    <row r="70" spans="1:47" ht="14.4" x14ac:dyDescent="0.3">
      <c r="A70" s="13">
        <v>68</v>
      </c>
      <c r="B70" s="13" t="s">
        <v>368</v>
      </c>
      <c r="C70" s="13" t="s">
        <v>364</v>
      </c>
      <c r="D70" s="88" t="str">
        <f t="shared" si="52"/>
        <v>Venue N Line 1.0 T N6 DT DCT</v>
      </c>
      <c r="E70" s="14">
        <v>1302300</v>
      </c>
      <c r="F70" s="107">
        <f t="shared" si="45"/>
        <v>13023</v>
      </c>
      <c r="G70" s="119">
        <f>+((E70-E70*0.05)*0.03191)-(((E70-E70*0.05)*0.03191)*0.2)+AP70+(((E70-E70*0.05)*0.03191)-(((E70-E70*0.05)*0.03191)*0.2)+AP70)*0.18+3</f>
        <v>51966.4932424</v>
      </c>
      <c r="H70" s="119">
        <f>+((E70-E70*0.05)*0.03283)-(((E70-E70*0.05)*0.03283)*0.2)+AP70+(((E70-E70*0.05)*0.03283)-(((E70-E70*0.05)*0.03283)*0.2)+AP70)*0.18+3</f>
        <v>53040.963671199999</v>
      </c>
      <c r="I70" s="99"/>
      <c r="J70" s="116">
        <f>+((E70-E70*0.05)*0.03191)-(((E70-E70*0.05)*0.03191)*AU70)+AP70+(((E70-E70*0.05)*0.03191)-(((E70-E70*0.05)*0.03191)*AU70)+AP70)*0.18+3</f>
        <v>37991.078276499997</v>
      </c>
      <c r="K70" s="108">
        <f>+((E70-E70*0.05)*0.03283)-(((E70-E70*0.05)*0.03283)*AU70)+AP70+(((E70-E70*0.05)*0.03283)-(((E70-E70*0.05)*0.03283)*AU70)+AP70)*0.18+3</f>
        <v>38662.622294499997</v>
      </c>
      <c r="L70" s="116">
        <f t="shared" si="31"/>
        <v>6921.0923500000008</v>
      </c>
      <c r="M70" s="116">
        <f t="shared" si="46"/>
        <v>8380.9706500000011</v>
      </c>
      <c r="N70" s="116">
        <f t="shared" si="33"/>
        <v>9840.8489499999996</v>
      </c>
      <c r="O70" s="116">
        <f t="shared" si="47"/>
        <v>3649.6957499999999</v>
      </c>
      <c r="P70" s="20">
        <f t="shared" si="48"/>
        <v>137580</v>
      </c>
      <c r="Q70" s="118">
        <f t="shared" si="44"/>
        <v>143810</v>
      </c>
      <c r="R70" s="98"/>
      <c r="S70" s="98"/>
      <c r="T70" s="18">
        <v>9994</v>
      </c>
      <c r="U70" s="98"/>
      <c r="V70" s="98">
        <f t="shared" si="49"/>
        <v>21705</v>
      </c>
      <c r="W70" s="18">
        <v>9500</v>
      </c>
      <c r="X70" s="109" t="s">
        <v>282</v>
      </c>
      <c r="Y70" s="98"/>
      <c r="Z70" s="98"/>
      <c r="AA70" s="98"/>
      <c r="AB70" s="98"/>
      <c r="AC70" s="98"/>
      <c r="AD70" s="98">
        <v>2136</v>
      </c>
      <c r="AE70" s="97">
        <v>9267</v>
      </c>
      <c r="AF70" s="98">
        <v>15134</v>
      </c>
      <c r="AG70" s="98">
        <v>20492</v>
      </c>
      <c r="AH70" s="97">
        <v>26661</v>
      </c>
      <c r="AI70" s="111" t="s">
        <v>16</v>
      </c>
      <c r="AJ70" s="111">
        <v>5</v>
      </c>
      <c r="AK70" s="111">
        <v>10640</v>
      </c>
      <c r="AL70" s="111">
        <v>914</v>
      </c>
      <c r="AM70" s="111">
        <v>150</v>
      </c>
      <c r="AN70" s="111">
        <f t="shared" si="50"/>
        <v>750</v>
      </c>
      <c r="AO70" s="111"/>
      <c r="AP70" s="111">
        <f t="shared" si="51"/>
        <v>12454</v>
      </c>
      <c r="AQ70" s="111" t="s">
        <v>281</v>
      </c>
      <c r="AR70" s="111"/>
      <c r="AS70" s="111"/>
      <c r="AT70" s="111">
        <v>20000</v>
      </c>
      <c r="AU70" s="97">
        <v>0.5</v>
      </c>
    </row>
    <row r="71" spans="1:47" ht="14.4" x14ac:dyDescent="0.3">
      <c r="A71" s="13">
        <v>69</v>
      </c>
      <c r="B71" s="13" t="s">
        <v>368</v>
      </c>
      <c r="C71" s="13" t="s">
        <v>365</v>
      </c>
      <c r="D71" s="88" t="str">
        <f t="shared" si="52"/>
        <v>Venue N Line 1.0 T N8 DCT</v>
      </c>
      <c r="E71" s="14">
        <v>1374800</v>
      </c>
      <c r="F71" s="107">
        <f t="shared" si="45"/>
        <v>13748</v>
      </c>
      <c r="G71" s="119">
        <f>+((E71-E71*0.05)*0.03191)-(((E71-E71*0.05)*0.03191)*0.2)+AP71+(((E71-E71*0.05)*0.03191)-(((E71-E71*0.05)*0.03191)*0.2)+AP71)*0.18+3</f>
        <v>54041.2176224</v>
      </c>
      <c r="H71" s="119">
        <f>+((E71-E71*0.05)*0.03283)-(((E71-E71*0.05)*0.03283)*0.2)+AP71+(((E71-E71*0.05)*0.03283)-(((E71-E71*0.05)*0.03283)*0.2)+AP71)*0.18+3</f>
        <v>55175.504611199998</v>
      </c>
      <c r="I71" s="99"/>
      <c r="J71" s="116">
        <f>+((E71-E71*0.05)*0.03191)-(((E71-E71*0.05)*0.03191)*AU71)+AP71+(((E71-E71*0.05)*0.03191)-(((E71-E71*0.05)*0.03191)*AU71)+AP71)*0.18+3</f>
        <v>39287.781014000007</v>
      </c>
      <c r="K71" s="108">
        <f>+((E71-E71*0.05)*0.03283)-(((E71-E71*0.05)*0.03283)*AU71)+AP71+(((E71-E71*0.05)*0.03283)-(((E71-E71*0.05)*0.03283)*AU71)+AP71)*0.18+3</f>
        <v>39996.710382000005</v>
      </c>
      <c r="L71" s="116">
        <f t="shared" si="31"/>
        <v>7286.8186000000005</v>
      </c>
      <c r="M71" s="116">
        <f t="shared" si="46"/>
        <v>8827.9694000000018</v>
      </c>
      <c r="N71" s="116">
        <f t="shared" si="33"/>
        <v>10369.120200000001</v>
      </c>
      <c r="O71" s="116">
        <f t="shared" si="47"/>
        <v>3852.877</v>
      </c>
      <c r="P71" s="20">
        <f t="shared" si="48"/>
        <v>144830</v>
      </c>
      <c r="Q71" s="118">
        <f t="shared" si="44"/>
        <v>151060</v>
      </c>
      <c r="R71" s="98"/>
      <c r="S71" s="98"/>
      <c r="T71" s="18">
        <v>9994</v>
      </c>
      <c r="U71" s="98"/>
      <c r="V71" s="98">
        <f t="shared" si="49"/>
        <v>22913.333333333332</v>
      </c>
      <c r="W71" s="18">
        <v>9500</v>
      </c>
      <c r="X71" s="109" t="s">
        <v>282</v>
      </c>
      <c r="Y71" s="98"/>
      <c r="Z71" s="98"/>
      <c r="AA71" s="98"/>
      <c r="AB71" s="98"/>
      <c r="AC71" s="98"/>
      <c r="AD71" s="98">
        <v>2136</v>
      </c>
      <c r="AE71" s="97">
        <v>9267</v>
      </c>
      <c r="AF71" s="98">
        <v>15134</v>
      </c>
      <c r="AG71" s="98">
        <v>20492</v>
      </c>
      <c r="AH71" s="97">
        <v>26661</v>
      </c>
      <c r="AI71" s="111" t="s">
        <v>16</v>
      </c>
      <c r="AJ71" s="111">
        <v>5</v>
      </c>
      <c r="AK71" s="111">
        <v>10640</v>
      </c>
      <c r="AL71" s="111">
        <v>914</v>
      </c>
      <c r="AM71" s="111">
        <v>150</v>
      </c>
      <c r="AN71" s="111">
        <f t="shared" si="50"/>
        <v>750</v>
      </c>
      <c r="AO71" s="111"/>
      <c r="AP71" s="111">
        <f t="shared" si="51"/>
        <v>12454</v>
      </c>
      <c r="AQ71" s="111" t="s">
        <v>281</v>
      </c>
      <c r="AR71" s="111"/>
      <c r="AS71" s="111"/>
      <c r="AT71" s="111">
        <v>20000</v>
      </c>
      <c r="AU71" s="97">
        <v>0.5</v>
      </c>
    </row>
    <row r="72" spans="1:47" ht="14.4" x14ac:dyDescent="0.3">
      <c r="A72" s="13">
        <v>70</v>
      </c>
      <c r="B72" s="13" t="s">
        <v>368</v>
      </c>
      <c r="C72" s="13" t="s">
        <v>366</v>
      </c>
      <c r="D72" s="88" t="str">
        <f t="shared" si="52"/>
        <v>Venue N Line 1.0 T N8 DT DCT</v>
      </c>
      <c r="E72" s="14">
        <v>1389800</v>
      </c>
      <c r="F72" s="107">
        <f t="shared" si="45"/>
        <v>13898</v>
      </c>
      <c r="G72" s="119">
        <f>+((E72-E72*0.05)*0.03191-(((E72-E72*0.05)*0.03191)*0.2))+((E72-E72*0.05)*0.03191-(((E72-E72*0.05)*0.03191)*0.2))*0.05+AP72+(((E72-E72*0.05)*0.03191-(((E72-E72*0.05)*0.03191)*0.2))+(((E72-E72*0.05)*0.03191-(((E72-E72*0.05)*0.03191)*0.2))*0.05)+AP72)*0.18+3</f>
        <v>56671.45848952001</v>
      </c>
      <c r="H72" s="119">
        <f>+((E72-E72*0.05)*0.03283-(((E72-E72*0.05)*0.03283)*0.2))+((E72-E72*0.05)*0.03283-(((E72-E72*0.05)*0.03283)*0.2))*0.05+AP72+(((E72-E72*0.05)*0.03283-(((E72-E72*0.05)*0.03283)*0.2))+(((E72-E72*0.05)*0.03283-(((E72-E72*0.05)*0.03283)*0.2))*0.05)+AP72)*0.18+3</f>
        <v>57875.454459759989</v>
      </c>
      <c r="I72" s="99"/>
      <c r="J72" s="116">
        <f>+((E72-E72*0.05)*0.03191-(((E72-E72*0.05)*0.03191)*AU72))+((E72-E72*0.05)*0.03191-(((E72-E72*0.05)*0.03191)*AU72))*0.05+AP72+(((E72-E72*0.05)*0.03191-(((E72-E72*0.05)*0.03191)*AU72))+(((E72-E72*0.05)*0.03191-(((E72-E72*0.05)*0.03191)*AU72))*0.05)+AP72)*0.18+3</f>
        <v>41011.331555949997</v>
      </c>
      <c r="K72" s="108">
        <f>+((E72-E72*0.05)*0.03283-(((E72-E72*0.05)*0.03283)*AU72))+((E72-E72*0.05)*0.03283-(((E72-E72*0.05)*0.03283)*AU72))*0.05+AP72+(((E72-E72*0.05)*0.03283-(((E72-E72*0.05)*0.03283)*AU72))+(((E72-E72*0.05)*0.03283-(((E72-E72*0.05)*0.03283)*AU72))*0.05)+AP72)*0.18+3</f>
        <v>41763.829037349999</v>
      </c>
      <c r="L72" s="116">
        <f t="shared" si="31"/>
        <v>7362.4861000000001</v>
      </c>
      <c r="M72" s="116">
        <f t="shared" si="46"/>
        <v>8920.4519</v>
      </c>
      <c r="N72" s="116">
        <f t="shared" si="33"/>
        <v>10478.417700000002</v>
      </c>
      <c r="O72" s="116">
        <f t="shared" si="47"/>
        <v>3894.9144999999999</v>
      </c>
      <c r="P72" s="20">
        <f t="shared" si="48"/>
        <v>146330</v>
      </c>
      <c r="Q72" s="118">
        <f t="shared" si="44"/>
        <v>152560</v>
      </c>
      <c r="R72" s="98"/>
      <c r="S72" s="98"/>
      <c r="T72" s="18">
        <v>9994</v>
      </c>
      <c r="U72" s="98"/>
      <c r="V72" s="98">
        <f t="shared" si="49"/>
        <v>23163.333333333332</v>
      </c>
      <c r="W72" s="18">
        <v>9500</v>
      </c>
      <c r="X72" s="109" t="s">
        <v>282</v>
      </c>
      <c r="Y72" s="98"/>
      <c r="Z72" s="98"/>
      <c r="AA72" s="98"/>
      <c r="AB72" s="98"/>
      <c r="AC72" s="98"/>
      <c r="AD72" s="98">
        <v>2136</v>
      </c>
      <c r="AE72" s="97">
        <v>9267</v>
      </c>
      <c r="AF72" s="98">
        <v>15134</v>
      </c>
      <c r="AG72" s="98">
        <v>20492</v>
      </c>
      <c r="AH72" s="97">
        <v>26661</v>
      </c>
      <c r="AI72" s="111" t="s">
        <v>16</v>
      </c>
      <c r="AJ72" s="111">
        <v>5</v>
      </c>
      <c r="AK72" s="111">
        <v>10640</v>
      </c>
      <c r="AL72" s="111">
        <v>914</v>
      </c>
      <c r="AM72" s="111">
        <v>150</v>
      </c>
      <c r="AN72" s="111">
        <f t="shared" si="50"/>
        <v>750</v>
      </c>
      <c r="AO72" s="111">
        <v>180</v>
      </c>
      <c r="AP72" s="111">
        <f t="shared" si="51"/>
        <v>12634</v>
      </c>
      <c r="AQ72" s="111" t="s">
        <v>281</v>
      </c>
      <c r="AR72" s="111"/>
      <c r="AS72" s="111"/>
      <c r="AT72" s="111">
        <v>25000</v>
      </c>
      <c r="AU72" s="97">
        <v>0.5</v>
      </c>
    </row>
    <row r="73" spans="1:47" ht="14.4" x14ac:dyDescent="0.3">
      <c r="A73" s="88">
        <v>71</v>
      </c>
      <c r="B73" s="88" t="s">
        <v>57</v>
      </c>
      <c r="C73" s="88" t="s">
        <v>341</v>
      </c>
      <c r="D73" s="88" t="str">
        <f t="shared" si="52"/>
        <v>New i20 Era MT</v>
      </c>
      <c r="E73" s="14">
        <v>704400</v>
      </c>
      <c r="F73" s="107" t="str">
        <f t="shared" si="45"/>
        <v/>
      </c>
      <c r="G73" s="119">
        <f>+((E73-E73*0.05)*0.03191)-(((E73-E73*0.05)*0.03191)*0.2)+AP73+(((E73-E73*0.05)*0.03191)-(((E73-E73*0.05)*0.03191)*0.2)+AP73)*0.18+3</f>
        <v>34856.455907199997</v>
      </c>
      <c r="H73" s="119">
        <f>+((E73-E73*0.05)*0.03283)-(((E73-E73*0.05)*0.03283)*0.2)+AP73+(((E73-E73*0.05)*0.03283)-(((E73-E73*0.05)*0.03283)*0.2)+AP73)*0.18+3</f>
        <v>35437.6253536</v>
      </c>
      <c r="I73" s="99"/>
      <c r="J73" s="116">
        <f>+((E73-E73*0.05)*0.03191)-(((E73-E73*0.05)*0.03191)*AU73)+AP73+(((E73-E73*0.05)*0.03191)-(((E73-E73*0.05)*0.03191)*AU73)+AP73)*0.18+3</f>
        <v>27297.304942000002</v>
      </c>
      <c r="K73" s="108">
        <f>+((E73-E73*0.05)*0.03283)-(((E73-E73*0.05)*0.03283)*AU73)+AP73+(((E73-E73*0.05)*0.03283)-(((E73-E73*0.05)*0.03283)*AU73)+AP73)*0.18+3</f>
        <v>27660.535845999995</v>
      </c>
      <c r="L73" s="116">
        <f t="shared" si="31"/>
        <v>3904.9858000000004</v>
      </c>
      <c r="M73" s="116">
        <f t="shared" si="46"/>
        <v>4694.6181999999999</v>
      </c>
      <c r="N73" s="116">
        <f t="shared" si="33"/>
        <v>5484.2506000000003</v>
      </c>
      <c r="O73" s="116">
        <f t="shared" si="47"/>
        <v>1974.0810000000001</v>
      </c>
      <c r="P73" s="20">
        <f t="shared" si="48"/>
        <v>63702</v>
      </c>
      <c r="Q73" s="20">
        <f t="shared" ref="Q73:Q85" si="53">IF(E73&lt;600000,E73*4%,IF(E73&lt;1000000,E73*7%,IF(E73&gt;1000000,E73*10%)))+600+1500+230+4000+2000+4500+750</f>
        <v>62888.000000000007</v>
      </c>
      <c r="R73" s="98"/>
      <c r="S73" s="98"/>
      <c r="T73" s="18">
        <v>10031</v>
      </c>
      <c r="U73" s="98"/>
      <c r="V73" s="98">
        <f t="shared" si="49"/>
        <v>9392</v>
      </c>
      <c r="W73" s="14">
        <v>9000</v>
      </c>
      <c r="X73" s="109" t="s">
        <v>282</v>
      </c>
      <c r="Y73" s="98"/>
      <c r="Z73" s="98"/>
      <c r="AA73" s="98"/>
      <c r="AB73" s="98"/>
      <c r="AC73" s="98"/>
      <c r="AD73" s="98">
        <v>2136</v>
      </c>
      <c r="AE73" s="97">
        <v>9267</v>
      </c>
      <c r="AF73" s="98">
        <v>15134</v>
      </c>
      <c r="AG73" s="98">
        <v>20492</v>
      </c>
      <c r="AH73" s="97">
        <v>26661</v>
      </c>
      <c r="AI73" s="111" t="s">
        <v>16</v>
      </c>
      <c r="AJ73" s="111">
        <v>5</v>
      </c>
      <c r="AK73" s="111">
        <v>10640</v>
      </c>
      <c r="AL73" s="111">
        <v>914</v>
      </c>
      <c r="AM73" s="111">
        <v>150</v>
      </c>
      <c r="AN73" s="111">
        <f t="shared" si="50"/>
        <v>750</v>
      </c>
      <c r="AO73" s="111"/>
      <c r="AP73" s="111">
        <f t="shared" si="51"/>
        <v>12454</v>
      </c>
      <c r="AQ73" s="111" t="s">
        <v>281</v>
      </c>
      <c r="AR73" s="111"/>
      <c r="AS73" s="111"/>
      <c r="AT73" s="111">
        <v>20000</v>
      </c>
      <c r="AU73" s="97">
        <v>0.5</v>
      </c>
    </row>
    <row r="74" spans="1:47" ht="14.4" x14ac:dyDescent="0.3">
      <c r="A74" s="88">
        <v>72</v>
      </c>
      <c r="B74" s="88" t="s">
        <v>57</v>
      </c>
      <c r="C74" s="88" t="s">
        <v>342</v>
      </c>
      <c r="D74" s="88" t="str">
        <f t="shared" si="52"/>
        <v>New i20 Magna MT</v>
      </c>
      <c r="E74" s="14">
        <v>774800</v>
      </c>
      <c r="F74" s="107" t="str">
        <f t="shared" si="45"/>
        <v/>
      </c>
      <c r="G74" s="119">
        <f>+((E74-E74*0.05)*0.03191)-(((E74-E74*0.05)*0.03191)*0.2)+AP74+(((E74-E74*0.05)*0.03191)-(((E74-E74*0.05)*0.03191)*0.2)+AP74)*0.18+3</f>
        <v>36871.0848224</v>
      </c>
      <c r="H74" s="119">
        <f>+((E74-E74*0.05)*0.03283)-(((E74-E74*0.05)*0.03283)*0.2)+AP74+(((E74-E74*0.05)*0.03283)-(((E74-E74*0.05)*0.03283)*0.2)+AP74)*0.18+3</f>
        <v>37510.338211200004</v>
      </c>
      <c r="I74" s="99"/>
      <c r="J74" s="116">
        <f>+((E74-E74*0.05)*0.03191)-(((E74-E74*0.05)*0.03191)*AU74)+AP74+(((E74-E74*0.05)*0.03191)-(((E74-E74*0.05)*0.03191)*AU74)+AP74)*0.18+3</f>
        <v>28556.448013999998</v>
      </c>
      <c r="K74" s="108">
        <f>+((E74-E74*0.05)*0.03283)-(((E74-E74*0.05)*0.03283)*AU74)+AP74+(((E74-E74*0.05)*0.03283)-(((E74-E74*0.05)*0.03283)*AU74)+AP74)*0.18+3</f>
        <v>28955.981381999998</v>
      </c>
      <c r="L74" s="116">
        <f t="shared" si="31"/>
        <v>4260.1186000000007</v>
      </c>
      <c r="M74" s="116">
        <f t="shared" si="46"/>
        <v>5128.6693999999998</v>
      </c>
      <c r="N74" s="116">
        <f t="shared" si="33"/>
        <v>5997.2202000000007</v>
      </c>
      <c r="O74" s="116">
        <f t="shared" si="47"/>
        <v>2171.377</v>
      </c>
      <c r="P74" s="20">
        <f t="shared" si="48"/>
        <v>69334</v>
      </c>
      <c r="Q74" s="20">
        <f t="shared" si="53"/>
        <v>67816</v>
      </c>
      <c r="R74" s="98"/>
      <c r="S74" s="98"/>
      <c r="T74" s="18">
        <v>10031</v>
      </c>
      <c r="U74" s="98"/>
      <c r="V74" s="98">
        <f t="shared" si="49"/>
        <v>10330.666666666666</v>
      </c>
      <c r="W74" s="14">
        <v>9000</v>
      </c>
      <c r="X74" s="109" t="s">
        <v>282</v>
      </c>
      <c r="Y74" s="98"/>
      <c r="Z74" s="98"/>
      <c r="AA74" s="98"/>
      <c r="AB74" s="98"/>
      <c r="AC74" s="98"/>
      <c r="AD74" s="98">
        <v>2136</v>
      </c>
      <c r="AE74" s="97">
        <v>9267</v>
      </c>
      <c r="AF74" s="98">
        <v>15134</v>
      </c>
      <c r="AG74" s="98">
        <v>20492</v>
      </c>
      <c r="AH74" s="97">
        <v>26661</v>
      </c>
      <c r="AI74" s="111" t="s">
        <v>16</v>
      </c>
      <c r="AJ74" s="111">
        <v>5</v>
      </c>
      <c r="AK74" s="111">
        <v>10640</v>
      </c>
      <c r="AL74" s="111">
        <v>914</v>
      </c>
      <c r="AM74" s="111">
        <v>150</v>
      </c>
      <c r="AN74" s="111">
        <f t="shared" si="50"/>
        <v>750</v>
      </c>
      <c r="AO74" s="111"/>
      <c r="AP74" s="111">
        <f t="shared" si="51"/>
        <v>12454</v>
      </c>
      <c r="AQ74" s="111" t="s">
        <v>281</v>
      </c>
      <c r="AR74" s="111"/>
      <c r="AS74" s="111"/>
      <c r="AT74" s="111">
        <v>20000</v>
      </c>
      <c r="AU74" s="97">
        <v>0.5</v>
      </c>
    </row>
    <row r="75" spans="1:47" ht="14.4" x14ac:dyDescent="0.3">
      <c r="A75" s="88">
        <v>73</v>
      </c>
      <c r="B75" s="88" t="s">
        <v>57</v>
      </c>
      <c r="C75" s="88" t="s">
        <v>343</v>
      </c>
      <c r="D75" s="88" t="str">
        <f t="shared" si="52"/>
        <v>New i20 Sportz MT</v>
      </c>
      <c r="E75" s="14">
        <v>837800</v>
      </c>
      <c r="F75" s="107" t="str">
        <f t="shared" si="45"/>
        <v/>
      </c>
      <c r="G75" s="119">
        <f>+((E75-E75*0.05)*0.03191)-(((E75-E75*0.05)*0.03191)*0.2)+AP75+(((E75-E75*0.05)*0.03191)-(((E75-E75*0.05)*0.03191)*0.2)+AP75)*0.18+3</f>
        <v>38673.948766399997</v>
      </c>
      <c r="H75" s="119">
        <f>+((E75-E75*0.05)*0.03283)-(((E75-E75*0.05)*0.03283)*0.2)+AP75+(((E75-E75*0.05)*0.03283)-(((E75-E75*0.05)*0.03283)*0.2)+AP75)*0.18+3</f>
        <v>39365.1806832</v>
      </c>
      <c r="I75" s="99"/>
      <c r="J75" s="116">
        <f>+((E75-E75*0.05)*0.03191)-(((E75-E75*0.05)*0.03191)*AU75)+AP75+(((E75-E75*0.05)*0.03191)-(((E75-E75*0.05)*0.03191)*AU75)+AP75)*0.18+3</f>
        <v>29683.237979000001</v>
      </c>
      <c r="K75" s="108">
        <f>+((E75-E75*0.05)*0.03283)-(((E75-E75*0.05)*0.03283)*AU75)+AP75+(((E75-E75*0.05)*0.03283)-(((E75-E75*0.05)*0.03283)*AU75)+AP75)*0.18+3</f>
        <v>30115.257926999999</v>
      </c>
      <c r="L75" s="116">
        <f t="shared" si="31"/>
        <v>4577.9220999999998</v>
      </c>
      <c r="M75" s="116">
        <f t="shared" si="46"/>
        <v>5517.0959000000003</v>
      </c>
      <c r="N75" s="116">
        <f t="shared" si="33"/>
        <v>6456.2697000000007</v>
      </c>
      <c r="O75" s="116">
        <f t="shared" si="47"/>
        <v>2347.9345000000003</v>
      </c>
      <c r="P75" s="20">
        <f t="shared" si="48"/>
        <v>74374</v>
      </c>
      <c r="Q75" s="20">
        <f t="shared" si="53"/>
        <v>72226</v>
      </c>
      <c r="R75" s="98"/>
      <c r="S75" s="98"/>
      <c r="T75" s="18">
        <v>10031</v>
      </c>
      <c r="U75" s="98"/>
      <c r="V75" s="98">
        <f t="shared" si="49"/>
        <v>11170.666666666666</v>
      </c>
      <c r="W75" s="14">
        <v>9000</v>
      </c>
      <c r="X75" s="109" t="s">
        <v>282</v>
      </c>
      <c r="Y75" s="98"/>
      <c r="Z75" s="98"/>
      <c r="AA75" s="98"/>
      <c r="AB75" s="98"/>
      <c r="AC75" s="98"/>
      <c r="AD75" s="98">
        <v>2136</v>
      </c>
      <c r="AE75" s="97">
        <v>9267</v>
      </c>
      <c r="AF75" s="98">
        <v>15134</v>
      </c>
      <c r="AG75" s="98">
        <v>20492</v>
      </c>
      <c r="AH75" s="97">
        <v>26661</v>
      </c>
      <c r="AI75" s="111" t="s">
        <v>16</v>
      </c>
      <c r="AJ75" s="111">
        <v>5</v>
      </c>
      <c r="AK75" s="111">
        <v>10640</v>
      </c>
      <c r="AL75" s="111">
        <v>914</v>
      </c>
      <c r="AM75" s="111">
        <v>150</v>
      </c>
      <c r="AN75" s="111">
        <f t="shared" si="50"/>
        <v>750</v>
      </c>
      <c r="AO75" s="111"/>
      <c r="AP75" s="111">
        <f t="shared" si="51"/>
        <v>12454</v>
      </c>
      <c r="AQ75" s="111" t="s">
        <v>286</v>
      </c>
      <c r="AR75" s="111"/>
      <c r="AS75" s="111"/>
      <c r="AT75" s="111">
        <v>20000</v>
      </c>
      <c r="AU75" s="97">
        <v>0.5</v>
      </c>
    </row>
    <row r="76" spans="1:47" ht="14.4" x14ac:dyDescent="0.3">
      <c r="A76" s="88">
        <v>74</v>
      </c>
      <c r="B76" s="88" t="s">
        <v>57</v>
      </c>
      <c r="C76" s="88" t="s">
        <v>667</v>
      </c>
      <c r="D76" s="88" t="str">
        <f t="shared" si="52"/>
        <v>New i20 Sportz MT DT</v>
      </c>
      <c r="E76" s="14">
        <v>852800</v>
      </c>
      <c r="F76" s="107" t="str">
        <f t="shared" si="45"/>
        <v/>
      </c>
      <c r="G76" s="119">
        <f>+((E76-E76*0.05)*0.03191-(((E76-E76*0.05)*0.03191)*0.2))+((E76-E76*0.05)*0.03191-(((E76-E76*0.05)*0.03191)*0.2))*0.05+AP76+(((E76-E76*0.05)*0.03191-(((E76-E76*0.05)*0.03191)*0.2))+(((E76-E76*0.05)*0.03191-(((E76-E76*0.05)*0.03191)*0.2))*0.05)+AP76)*0.18+3</f>
        <v>40535.826190720007</v>
      </c>
      <c r="H76" s="119">
        <f>+((E76-E76*0.05)*0.03283-(((E76-E76*0.05)*0.03283)*0.2))+((E76-E76*0.05)*0.03283-(((E76-E76*0.05)*0.03283)*0.2))*0.05+AP76+(((E76-E76*0.05)*0.03283-(((E76-E76*0.05)*0.03283)*0.2))+(((E76-E76*0.05)*0.03283-(((E76-E76*0.05)*0.03283)*0.2))*0.05)+AP76)*0.18+3</f>
        <v>41274.614335359998</v>
      </c>
      <c r="I76" s="99"/>
      <c r="J76" s="116">
        <f>+((E76-E76*0.05)*0.03191-(((E76-E76*0.05)*0.03191)*AU76))+((E76-E76*0.05)*0.03191-(((E76-E76*0.05)*0.03191)*AU76))*0.05+AP76+(((E76-E76*0.05)*0.03191-(((E76-E76*0.05)*0.03191)*AU76))+(((E76-E76*0.05)*0.03191-(((E76-E76*0.05)*0.03191)*AU76))*0.05)+AP76)*0.18+3</f>
        <v>30926.561369200001</v>
      </c>
      <c r="K76" s="108">
        <f>+((E76-E76*0.05)*0.03283-(((E76-E76*0.05)*0.03283)*AU76))+((E76-E76*0.05)*0.03283-(((E76-E76*0.05)*0.03283)*AU76))*0.05+AP76+(((E76-E76*0.05)*0.03283-(((E76-E76*0.05)*0.03283)*AU76))+(((E76-E76*0.05)*0.03283-(((E76-E76*0.05)*0.03283)*AU76))*0.05)+AP76)*0.18+3</f>
        <v>31388.303959599998</v>
      </c>
      <c r="L76" s="116">
        <f t="shared" si="31"/>
        <v>4653.5896000000002</v>
      </c>
      <c r="M76" s="116">
        <f t="shared" si="46"/>
        <v>5609.5784000000003</v>
      </c>
      <c r="N76" s="116">
        <f t="shared" si="33"/>
        <v>6565.5672000000013</v>
      </c>
      <c r="O76" s="116">
        <f t="shared" si="47"/>
        <v>2389.9720000000002</v>
      </c>
      <c r="P76" s="20">
        <f t="shared" si="48"/>
        <v>75574</v>
      </c>
      <c r="Q76" s="20">
        <f t="shared" si="53"/>
        <v>73276</v>
      </c>
      <c r="R76" s="98"/>
      <c r="S76" s="98"/>
      <c r="T76" s="18">
        <v>10031</v>
      </c>
      <c r="U76" s="98"/>
      <c r="V76" s="98">
        <f t="shared" si="49"/>
        <v>11370.666666666666</v>
      </c>
      <c r="W76" s="14">
        <v>9000</v>
      </c>
      <c r="X76" s="109" t="s">
        <v>282</v>
      </c>
      <c r="Y76" s="98"/>
      <c r="Z76" s="98"/>
      <c r="AA76" s="98"/>
      <c r="AB76" s="98"/>
      <c r="AC76" s="98"/>
      <c r="AD76" s="98">
        <v>2136</v>
      </c>
      <c r="AE76" s="97">
        <v>9267</v>
      </c>
      <c r="AF76" s="98">
        <v>15134</v>
      </c>
      <c r="AG76" s="98">
        <v>20492</v>
      </c>
      <c r="AH76" s="97">
        <v>26661</v>
      </c>
      <c r="AI76" s="111" t="s">
        <v>16</v>
      </c>
      <c r="AJ76" s="111">
        <v>5</v>
      </c>
      <c r="AK76" s="111">
        <v>10640</v>
      </c>
      <c r="AL76" s="111">
        <v>914</v>
      </c>
      <c r="AM76" s="111">
        <v>150</v>
      </c>
      <c r="AN76" s="111">
        <f t="shared" si="50"/>
        <v>750</v>
      </c>
      <c r="AO76" s="111">
        <v>180</v>
      </c>
      <c r="AP76" s="111">
        <f t="shared" si="51"/>
        <v>12634</v>
      </c>
      <c r="AQ76" s="111" t="s">
        <v>281</v>
      </c>
      <c r="AR76" s="111"/>
      <c r="AS76" s="111"/>
      <c r="AT76" s="111">
        <v>25000</v>
      </c>
      <c r="AU76" s="97">
        <v>0.5</v>
      </c>
    </row>
    <row r="77" spans="1:47" ht="14.4" x14ac:dyDescent="0.3">
      <c r="A77" s="88">
        <v>75</v>
      </c>
      <c r="B77" s="88" t="s">
        <v>57</v>
      </c>
      <c r="C77" s="88" t="s">
        <v>728</v>
      </c>
      <c r="D77" s="88" t="str">
        <f t="shared" si="52"/>
        <v>New i20 Sportz O MT</v>
      </c>
      <c r="E77" s="14">
        <v>872800</v>
      </c>
      <c r="F77" s="107" t="str">
        <f t="shared" si="45"/>
        <v/>
      </c>
      <c r="G77" s="119">
        <f>+((E77-E77*0.05)*0.03191)-(((E77-E77*0.05)*0.03191)*0.2)+AP77+(((E77-E77*0.05)*0.03191)-(((E77-E77*0.05)*0.03191)*0.2)+AP77)*0.18+3</f>
        <v>39675.539846400003</v>
      </c>
      <c r="H77" s="119">
        <f>+((E77-E77*0.05)*0.03283)-(((E77-E77*0.05)*0.03283)*0.2)+AP77+(((E77-E77*0.05)*0.03283)-(((E77-E77*0.05)*0.03283)*0.2)+AP77)*0.18+3</f>
        <v>40395.6487232</v>
      </c>
      <c r="I77" s="99"/>
      <c r="J77" s="116">
        <f>+((E77-E77*0.05)*0.03191)-(((E77-E77*0.05)*0.03191)*AU77)+AP77+(((E77-E77*0.05)*0.03191)-(((E77-E77*0.05)*0.03191)*AU77)+AP77)*0.18+3</f>
        <v>30309.232404000002</v>
      </c>
      <c r="K77" s="108">
        <f>+((E77-E77*0.05)*0.03283)-(((E77-E77*0.05)*0.03283)*AU77)+AP77+(((E77-E77*0.05)*0.03283)-(((E77-E77*0.05)*0.03283)*AU77)+AP77)*0.18+3</f>
        <v>30759.300451999996</v>
      </c>
      <c r="L77" s="116">
        <f t="shared" si="31"/>
        <v>4754.4796000000006</v>
      </c>
      <c r="M77" s="116">
        <f t="shared" si="46"/>
        <v>5732.8883999999998</v>
      </c>
      <c r="N77" s="116">
        <f t="shared" si="33"/>
        <v>6711.2972000000009</v>
      </c>
      <c r="O77" s="116">
        <f t="shared" si="47"/>
        <v>2446.0219999999999</v>
      </c>
      <c r="P77" s="20">
        <f t="shared" si="48"/>
        <v>77174</v>
      </c>
      <c r="Q77" s="20">
        <f t="shared" si="53"/>
        <v>74676</v>
      </c>
      <c r="R77" s="98"/>
      <c r="S77" s="98"/>
      <c r="T77" s="18">
        <v>10031</v>
      </c>
      <c r="U77" s="98"/>
      <c r="V77" s="98">
        <f t="shared" si="49"/>
        <v>11637.333333333334</v>
      </c>
      <c r="W77" s="14">
        <v>9000</v>
      </c>
      <c r="X77" s="109" t="s">
        <v>282</v>
      </c>
      <c r="Y77" s="98"/>
      <c r="Z77" s="98"/>
      <c r="AA77" s="98"/>
      <c r="AB77" s="98"/>
      <c r="AC77" s="98"/>
      <c r="AD77" s="98">
        <v>2136</v>
      </c>
      <c r="AE77" s="97">
        <v>9267</v>
      </c>
      <c r="AF77" s="98">
        <v>15134</v>
      </c>
      <c r="AG77" s="98">
        <v>20492</v>
      </c>
      <c r="AH77" s="97">
        <v>26661</v>
      </c>
      <c r="AI77" s="111" t="s">
        <v>16</v>
      </c>
      <c r="AJ77" s="111">
        <v>5</v>
      </c>
      <c r="AK77" s="111">
        <v>10640</v>
      </c>
      <c r="AL77" s="111">
        <v>914</v>
      </c>
      <c r="AM77" s="111">
        <v>150</v>
      </c>
      <c r="AN77" s="111">
        <f t="shared" si="50"/>
        <v>750</v>
      </c>
      <c r="AO77" s="111"/>
      <c r="AP77" s="111">
        <f t="shared" si="51"/>
        <v>12454</v>
      </c>
      <c r="AQ77" s="111" t="s">
        <v>281</v>
      </c>
      <c r="AR77" s="111"/>
      <c r="AS77" s="111"/>
      <c r="AT77" s="111">
        <v>20000</v>
      </c>
      <c r="AU77" s="97">
        <v>0.5</v>
      </c>
    </row>
    <row r="78" spans="1:47" ht="14.4" x14ac:dyDescent="0.3">
      <c r="A78" s="88">
        <v>76</v>
      </c>
      <c r="B78" s="88" t="s">
        <v>57</v>
      </c>
      <c r="C78" s="88" t="s">
        <v>729</v>
      </c>
      <c r="D78" s="88" t="str">
        <f t="shared" si="52"/>
        <v>New i20 Sportz O MT DT</v>
      </c>
      <c r="E78" s="14">
        <v>887800</v>
      </c>
      <c r="F78" s="107"/>
      <c r="G78" s="119">
        <f>+((E78-E78*0.05)*0.03191)-(((E78-E78*0.05)*0.03191)*0.2)+AP78+(((E78-E78*0.05)*0.03191)-(((E78-E78*0.05)*0.03191)*0.2)+AP78)*0.18+3</f>
        <v>40104.793166400006</v>
      </c>
      <c r="H78" s="119">
        <f>+((E78-E78*0.05)*0.03283)-(((E78-E78*0.05)*0.03283)*0.2)+AP78+(((E78-E78*0.05)*0.03283)-(((E78-E78*0.05)*0.03283)*0.2)+AP78)*0.18+3</f>
        <v>40837.277883200004</v>
      </c>
      <c r="I78" s="99"/>
      <c r="J78" s="116">
        <f>+((E78-E78*0.05)*0.03191)-(((E78-E78*0.05)*0.03191)*AU78)+AP78+(((E78-E78*0.05)*0.03191)-(((E78-E78*0.05)*0.03191)*AU78)+AP78)*0.18+3</f>
        <v>30577.515728999999</v>
      </c>
      <c r="K78" s="108">
        <f>+((E78-E78*0.05)*0.03283)-(((E78-E78*0.05)*0.03283)*AU78)+AP78+(((E78-E78*0.05)*0.03283)-(((E78-E78*0.05)*0.03283)*AU78)+AP78)*0.18+3</f>
        <v>31035.318676999996</v>
      </c>
      <c r="L78" s="116">
        <f t="shared" si="31"/>
        <v>4830.1471000000001</v>
      </c>
      <c r="M78" s="116">
        <f t="shared" si="46"/>
        <v>5825.3708999999999</v>
      </c>
      <c r="N78" s="116">
        <f t="shared" si="33"/>
        <v>6820.5947000000015</v>
      </c>
      <c r="O78" s="116">
        <f t="shared" si="47"/>
        <v>2488.0595000000003</v>
      </c>
      <c r="P78" s="20">
        <f t="shared" si="48"/>
        <v>78374</v>
      </c>
      <c r="Q78" s="20">
        <f t="shared" si="53"/>
        <v>75726</v>
      </c>
      <c r="R78" s="98"/>
      <c r="S78" s="98"/>
      <c r="T78" s="18">
        <v>10031</v>
      </c>
      <c r="U78" s="98"/>
      <c r="V78" s="98">
        <f t="shared" si="49"/>
        <v>11837.333333333334</v>
      </c>
      <c r="W78" s="14">
        <v>9000</v>
      </c>
      <c r="X78" s="109" t="s">
        <v>282</v>
      </c>
      <c r="Y78" s="98"/>
      <c r="Z78" s="98"/>
      <c r="AA78" s="98"/>
      <c r="AB78" s="98"/>
      <c r="AC78" s="98"/>
      <c r="AD78" s="98">
        <v>2136</v>
      </c>
      <c r="AE78" s="97">
        <v>9267</v>
      </c>
      <c r="AF78" s="98">
        <v>15134</v>
      </c>
      <c r="AG78" s="98">
        <v>20492</v>
      </c>
      <c r="AH78" s="97">
        <v>26661</v>
      </c>
      <c r="AI78" s="111" t="s">
        <v>16</v>
      </c>
      <c r="AJ78" s="111">
        <v>5</v>
      </c>
      <c r="AK78" s="111">
        <v>10640</v>
      </c>
      <c r="AL78" s="111">
        <v>914</v>
      </c>
      <c r="AM78" s="111">
        <v>150</v>
      </c>
      <c r="AN78" s="111">
        <f t="shared" si="50"/>
        <v>750</v>
      </c>
      <c r="AO78" s="111"/>
      <c r="AP78" s="111">
        <f t="shared" si="51"/>
        <v>12454</v>
      </c>
      <c r="AQ78" s="111" t="s">
        <v>287</v>
      </c>
      <c r="AR78" s="111"/>
      <c r="AS78" s="111"/>
      <c r="AT78" s="111">
        <v>20000</v>
      </c>
      <c r="AU78" s="97">
        <v>0.5</v>
      </c>
    </row>
    <row r="79" spans="1:47" ht="14.4" x14ac:dyDescent="0.3">
      <c r="A79" s="88">
        <v>77</v>
      </c>
      <c r="B79" s="88" t="s">
        <v>57</v>
      </c>
      <c r="C79" s="88" t="s">
        <v>344</v>
      </c>
      <c r="D79" s="88" t="str">
        <f t="shared" si="52"/>
        <v>New i20 Asta MT</v>
      </c>
      <c r="E79" s="14">
        <v>933800</v>
      </c>
      <c r="F79" s="107" t="str">
        <f t="shared" ref="F79:F110" si="54">IF(E79&gt;999999,((E79*1)/100),"")</f>
        <v/>
      </c>
      <c r="G79" s="108">
        <f t="shared" ref="G79:G86" si="55">+((E79-E79*0.05)*0.03343)-(((E79-E79*0.05)*0.03343)*0.2)+AP79+(((E79-E79*0.05)*0.03343)-(((E79-E79*0.05)*0.03343)*0.2)+AP79)*0.18+3</f>
        <v>59162.146411199996</v>
      </c>
      <c r="H79" s="108">
        <f t="shared" ref="H79:H86" si="56">+((E79-E79*0.05)*0.0344)-(((E79-E79*0.05)*0.0344)*0.2)+AP79+(((E79-E79*0.05)*0.0344)-(((E79-E79*0.05)*0.0344)*0.2)+AP79)*0.18+3</f>
        <v>59974.455296</v>
      </c>
      <c r="I79" s="99"/>
      <c r="J79" s="116">
        <f t="shared" ref="J79:J86" si="57">+((E79-E79*0.05)*0.03343)-(((E79-E79*0.05)*0.03343)*AU79)+AP79+(((E79-E79*0.05)*0.03343)-(((E79-E79*0.05)*0.03343)*AU79)+AP79)*0.18+3</f>
        <v>45164.473205599999</v>
      </c>
      <c r="K79" s="108">
        <f t="shared" ref="K79:K86" si="58">+((E79-E79*0.05)*0.0344)-(((E79-E79*0.05)*0.0344)*AU79)+AP79+(((E79-E79*0.05)*0.0344)-(((E79-E79*0.05)*0.0344)*AU79)+AP79)*0.18+3</f>
        <v>45570.627648000001</v>
      </c>
      <c r="L79" s="108">
        <f t="shared" ref="L79:L110" si="59">(((E79*95%)*0.4%)+298)+((((E79*95%)*0.4%)+298)*18%)</f>
        <v>4538.7992000000004</v>
      </c>
      <c r="M79" s="108">
        <f t="shared" ref="M79:M110" si="60">(((E79*95%)*0.5%)+298)+((((E79*95%)*0.5%)+298)*18%)</f>
        <v>5585.5889999999999</v>
      </c>
      <c r="N79" s="116">
        <f t="shared" ref="N79:N110" si="61">(((E79*95%)*0.6%)+298)+((((E79*95%)*0.6%)+298)*18%)</f>
        <v>6632.3787999999995</v>
      </c>
      <c r="O79" s="116">
        <f t="shared" si="47"/>
        <v>2616.9745000000003</v>
      </c>
      <c r="P79" s="20">
        <f t="shared" si="48"/>
        <v>82054</v>
      </c>
      <c r="Q79" s="20">
        <f t="shared" si="53"/>
        <v>78946</v>
      </c>
      <c r="R79" s="98"/>
      <c r="S79" s="98"/>
      <c r="T79" s="18">
        <v>10031</v>
      </c>
      <c r="U79" s="98"/>
      <c r="V79" s="98">
        <f t="shared" si="49"/>
        <v>12450.666666666666</v>
      </c>
      <c r="W79" s="14">
        <v>9000</v>
      </c>
      <c r="X79" s="109" t="s">
        <v>282</v>
      </c>
      <c r="Y79" s="110"/>
      <c r="Z79" s="110"/>
      <c r="AA79" s="110"/>
      <c r="AB79" s="98"/>
      <c r="AC79" s="98"/>
      <c r="AD79" s="98">
        <v>2136</v>
      </c>
      <c r="AE79" s="97"/>
      <c r="AF79" s="98"/>
      <c r="AG79" s="98"/>
      <c r="AH79" s="97">
        <v>33096</v>
      </c>
      <c r="AI79" s="111" t="s">
        <v>16</v>
      </c>
      <c r="AJ79" s="111">
        <v>5</v>
      </c>
      <c r="AK79" s="111">
        <v>24596</v>
      </c>
      <c r="AL79" s="111">
        <v>914</v>
      </c>
      <c r="AM79" s="111">
        <v>150</v>
      </c>
      <c r="AN79" s="111">
        <v>750</v>
      </c>
      <c r="AO79" s="111"/>
      <c r="AP79" s="111">
        <f t="shared" si="51"/>
        <v>26410</v>
      </c>
      <c r="AQ79" s="114" t="s">
        <v>283</v>
      </c>
      <c r="AR79" s="111"/>
      <c r="AS79" s="111"/>
      <c r="AT79" s="111"/>
      <c r="AU79" s="97">
        <v>0.6</v>
      </c>
    </row>
    <row r="80" spans="1:47" ht="14.4" x14ac:dyDescent="0.3">
      <c r="A80" s="88">
        <v>78</v>
      </c>
      <c r="B80" s="88" t="s">
        <v>57</v>
      </c>
      <c r="C80" s="88" t="s">
        <v>738</v>
      </c>
      <c r="D80" s="88" t="str">
        <f t="shared" si="52"/>
        <v>New i20 Asta O MT</v>
      </c>
      <c r="E80" s="14">
        <v>999800</v>
      </c>
      <c r="F80" s="107" t="str">
        <f t="shared" si="54"/>
        <v/>
      </c>
      <c r="G80" s="108">
        <f t="shared" si="55"/>
        <v>61140.827995200001</v>
      </c>
      <c r="H80" s="108">
        <f t="shared" si="56"/>
        <v>62010.550016000001</v>
      </c>
      <c r="I80" s="99"/>
      <c r="J80" s="116">
        <f t="shared" si="57"/>
        <v>46153.813997600002</v>
      </c>
      <c r="K80" s="108">
        <f t="shared" si="58"/>
        <v>46588.675007999998</v>
      </c>
      <c r="L80" s="108">
        <f t="shared" si="59"/>
        <v>4834.7431999999999</v>
      </c>
      <c r="M80" s="108">
        <f t="shared" si="60"/>
        <v>5955.5190000000002</v>
      </c>
      <c r="N80" s="116">
        <f t="shared" si="61"/>
        <v>7076.2947999999997</v>
      </c>
      <c r="O80" s="116">
        <f t="shared" si="47"/>
        <v>2801.9395</v>
      </c>
      <c r="P80" s="20">
        <f t="shared" si="48"/>
        <v>87334</v>
      </c>
      <c r="Q80" s="20">
        <f t="shared" si="53"/>
        <v>83566</v>
      </c>
      <c r="R80" s="98"/>
      <c r="S80" s="98"/>
      <c r="T80" s="18">
        <v>10031</v>
      </c>
      <c r="U80" s="98"/>
      <c r="V80" s="98">
        <f t="shared" si="49"/>
        <v>13330.666666666666</v>
      </c>
      <c r="W80" s="14">
        <v>9000</v>
      </c>
      <c r="X80" s="109" t="s">
        <v>282</v>
      </c>
      <c r="Y80" s="110"/>
      <c r="Z80" s="110"/>
      <c r="AA80" s="110"/>
      <c r="AB80" s="98"/>
      <c r="AC80" s="98"/>
      <c r="AD80" s="98">
        <v>2136</v>
      </c>
      <c r="AE80" s="97"/>
      <c r="AF80" s="98"/>
      <c r="AG80" s="98"/>
      <c r="AH80" s="97">
        <v>33096</v>
      </c>
      <c r="AI80" s="111" t="s">
        <v>16</v>
      </c>
      <c r="AJ80" s="111">
        <v>5</v>
      </c>
      <c r="AK80" s="111">
        <v>24596</v>
      </c>
      <c r="AL80" s="111">
        <v>914</v>
      </c>
      <c r="AM80" s="111">
        <v>150</v>
      </c>
      <c r="AN80" s="111">
        <v>750</v>
      </c>
      <c r="AO80" s="111"/>
      <c r="AP80" s="111">
        <f t="shared" si="51"/>
        <v>26410</v>
      </c>
      <c r="AQ80" s="114" t="s">
        <v>283</v>
      </c>
      <c r="AR80" s="111"/>
      <c r="AS80" s="111"/>
      <c r="AT80" s="111"/>
      <c r="AU80" s="97">
        <v>0.6</v>
      </c>
    </row>
    <row r="81" spans="1:47" ht="14.4" x14ac:dyDescent="0.3">
      <c r="A81" s="88">
        <v>79</v>
      </c>
      <c r="B81" s="88" t="s">
        <v>57</v>
      </c>
      <c r="C81" s="88" t="s">
        <v>739</v>
      </c>
      <c r="D81" s="88" t="str">
        <f t="shared" si="52"/>
        <v>New i20 Asta O MT DT</v>
      </c>
      <c r="E81" s="14">
        <v>1017800</v>
      </c>
      <c r="F81" s="107">
        <f t="shared" si="54"/>
        <v>10178</v>
      </c>
      <c r="G81" s="108">
        <f t="shared" si="55"/>
        <v>61680.468427200001</v>
      </c>
      <c r="H81" s="108">
        <f t="shared" si="56"/>
        <v>62565.848575999997</v>
      </c>
      <c r="I81" s="99"/>
      <c r="J81" s="116">
        <f t="shared" si="57"/>
        <v>46423.634213600009</v>
      </c>
      <c r="K81" s="108">
        <f t="shared" si="58"/>
        <v>46866.324287999996</v>
      </c>
      <c r="L81" s="108">
        <f t="shared" si="59"/>
        <v>4915.4551999999994</v>
      </c>
      <c r="M81" s="108">
        <f t="shared" si="60"/>
        <v>6056.4090000000006</v>
      </c>
      <c r="N81" s="116">
        <f t="shared" si="61"/>
        <v>7197.3627999999999</v>
      </c>
      <c r="O81" s="116">
        <f t="shared" si="47"/>
        <v>2852.3845000000001</v>
      </c>
      <c r="P81" s="20">
        <f t="shared" si="48"/>
        <v>109130</v>
      </c>
      <c r="Q81" s="20">
        <f t="shared" si="53"/>
        <v>115360</v>
      </c>
      <c r="R81" s="98"/>
      <c r="S81" s="98"/>
      <c r="T81" s="18">
        <v>10031</v>
      </c>
      <c r="U81" s="98"/>
      <c r="V81" s="98">
        <f t="shared" si="49"/>
        <v>16963.333333333332</v>
      </c>
      <c r="W81" s="14">
        <v>9000</v>
      </c>
      <c r="X81" s="109" t="s">
        <v>282</v>
      </c>
      <c r="Y81" s="110"/>
      <c r="Z81" s="110"/>
      <c r="AA81" s="110"/>
      <c r="AB81" s="98"/>
      <c r="AC81" s="98"/>
      <c r="AD81" s="98">
        <v>2136</v>
      </c>
      <c r="AE81" s="97"/>
      <c r="AF81" s="98"/>
      <c r="AG81" s="98"/>
      <c r="AH81" s="97">
        <v>33096</v>
      </c>
      <c r="AI81" s="111" t="s">
        <v>16</v>
      </c>
      <c r="AJ81" s="111">
        <v>5</v>
      </c>
      <c r="AK81" s="111">
        <v>24596</v>
      </c>
      <c r="AL81" s="111">
        <v>914</v>
      </c>
      <c r="AM81" s="111">
        <v>150</v>
      </c>
      <c r="AN81" s="111">
        <v>750</v>
      </c>
      <c r="AO81" s="111"/>
      <c r="AP81" s="111">
        <f t="shared" si="51"/>
        <v>26410</v>
      </c>
      <c r="AQ81" s="114" t="s">
        <v>283</v>
      </c>
      <c r="AR81" s="111"/>
      <c r="AS81" s="111"/>
      <c r="AT81" s="111"/>
      <c r="AU81" s="97">
        <v>0.6</v>
      </c>
    </row>
    <row r="82" spans="1:47" ht="14.4" x14ac:dyDescent="0.3">
      <c r="A82" s="88">
        <v>80</v>
      </c>
      <c r="B82" s="88" t="s">
        <v>57</v>
      </c>
      <c r="C82" s="88" t="s">
        <v>345</v>
      </c>
      <c r="D82" s="88" t="str">
        <f t="shared" si="52"/>
        <v>New i20 Sportz iVT</v>
      </c>
      <c r="E82" s="14">
        <v>942800</v>
      </c>
      <c r="F82" s="107" t="str">
        <f t="shared" si="54"/>
        <v/>
      </c>
      <c r="G82" s="108">
        <f t="shared" si="55"/>
        <v>59431.966627200003</v>
      </c>
      <c r="H82" s="108">
        <f t="shared" si="56"/>
        <v>60252.104576000005</v>
      </c>
      <c r="I82" s="99"/>
      <c r="J82" s="116">
        <f t="shared" si="57"/>
        <v>45299.383313600003</v>
      </c>
      <c r="K82" s="108">
        <f t="shared" si="58"/>
        <v>45709.452288</v>
      </c>
      <c r="L82" s="108">
        <f t="shared" si="59"/>
        <v>4579.1552000000001</v>
      </c>
      <c r="M82" s="108">
        <f t="shared" si="60"/>
        <v>5636.0340000000006</v>
      </c>
      <c r="N82" s="116">
        <f t="shared" si="61"/>
        <v>6692.9128000000001</v>
      </c>
      <c r="O82" s="116">
        <f t="shared" si="47"/>
        <v>2642.1970000000001</v>
      </c>
      <c r="P82" s="118">
        <f t="shared" si="48"/>
        <v>82774</v>
      </c>
      <c r="Q82" s="20">
        <f t="shared" si="53"/>
        <v>79576</v>
      </c>
      <c r="R82" s="98"/>
      <c r="S82" s="98"/>
      <c r="T82" s="18">
        <v>10031</v>
      </c>
      <c r="U82" s="98"/>
      <c r="V82" s="98">
        <f t="shared" si="49"/>
        <v>12570.666666666666</v>
      </c>
      <c r="W82" s="14">
        <v>9000</v>
      </c>
      <c r="X82" s="109" t="s">
        <v>282</v>
      </c>
      <c r="Y82" s="110"/>
      <c r="Z82" s="110"/>
      <c r="AA82" s="110"/>
      <c r="AB82" s="98"/>
      <c r="AC82" s="98"/>
      <c r="AD82" s="98">
        <v>2136</v>
      </c>
      <c r="AE82" s="97"/>
      <c r="AF82" s="98"/>
      <c r="AG82" s="98"/>
      <c r="AH82" s="97">
        <v>33096</v>
      </c>
      <c r="AI82" s="111" t="s">
        <v>16</v>
      </c>
      <c r="AJ82" s="111">
        <v>5</v>
      </c>
      <c r="AK82" s="111">
        <v>24596</v>
      </c>
      <c r="AL82" s="111">
        <v>914</v>
      </c>
      <c r="AM82" s="111">
        <v>150</v>
      </c>
      <c r="AN82" s="111">
        <v>750</v>
      </c>
      <c r="AO82" s="111"/>
      <c r="AP82" s="111">
        <f t="shared" si="51"/>
        <v>26410</v>
      </c>
      <c r="AQ82" s="114" t="s">
        <v>283</v>
      </c>
      <c r="AR82" s="111"/>
      <c r="AS82" s="111"/>
      <c r="AT82" s="111"/>
      <c r="AU82" s="97">
        <v>0.6</v>
      </c>
    </row>
    <row r="83" spans="1:47" ht="14.4" x14ac:dyDescent="0.3">
      <c r="A83" s="88">
        <v>81</v>
      </c>
      <c r="B83" s="88" t="s">
        <v>57</v>
      </c>
      <c r="C83" s="88" t="s">
        <v>730</v>
      </c>
      <c r="D83" s="88" t="str">
        <f t="shared" si="52"/>
        <v>New i20 Sportz O iVT</v>
      </c>
      <c r="E83" s="14">
        <v>977800</v>
      </c>
      <c r="F83" s="107" t="str">
        <f t="shared" si="54"/>
        <v/>
      </c>
      <c r="G83" s="108">
        <f t="shared" si="55"/>
        <v>60481.267467199999</v>
      </c>
      <c r="H83" s="108">
        <f t="shared" si="56"/>
        <v>61331.851775999996</v>
      </c>
      <c r="I83" s="99"/>
      <c r="J83" s="116">
        <f t="shared" si="57"/>
        <v>45824.033733600008</v>
      </c>
      <c r="K83" s="108">
        <f t="shared" si="58"/>
        <v>46249.325888000007</v>
      </c>
      <c r="L83" s="108">
        <f t="shared" si="59"/>
        <v>4736.0951999999997</v>
      </c>
      <c r="M83" s="108">
        <f t="shared" si="60"/>
        <v>5832.2089999999998</v>
      </c>
      <c r="N83" s="116">
        <f t="shared" si="61"/>
        <v>6928.3227999999999</v>
      </c>
      <c r="O83" s="116">
        <f t="shared" si="47"/>
        <v>2740.2845000000002</v>
      </c>
      <c r="P83" s="118">
        <f t="shared" si="48"/>
        <v>85574</v>
      </c>
      <c r="Q83" s="20">
        <f t="shared" si="53"/>
        <v>82026</v>
      </c>
      <c r="R83" s="98"/>
      <c r="S83" s="98"/>
      <c r="T83" s="18">
        <v>10031</v>
      </c>
      <c r="U83" s="98"/>
      <c r="V83" s="98">
        <f t="shared" si="49"/>
        <v>13037.333333333334</v>
      </c>
      <c r="W83" s="14">
        <v>9000</v>
      </c>
      <c r="X83" s="109" t="s">
        <v>282</v>
      </c>
      <c r="Y83" s="110"/>
      <c r="Z83" s="110"/>
      <c r="AA83" s="110"/>
      <c r="AB83" s="98"/>
      <c r="AC83" s="98"/>
      <c r="AD83" s="98">
        <v>2136</v>
      </c>
      <c r="AE83" s="97"/>
      <c r="AF83" s="98"/>
      <c r="AG83" s="98"/>
      <c r="AH83" s="97">
        <v>33096</v>
      </c>
      <c r="AI83" s="111" t="s">
        <v>16</v>
      </c>
      <c r="AJ83" s="111">
        <v>5</v>
      </c>
      <c r="AK83" s="111">
        <v>24596</v>
      </c>
      <c r="AL83" s="111">
        <v>914</v>
      </c>
      <c r="AM83" s="111">
        <v>150</v>
      </c>
      <c r="AN83" s="111">
        <v>750</v>
      </c>
      <c r="AO83" s="111"/>
      <c r="AP83" s="111">
        <f t="shared" si="51"/>
        <v>26410</v>
      </c>
      <c r="AQ83" s="114" t="s">
        <v>288</v>
      </c>
      <c r="AR83" s="111"/>
      <c r="AS83" s="111"/>
      <c r="AT83" s="111"/>
      <c r="AU83" s="97">
        <v>0.6</v>
      </c>
    </row>
    <row r="84" spans="1:47" ht="14.4" x14ac:dyDescent="0.3">
      <c r="A84" s="88">
        <v>82</v>
      </c>
      <c r="B84" s="88" t="s">
        <v>57</v>
      </c>
      <c r="C84" s="88" t="s">
        <v>740</v>
      </c>
      <c r="D84" s="88" t="str">
        <f t="shared" si="52"/>
        <v>New i20 Asta O iVT</v>
      </c>
      <c r="E84" s="14">
        <v>1105900</v>
      </c>
      <c r="F84" s="107">
        <f t="shared" si="54"/>
        <v>11059</v>
      </c>
      <c r="G84" s="108">
        <f t="shared" si="55"/>
        <v>64321.708541600005</v>
      </c>
      <c r="H84" s="108">
        <f t="shared" si="56"/>
        <v>65283.726527999999</v>
      </c>
      <c r="I84" s="99"/>
      <c r="J84" s="116">
        <f t="shared" si="57"/>
        <v>47744.254270800004</v>
      </c>
      <c r="K84" s="108">
        <f t="shared" si="58"/>
        <v>48225.263264000001</v>
      </c>
      <c r="L84" s="108">
        <f t="shared" si="59"/>
        <v>5310.4956000000002</v>
      </c>
      <c r="M84" s="108">
        <f t="shared" si="60"/>
        <v>6550.2095000000008</v>
      </c>
      <c r="N84" s="116">
        <f t="shared" si="61"/>
        <v>7789.9233999999997</v>
      </c>
      <c r="O84" s="116">
        <f t="shared" si="47"/>
        <v>3099.2847500000003</v>
      </c>
      <c r="P84" s="118">
        <f t="shared" si="48"/>
        <v>117940</v>
      </c>
      <c r="Q84" s="20">
        <f t="shared" si="53"/>
        <v>124170</v>
      </c>
      <c r="R84" s="98"/>
      <c r="S84" s="98"/>
      <c r="T84" s="18">
        <v>10031</v>
      </c>
      <c r="U84" s="98"/>
      <c r="V84" s="98">
        <f t="shared" si="49"/>
        <v>18431.666666666668</v>
      </c>
      <c r="W84" s="14">
        <v>9000</v>
      </c>
      <c r="X84" s="109" t="s">
        <v>282</v>
      </c>
      <c r="Y84" s="110"/>
      <c r="Z84" s="110"/>
      <c r="AA84" s="110"/>
      <c r="AB84" s="98"/>
      <c r="AC84" s="98"/>
      <c r="AD84" s="98">
        <v>2136</v>
      </c>
      <c r="AE84" s="97"/>
      <c r="AF84" s="98"/>
      <c r="AG84" s="98"/>
      <c r="AH84" s="97">
        <v>26768</v>
      </c>
      <c r="AI84" s="111" t="s">
        <v>16</v>
      </c>
      <c r="AJ84" s="111">
        <v>5</v>
      </c>
      <c r="AK84" s="111">
        <v>24596</v>
      </c>
      <c r="AL84" s="111">
        <v>914</v>
      </c>
      <c r="AM84" s="111">
        <v>150</v>
      </c>
      <c r="AN84" s="111">
        <v>750</v>
      </c>
      <c r="AO84" s="111"/>
      <c r="AP84" s="111">
        <f t="shared" si="51"/>
        <v>26410</v>
      </c>
      <c r="AQ84" s="114" t="s">
        <v>283</v>
      </c>
      <c r="AR84" s="111"/>
      <c r="AS84" s="111"/>
      <c r="AT84" s="111"/>
      <c r="AU84" s="97">
        <v>0.6</v>
      </c>
    </row>
    <row r="85" spans="1:47" ht="14.4" x14ac:dyDescent="0.3">
      <c r="A85" s="88">
        <v>83</v>
      </c>
      <c r="B85" s="88" t="s">
        <v>57</v>
      </c>
      <c r="C85" s="88" t="s">
        <v>741</v>
      </c>
      <c r="D85" s="88" t="str">
        <f t="shared" si="52"/>
        <v>New i20 Asta O iVT DT</v>
      </c>
      <c r="E85" s="14">
        <v>1120900</v>
      </c>
      <c r="F85" s="107">
        <f t="shared" si="54"/>
        <v>11209</v>
      </c>
      <c r="G85" s="108">
        <f t="shared" si="55"/>
        <v>64771.4089016</v>
      </c>
      <c r="H85" s="108">
        <f t="shared" si="56"/>
        <v>65746.475328</v>
      </c>
      <c r="I85" s="99"/>
      <c r="J85" s="116">
        <f t="shared" si="57"/>
        <v>47969.104450799998</v>
      </c>
      <c r="K85" s="108">
        <f t="shared" si="58"/>
        <v>48456.637664000002</v>
      </c>
      <c r="L85" s="108">
        <f t="shared" si="59"/>
        <v>5377.7556000000004</v>
      </c>
      <c r="M85" s="108">
        <f t="shared" si="60"/>
        <v>6634.2845000000007</v>
      </c>
      <c r="N85" s="116">
        <f t="shared" si="61"/>
        <v>7890.8134</v>
      </c>
      <c r="O85" s="116">
        <f t="shared" si="47"/>
        <v>3141.3222500000002</v>
      </c>
      <c r="P85" s="118">
        <f t="shared" si="48"/>
        <v>119440</v>
      </c>
      <c r="Q85" s="20">
        <f t="shared" si="53"/>
        <v>125670</v>
      </c>
      <c r="R85" s="98"/>
      <c r="S85" s="98"/>
      <c r="T85" s="18">
        <v>10031</v>
      </c>
      <c r="U85" s="98"/>
      <c r="V85" s="98">
        <f t="shared" si="49"/>
        <v>18681.666666666668</v>
      </c>
      <c r="W85" s="14">
        <v>9000</v>
      </c>
      <c r="X85" s="109" t="s">
        <v>282</v>
      </c>
      <c r="Y85" s="110"/>
      <c r="Z85" s="110"/>
      <c r="AA85" s="110"/>
      <c r="AB85" s="98"/>
      <c r="AC85" s="98"/>
      <c r="AD85" s="98">
        <v>2136</v>
      </c>
      <c r="AE85" s="97"/>
      <c r="AF85" s="98"/>
      <c r="AG85" s="98"/>
      <c r="AH85" s="97">
        <v>26768</v>
      </c>
      <c r="AI85" s="111" t="s">
        <v>16</v>
      </c>
      <c r="AJ85" s="111">
        <v>5</v>
      </c>
      <c r="AK85" s="111">
        <v>24596</v>
      </c>
      <c r="AL85" s="111">
        <v>914</v>
      </c>
      <c r="AM85" s="111">
        <v>150</v>
      </c>
      <c r="AN85" s="111">
        <v>750</v>
      </c>
      <c r="AO85" s="111"/>
      <c r="AP85" s="111">
        <f t="shared" si="51"/>
        <v>26410</v>
      </c>
      <c r="AQ85" s="114" t="s">
        <v>283</v>
      </c>
      <c r="AR85" s="111"/>
      <c r="AS85" s="111"/>
      <c r="AT85" s="111"/>
      <c r="AU85" s="97">
        <v>0.6</v>
      </c>
    </row>
    <row r="86" spans="1:47" ht="14.4" customHeight="1" x14ac:dyDescent="0.3">
      <c r="A86" s="88">
        <v>84</v>
      </c>
      <c r="B86" s="88" t="s">
        <v>367</v>
      </c>
      <c r="C86" s="88" t="s">
        <v>337</v>
      </c>
      <c r="D86" s="88" t="str">
        <f t="shared" si="52"/>
        <v>i20 N line N6 MT</v>
      </c>
      <c r="E86" s="18">
        <v>999500</v>
      </c>
      <c r="F86" s="107" t="str">
        <f t="shared" si="54"/>
        <v/>
      </c>
      <c r="G86" s="108">
        <f t="shared" si="55"/>
        <v>61131.833988000006</v>
      </c>
      <c r="H86" s="108">
        <f t="shared" si="56"/>
        <v>62001.295039999997</v>
      </c>
      <c r="I86" s="99"/>
      <c r="J86" s="116">
        <f t="shared" si="57"/>
        <v>46149.316994000001</v>
      </c>
      <c r="K86" s="108">
        <f t="shared" si="58"/>
        <v>46584.04752</v>
      </c>
      <c r="L86" s="108">
        <f t="shared" si="59"/>
        <v>4833.3980000000001</v>
      </c>
      <c r="M86" s="108">
        <f t="shared" si="60"/>
        <v>5953.8374999999996</v>
      </c>
      <c r="N86" s="116">
        <f t="shared" si="61"/>
        <v>7074.277</v>
      </c>
      <c r="O86" s="116">
        <f t="shared" si="47"/>
        <v>2801.0987500000001</v>
      </c>
      <c r="P86" s="118">
        <f t="shared" si="48"/>
        <v>87310</v>
      </c>
      <c r="Q86" s="118">
        <f t="shared" ref="Q86:Q99" si="62">IF(E86&lt;600000,E86*4%,IF(E86&lt;1000000,E86*7%,IF(E86&gt;=1000000,E86*10%)))+600+1500+230+4000+2000+4500+750</f>
        <v>83545</v>
      </c>
      <c r="R86" s="98"/>
      <c r="S86" s="98"/>
      <c r="T86" s="18">
        <v>10031</v>
      </c>
      <c r="U86" s="98"/>
      <c r="V86" s="98">
        <f t="shared" si="49"/>
        <v>13326.666666666666</v>
      </c>
      <c r="W86" s="18">
        <v>9500</v>
      </c>
      <c r="X86" s="109" t="s">
        <v>282</v>
      </c>
      <c r="Y86" s="110"/>
      <c r="Z86" s="110"/>
      <c r="AA86" s="110"/>
      <c r="AB86" s="98"/>
      <c r="AC86" s="98"/>
      <c r="AD86" s="98">
        <v>2136</v>
      </c>
      <c r="AE86" s="97"/>
      <c r="AF86" s="98"/>
      <c r="AG86" s="98"/>
      <c r="AH86" s="97">
        <v>26768</v>
      </c>
      <c r="AI86" s="111" t="s">
        <v>16</v>
      </c>
      <c r="AJ86" s="111">
        <v>5</v>
      </c>
      <c r="AK86" s="111">
        <v>24596</v>
      </c>
      <c r="AL86" s="111">
        <v>914</v>
      </c>
      <c r="AM86" s="111">
        <v>150</v>
      </c>
      <c r="AN86" s="111">
        <v>750</v>
      </c>
      <c r="AO86" s="111"/>
      <c r="AP86" s="111">
        <f t="shared" si="51"/>
        <v>26410</v>
      </c>
      <c r="AQ86" s="114" t="s">
        <v>283</v>
      </c>
      <c r="AR86" s="111"/>
      <c r="AS86" s="111"/>
      <c r="AT86" s="111"/>
      <c r="AU86" s="97">
        <v>0.6</v>
      </c>
    </row>
    <row r="87" spans="1:47" ht="14.4" x14ac:dyDescent="0.3">
      <c r="A87" s="88">
        <v>85</v>
      </c>
      <c r="B87" s="88" t="s">
        <v>367</v>
      </c>
      <c r="C87" s="88" t="s">
        <v>668</v>
      </c>
      <c r="D87" s="88" t="str">
        <f t="shared" si="52"/>
        <v>i20 N line N6 MT DT</v>
      </c>
      <c r="E87" s="18">
        <v>1019400</v>
      </c>
      <c r="F87" s="107">
        <f t="shared" si="54"/>
        <v>10194</v>
      </c>
      <c r="G87" s="119">
        <f t="shared" ref="G87:G92" si="63">+((E87-E87*0.05)*0.03039)-(((E87-E87*0.05)*0.03039)*0.2)+AP87+(((E87-E87*0.05)*0.03039)-(((E87-E87*0.05)*0.03039)*0.2)+AP87)*0.18+3</f>
        <v>37620.774788800001</v>
      </c>
      <c r="H87" s="119">
        <f t="shared" ref="H87:H92" si="64">+((E87-E87*0.05)*0.03127)-(((E87-E87*0.05)*0.03127)*0.2)+AP87+(((E87-E87*0.05)*0.03127)-(((E87-E87*0.05)*0.03127)*0.2)+AP87)*0.18+3</f>
        <v>38425.268958399996</v>
      </c>
      <c r="I87" s="99"/>
      <c r="J87" s="116">
        <f t="shared" ref="J87:J92" si="65">+((E87-E87*0.05)*0.03039)-(((E87-E87*0.05)*0.03039)*AU87)+AP87+(((E87-E87*0.05)*0.03039)-(((E87-E87*0.05)*0.03039)*AU87)+AP87)*0.18+3</f>
        <v>30675.156091599998</v>
      </c>
      <c r="K87" s="108">
        <f t="shared" ref="K87:K92" si="66">+((E87-E87*0.05)*0.03127)-(((E87-E87*0.05)*0.03127)*AU87)+AP87+(((E87-E87*0.05)*0.03127)-(((E87-E87*0.05)*0.03127)*AU87)+AP87)*0.18+3</f>
        <v>31278.5267188</v>
      </c>
      <c r="L87" s="108">
        <f t="shared" si="59"/>
        <v>4922.6296000000002</v>
      </c>
      <c r="M87" s="108">
        <f t="shared" si="60"/>
        <v>6065.3770000000004</v>
      </c>
      <c r="N87" s="116">
        <f t="shared" si="61"/>
        <v>7208.1243999999997</v>
      </c>
      <c r="O87" s="116">
        <f t="shared" si="47"/>
        <v>2856.8685000000005</v>
      </c>
      <c r="P87" s="118">
        <f t="shared" si="48"/>
        <v>109290</v>
      </c>
      <c r="Q87" s="118">
        <f t="shared" si="62"/>
        <v>115520</v>
      </c>
      <c r="R87" s="98"/>
      <c r="S87" s="98"/>
      <c r="T87" s="18">
        <v>10031</v>
      </c>
      <c r="U87" s="98"/>
      <c r="V87" s="98">
        <f t="shared" si="49"/>
        <v>16990</v>
      </c>
      <c r="W87" s="18">
        <v>9500</v>
      </c>
      <c r="X87" s="109" t="s">
        <v>282</v>
      </c>
      <c r="Y87" s="110"/>
      <c r="Z87" s="110"/>
      <c r="AA87" s="110"/>
      <c r="AB87" s="98"/>
      <c r="AC87" s="98"/>
      <c r="AD87" s="98">
        <v>2136</v>
      </c>
      <c r="AE87" s="97">
        <v>9792</v>
      </c>
      <c r="AF87" s="98">
        <v>15777</v>
      </c>
      <c r="AG87" s="98">
        <v>21495</v>
      </c>
      <c r="AH87" s="97">
        <v>27776</v>
      </c>
      <c r="AI87" s="111" t="s">
        <v>16</v>
      </c>
      <c r="AJ87" s="111">
        <v>5</v>
      </c>
      <c r="AK87" s="111">
        <v>6521</v>
      </c>
      <c r="AL87" s="111">
        <v>914</v>
      </c>
      <c r="AM87" s="111">
        <v>150</v>
      </c>
      <c r="AN87" s="111">
        <f t="shared" ref="AN87:AN92" si="67">150*AJ87</f>
        <v>750</v>
      </c>
      <c r="AO87" s="111"/>
      <c r="AP87" s="111">
        <f t="shared" ref="AP87:AP92" si="68">AN87+AM87+AL87+AK87</f>
        <v>8335</v>
      </c>
      <c r="AQ87" s="111" t="s">
        <v>285</v>
      </c>
      <c r="AR87" s="111"/>
      <c r="AS87" s="111"/>
      <c r="AT87" s="111"/>
      <c r="AU87" s="97">
        <v>0.4</v>
      </c>
    </row>
    <row r="88" spans="1:47" ht="14.4" x14ac:dyDescent="0.3">
      <c r="A88" s="88">
        <v>86</v>
      </c>
      <c r="B88" s="88" t="s">
        <v>367</v>
      </c>
      <c r="C88" s="88" t="s">
        <v>338</v>
      </c>
      <c r="D88" s="88" t="str">
        <f t="shared" si="52"/>
        <v>i20 N line N8 MT</v>
      </c>
      <c r="E88" s="18">
        <v>1126800</v>
      </c>
      <c r="F88" s="107">
        <f t="shared" si="54"/>
        <v>11268</v>
      </c>
      <c r="G88" s="119">
        <f t="shared" si="63"/>
        <v>40547.827753600002</v>
      </c>
      <c r="H88" s="119">
        <f t="shared" si="64"/>
        <v>41437.080284800002</v>
      </c>
      <c r="I88" s="99"/>
      <c r="J88" s="116">
        <f t="shared" si="65"/>
        <v>32870.445815200001</v>
      </c>
      <c r="K88" s="108">
        <f t="shared" si="66"/>
        <v>33537.385213600006</v>
      </c>
      <c r="L88" s="108">
        <f t="shared" si="59"/>
        <v>5404.2111999999997</v>
      </c>
      <c r="M88" s="108">
        <f t="shared" si="60"/>
        <v>6667.3540000000003</v>
      </c>
      <c r="N88" s="116">
        <f t="shared" si="61"/>
        <v>7930.4967999999999</v>
      </c>
      <c r="O88" s="116">
        <f t="shared" si="47"/>
        <v>3157.857</v>
      </c>
      <c r="P88" s="118">
        <f t="shared" si="48"/>
        <v>120030</v>
      </c>
      <c r="Q88" s="118">
        <f t="shared" si="62"/>
        <v>126260</v>
      </c>
      <c r="R88" s="98"/>
      <c r="S88" s="98"/>
      <c r="T88" s="18">
        <v>10031</v>
      </c>
      <c r="U88" s="98"/>
      <c r="V88" s="98">
        <f t="shared" si="49"/>
        <v>18780</v>
      </c>
      <c r="W88" s="18">
        <v>9500</v>
      </c>
      <c r="X88" s="109" t="s">
        <v>282</v>
      </c>
      <c r="Y88" s="110"/>
      <c r="Z88" s="110"/>
      <c r="AA88" s="110"/>
      <c r="AB88" s="98"/>
      <c r="AC88" s="98"/>
      <c r="AD88" s="98">
        <v>2136</v>
      </c>
      <c r="AE88" s="97">
        <v>9792</v>
      </c>
      <c r="AF88" s="98">
        <v>15777</v>
      </c>
      <c r="AG88" s="98">
        <v>21495</v>
      </c>
      <c r="AH88" s="97">
        <v>27776</v>
      </c>
      <c r="AI88" s="111" t="s">
        <v>16</v>
      </c>
      <c r="AJ88" s="111">
        <v>5</v>
      </c>
      <c r="AK88" s="111">
        <v>6521</v>
      </c>
      <c r="AL88" s="111">
        <v>914</v>
      </c>
      <c r="AM88" s="111">
        <v>150</v>
      </c>
      <c r="AN88" s="111">
        <f t="shared" si="67"/>
        <v>750</v>
      </c>
      <c r="AO88" s="111"/>
      <c r="AP88" s="111">
        <f t="shared" si="68"/>
        <v>8335</v>
      </c>
      <c r="AQ88" s="111" t="s">
        <v>285</v>
      </c>
      <c r="AR88" s="111"/>
      <c r="AS88" s="111"/>
      <c r="AT88" s="111"/>
      <c r="AU88" s="97">
        <v>0.4</v>
      </c>
    </row>
    <row r="89" spans="1:47" ht="14.4" x14ac:dyDescent="0.3">
      <c r="A89" s="88">
        <v>87</v>
      </c>
      <c r="B89" s="88" t="s">
        <v>367</v>
      </c>
      <c r="C89" s="88" t="s">
        <v>669</v>
      </c>
      <c r="D89" s="88" t="str">
        <f t="shared" si="52"/>
        <v>i20 N line N8 MT DT</v>
      </c>
      <c r="E89" s="18">
        <v>1141800</v>
      </c>
      <c r="F89" s="107">
        <f t="shared" si="54"/>
        <v>11418</v>
      </c>
      <c r="G89" s="119">
        <f t="shared" si="63"/>
        <v>40956.634033599999</v>
      </c>
      <c r="H89" s="119">
        <f t="shared" si="64"/>
        <v>41857.724324800001</v>
      </c>
      <c r="I89" s="99"/>
      <c r="J89" s="116">
        <f t="shared" si="65"/>
        <v>33177.0505252</v>
      </c>
      <c r="K89" s="108">
        <f t="shared" si="66"/>
        <v>33852.868243599994</v>
      </c>
      <c r="L89" s="108">
        <f t="shared" si="59"/>
        <v>5471.4712</v>
      </c>
      <c r="M89" s="108">
        <f t="shared" si="60"/>
        <v>6751.4290000000001</v>
      </c>
      <c r="N89" s="116">
        <f t="shared" si="61"/>
        <v>8031.3868000000002</v>
      </c>
      <c r="O89" s="116">
        <f t="shared" si="47"/>
        <v>3199.8945000000003</v>
      </c>
      <c r="P89" s="118">
        <f t="shared" si="48"/>
        <v>121530</v>
      </c>
      <c r="Q89" s="118">
        <f t="shared" si="62"/>
        <v>127760</v>
      </c>
      <c r="R89" s="98"/>
      <c r="S89" s="98"/>
      <c r="T89" s="18">
        <v>10031</v>
      </c>
      <c r="U89" s="98"/>
      <c r="V89" s="98">
        <f t="shared" si="49"/>
        <v>19030</v>
      </c>
      <c r="W89" s="18">
        <v>9500</v>
      </c>
      <c r="X89" s="109" t="s">
        <v>282</v>
      </c>
      <c r="Y89" s="110"/>
      <c r="Z89" s="110"/>
      <c r="AA89" s="110"/>
      <c r="AB89" s="98"/>
      <c r="AC89" s="98"/>
      <c r="AD89" s="98">
        <v>2136</v>
      </c>
      <c r="AE89" s="97">
        <v>9792</v>
      </c>
      <c r="AF89" s="98">
        <v>15777</v>
      </c>
      <c r="AG89" s="98">
        <v>21495</v>
      </c>
      <c r="AH89" s="97">
        <v>27776</v>
      </c>
      <c r="AI89" s="111" t="s">
        <v>16</v>
      </c>
      <c r="AJ89" s="111">
        <v>5</v>
      </c>
      <c r="AK89" s="111">
        <v>6521</v>
      </c>
      <c r="AL89" s="111">
        <v>914</v>
      </c>
      <c r="AM89" s="111">
        <v>150</v>
      </c>
      <c r="AN89" s="111">
        <f t="shared" si="67"/>
        <v>750</v>
      </c>
      <c r="AO89" s="111"/>
      <c r="AP89" s="111">
        <f t="shared" si="68"/>
        <v>8335</v>
      </c>
      <c r="AQ89" s="111" t="s">
        <v>285</v>
      </c>
      <c r="AR89" s="111"/>
      <c r="AS89" s="111"/>
      <c r="AT89" s="111"/>
      <c r="AU89" s="97">
        <v>0.4</v>
      </c>
    </row>
    <row r="90" spans="1:47" ht="14.4" x14ac:dyDescent="0.3">
      <c r="A90" s="88">
        <v>88</v>
      </c>
      <c r="B90" s="88" t="s">
        <v>367</v>
      </c>
      <c r="C90" s="88" t="s">
        <v>339</v>
      </c>
      <c r="D90" s="88" t="str">
        <f t="shared" si="52"/>
        <v>i20 N line N6 DCT</v>
      </c>
      <c r="E90" s="18">
        <v>1114800</v>
      </c>
      <c r="F90" s="107">
        <f t="shared" si="54"/>
        <v>11148</v>
      </c>
      <c r="G90" s="119">
        <f t="shared" si="63"/>
        <v>40220.782729599996</v>
      </c>
      <c r="H90" s="119">
        <f t="shared" si="64"/>
        <v>41100.565052799997</v>
      </c>
      <c r="I90" s="99"/>
      <c r="J90" s="116">
        <f t="shared" si="65"/>
        <v>32625.1620472</v>
      </c>
      <c r="K90" s="108">
        <f t="shared" si="66"/>
        <v>33284.998789599995</v>
      </c>
      <c r="L90" s="108">
        <f t="shared" si="59"/>
        <v>5350.4031999999997</v>
      </c>
      <c r="M90" s="108">
        <f t="shared" si="60"/>
        <v>6600.0940000000001</v>
      </c>
      <c r="N90" s="116">
        <f t="shared" si="61"/>
        <v>7849.7848000000004</v>
      </c>
      <c r="O90" s="116">
        <f t="shared" si="47"/>
        <v>3124.2269999999999</v>
      </c>
      <c r="P90" s="118">
        <f t="shared" si="48"/>
        <v>118830</v>
      </c>
      <c r="Q90" s="118">
        <f t="shared" si="62"/>
        <v>125060</v>
      </c>
      <c r="R90" s="98"/>
      <c r="S90" s="98"/>
      <c r="T90" s="18">
        <v>10031</v>
      </c>
      <c r="U90" s="98"/>
      <c r="V90" s="98">
        <f t="shared" si="49"/>
        <v>18580</v>
      </c>
      <c r="W90" s="18">
        <v>9500</v>
      </c>
      <c r="X90" s="109" t="s">
        <v>282</v>
      </c>
      <c r="Y90" s="110"/>
      <c r="Z90" s="110"/>
      <c r="AA90" s="110"/>
      <c r="AB90" s="98"/>
      <c r="AC90" s="98"/>
      <c r="AD90" s="98">
        <v>2136</v>
      </c>
      <c r="AE90" s="97">
        <v>9792</v>
      </c>
      <c r="AF90" s="98">
        <v>15777</v>
      </c>
      <c r="AG90" s="98">
        <v>21495</v>
      </c>
      <c r="AH90" s="97">
        <v>27776</v>
      </c>
      <c r="AI90" s="111" t="s">
        <v>16</v>
      </c>
      <c r="AJ90" s="111">
        <v>5</v>
      </c>
      <c r="AK90" s="111">
        <v>6521</v>
      </c>
      <c r="AL90" s="111">
        <v>914</v>
      </c>
      <c r="AM90" s="111">
        <v>150</v>
      </c>
      <c r="AN90" s="111">
        <f t="shared" si="67"/>
        <v>750</v>
      </c>
      <c r="AO90" s="111"/>
      <c r="AP90" s="111">
        <f t="shared" si="68"/>
        <v>8335</v>
      </c>
      <c r="AQ90" s="111" t="s">
        <v>285</v>
      </c>
      <c r="AR90" s="111"/>
      <c r="AS90" s="111"/>
      <c r="AT90" s="111"/>
      <c r="AU90" s="97">
        <v>0.4</v>
      </c>
    </row>
    <row r="91" spans="1:47" ht="14.4" x14ac:dyDescent="0.3">
      <c r="A91" s="88">
        <v>89</v>
      </c>
      <c r="B91" s="88" t="s">
        <v>367</v>
      </c>
      <c r="C91" s="88" t="s">
        <v>670</v>
      </c>
      <c r="D91" s="88" t="str">
        <f t="shared" si="52"/>
        <v>i20 N line N6 DCT  DT</v>
      </c>
      <c r="E91" s="18">
        <v>1129800</v>
      </c>
      <c r="F91" s="107">
        <f t="shared" si="54"/>
        <v>11298</v>
      </c>
      <c r="G91" s="119">
        <f t="shared" si="63"/>
        <v>40629.5890096</v>
      </c>
      <c r="H91" s="119">
        <f t="shared" si="64"/>
        <v>41521.209092800003</v>
      </c>
      <c r="I91" s="99"/>
      <c r="J91" s="116">
        <f t="shared" si="65"/>
        <v>32931.766757199999</v>
      </c>
      <c r="K91" s="108">
        <f t="shared" si="66"/>
        <v>33600.481819599998</v>
      </c>
      <c r="L91" s="108">
        <f t="shared" si="59"/>
        <v>5417.6632</v>
      </c>
      <c r="M91" s="108">
        <f t="shared" si="60"/>
        <v>6684.1689999999999</v>
      </c>
      <c r="N91" s="116">
        <f t="shared" si="61"/>
        <v>7950.6748000000007</v>
      </c>
      <c r="O91" s="116">
        <f t="shared" si="47"/>
        <v>3166.2645000000002</v>
      </c>
      <c r="P91" s="118">
        <f t="shared" si="48"/>
        <v>120330</v>
      </c>
      <c r="Q91" s="118">
        <f t="shared" si="62"/>
        <v>126560</v>
      </c>
      <c r="R91" s="98"/>
      <c r="S91" s="98"/>
      <c r="T91" s="18">
        <v>10031</v>
      </c>
      <c r="U91" s="98"/>
      <c r="V91" s="98">
        <f t="shared" si="49"/>
        <v>18830</v>
      </c>
      <c r="W91" s="18">
        <v>9500</v>
      </c>
      <c r="X91" s="109" t="s">
        <v>282</v>
      </c>
      <c r="Y91" s="110"/>
      <c r="Z91" s="110"/>
      <c r="AA91" s="110"/>
      <c r="AB91" s="98"/>
      <c r="AC91" s="98"/>
      <c r="AD91" s="98">
        <v>2136</v>
      </c>
      <c r="AE91" s="97">
        <v>9792</v>
      </c>
      <c r="AF91" s="98">
        <v>15777</v>
      </c>
      <c r="AG91" s="98">
        <v>21495</v>
      </c>
      <c r="AH91" s="97">
        <v>27776</v>
      </c>
      <c r="AI91" s="111" t="s">
        <v>16</v>
      </c>
      <c r="AJ91" s="111">
        <v>5</v>
      </c>
      <c r="AK91" s="111">
        <v>6521</v>
      </c>
      <c r="AL91" s="111">
        <v>914</v>
      </c>
      <c r="AM91" s="111">
        <v>150</v>
      </c>
      <c r="AN91" s="111">
        <f t="shared" si="67"/>
        <v>750</v>
      </c>
      <c r="AO91" s="111"/>
      <c r="AP91" s="111">
        <f t="shared" si="68"/>
        <v>8335</v>
      </c>
      <c r="AQ91" s="111" t="s">
        <v>285</v>
      </c>
      <c r="AR91" s="111"/>
      <c r="AS91" s="111"/>
      <c r="AT91" s="111"/>
      <c r="AU91" s="97">
        <v>0.4</v>
      </c>
    </row>
    <row r="92" spans="1:47" ht="14.4" x14ac:dyDescent="0.3">
      <c r="A92" s="88">
        <v>90</v>
      </c>
      <c r="B92" s="88" t="s">
        <v>367</v>
      </c>
      <c r="C92" s="88" t="s">
        <v>340</v>
      </c>
      <c r="D92" s="88" t="str">
        <f t="shared" si="52"/>
        <v>i20 N line N8 DCT</v>
      </c>
      <c r="E92" s="18">
        <v>1236800</v>
      </c>
      <c r="F92" s="107">
        <f t="shared" si="54"/>
        <v>12368</v>
      </c>
      <c r="G92" s="119">
        <f t="shared" si="63"/>
        <v>43545.740473599995</v>
      </c>
      <c r="H92" s="119">
        <f t="shared" si="64"/>
        <v>44521.803244799994</v>
      </c>
      <c r="I92" s="99"/>
      <c r="J92" s="116">
        <f t="shared" si="65"/>
        <v>35118.880355200003</v>
      </c>
      <c r="K92" s="108">
        <f t="shared" si="66"/>
        <v>35850.927433599994</v>
      </c>
      <c r="L92" s="108">
        <f t="shared" si="59"/>
        <v>5897.4512000000004</v>
      </c>
      <c r="M92" s="108">
        <f t="shared" si="60"/>
        <v>7283.9040000000005</v>
      </c>
      <c r="N92" s="116">
        <f t="shared" si="61"/>
        <v>8670.3567999999996</v>
      </c>
      <c r="O92" s="116">
        <f t="shared" si="47"/>
        <v>3466.1320000000001</v>
      </c>
      <c r="P92" s="118">
        <f t="shared" si="48"/>
        <v>131030</v>
      </c>
      <c r="Q92" s="118">
        <f t="shared" si="62"/>
        <v>137260</v>
      </c>
      <c r="R92" s="98"/>
      <c r="S92" s="98"/>
      <c r="T92" s="18">
        <v>10031</v>
      </c>
      <c r="U92" s="98"/>
      <c r="V92" s="98">
        <f t="shared" si="49"/>
        <v>20613.333333333332</v>
      </c>
      <c r="W92" s="18">
        <v>9500</v>
      </c>
      <c r="X92" s="109" t="s">
        <v>282</v>
      </c>
      <c r="Y92" s="110"/>
      <c r="Z92" s="110"/>
      <c r="AA92" s="110"/>
      <c r="AB92" s="98"/>
      <c r="AC92" s="98"/>
      <c r="AD92" s="98">
        <v>2136</v>
      </c>
      <c r="AE92" s="97">
        <v>9792</v>
      </c>
      <c r="AF92" s="98">
        <v>15777</v>
      </c>
      <c r="AG92" s="98">
        <v>21495</v>
      </c>
      <c r="AH92" s="97">
        <v>27776</v>
      </c>
      <c r="AI92" s="111" t="s">
        <v>16</v>
      </c>
      <c r="AJ92" s="111">
        <v>5</v>
      </c>
      <c r="AK92" s="111">
        <v>6521</v>
      </c>
      <c r="AL92" s="111">
        <v>914</v>
      </c>
      <c r="AM92" s="111">
        <v>150</v>
      </c>
      <c r="AN92" s="111">
        <f t="shared" si="67"/>
        <v>750</v>
      </c>
      <c r="AO92" s="111"/>
      <c r="AP92" s="111">
        <f t="shared" si="68"/>
        <v>8335</v>
      </c>
      <c r="AQ92" s="111" t="s">
        <v>285</v>
      </c>
      <c r="AR92" s="111"/>
      <c r="AS92" s="111"/>
      <c r="AT92" s="111"/>
      <c r="AU92" s="97">
        <v>0.4</v>
      </c>
    </row>
    <row r="93" spans="1:47" ht="14.4" x14ac:dyDescent="0.3">
      <c r="A93" s="88">
        <v>91</v>
      </c>
      <c r="B93" s="88" t="s">
        <v>367</v>
      </c>
      <c r="C93" s="88" t="s">
        <v>671</v>
      </c>
      <c r="D93" s="88" t="str">
        <f t="shared" si="52"/>
        <v>i20 N line N8 DCT DT</v>
      </c>
      <c r="E93" s="18">
        <v>1251800</v>
      </c>
      <c r="F93" s="107">
        <f t="shared" si="54"/>
        <v>12518</v>
      </c>
      <c r="G93" s="119">
        <f t="shared" ref="G93:G101" si="69">+((E93-E93*0.05)*0.03191)-(((E93-E93*0.05)*0.03191)*0.2)+AP93+(((E93-E93*0.05)*0.03191)-(((E93-E93*0.05)*0.03191)*0.2)+AP93)*0.18+3</f>
        <v>50521.340398400003</v>
      </c>
      <c r="H93" s="119">
        <f t="shared" ref="H93:H101" si="70">+((E93-E93*0.05)*0.03283)-(((E93-E93*0.05)*0.03283)*0.2)+AP93+(((E93-E93*0.05)*0.03283)-(((E93-E93*0.05)*0.03283)*0.2)+AP93)*0.18+3</f>
        <v>51554.145499199993</v>
      </c>
      <c r="I93" s="99"/>
      <c r="J93" s="116">
        <f t="shared" ref="J93:J102" si="71">+((E93-E93*0.05)*0.03191)-(((E93-E93*0.05)*0.03191)*AU93)+AP93+(((E93-E93*0.05)*0.03191)-(((E93-E93*0.05)*0.03191)*AU93)+AP93)*0.18+3</f>
        <v>41565.685298800003</v>
      </c>
      <c r="K93" s="108">
        <f t="shared" ref="K93:K102" si="72">+((E93-E93*0.05)*0.03283)-(((E93-E93*0.05)*0.03283)*AU93)+AP93+(((E93-E93*0.05)*0.03283)-(((E93-E93*0.05)*0.03283)*AU93)+AP93)*0.18+3</f>
        <v>42340.289124399998</v>
      </c>
      <c r="L93" s="108">
        <f t="shared" si="59"/>
        <v>5964.7111999999997</v>
      </c>
      <c r="M93" s="108">
        <f t="shared" si="60"/>
        <v>7367.9790000000003</v>
      </c>
      <c r="N93" s="116">
        <f t="shared" si="61"/>
        <v>8771.2468000000008</v>
      </c>
      <c r="O93" s="116">
        <f t="shared" si="47"/>
        <v>3508.1695</v>
      </c>
      <c r="P93" s="118">
        <f t="shared" si="48"/>
        <v>132530</v>
      </c>
      <c r="Q93" s="118">
        <f t="shared" si="62"/>
        <v>138760</v>
      </c>
      <c r="R93" s="98"/>
      <c r="S93" s="98"/>
      <c r="T93" s="18">
        <v>10031</v>
      </c>
      <c r="U93" s="98"/>
      <c r="V93" s="98">
        <f t="shared" si="49"/>
        <v>20863.333333333332</v>
      </c>
      <c r="W93" s="18">
        <v>9500</v>
      </c>
      <c r="X93" s="109" t="s">
        <v>282</v>
      </c>
      <c r="Y93" s="110"/>
      <c r="Z93" s="110"/>
      <c r="AA93" s="110"/>
      <c r="AB93" s="98"/>
      <c r="AC93" s="98"/>
      <c r="AD93" s="98">
        <v>2136</v>
      </c>
      <c r="AE93" s="97">
        <v>9792</v>
      </c>
      <c r="AF93" s="98">
        <v>15777</v>
      </c>
      <c r="AG93" s="98">
        <v>21495</v>
      </c>
      <c r="AH93" s="97">
        <v>27776</v>
      </c>
      <c r="AI93" s="111" t="s">
        <v>16</v>
      </c>
      <c r="AJ93" s="111">
        <v>5</v>
      </c>
      <c r="AK93" s="111">
        <v>10640</v>
      </c>
      <c r="AL93" s="111">
        <v>914</v>
      </c>
      <c r="AM93" s="111">
        <v>150</v>
      </c>
      <c r="AN93" s="111">
        <f t="shared" ref="AN93:AN101" si="73">AJ93*150</f>
        <v>750</v>
      </c>
      <c r="AO93" s="111"/>
      <c r="AP93" s="111">
        <f t="shared" ref="AP93:AP101" si="74">SUM(AK93:AN93)</f>
        <v>12454</v>
      </c>
      <c r="AQ93" s="111" t="s">
        <v>281</v>
      </c>
      <c r="AR93" s="111"/>
      <c r="AS93" s="111"/>
      <c r="AT93" s="111"/>
      <c r="AU93" s="97">
        <v>0.4</v>
      </c>
    </row>
    <row r="94" spans="1:47" ht="14.4" customHeight="1" x14ac:dyDescent="0.3">
      <c r="A94" s="88">
        <v>92</v>
      </c>
      <c r="B94" s="88" t="s">
        <v>67</v>
      </c>
      <c r="C94" s="88" t="s">
        <v>300</v>
      </c>
      <c r="D94" s="88" t="str">
        <f t="shared" si="52"/>
        <v>Verna 1.5 MPi MT EX</v>
      </c>
      <c r="E94" s="18">
        <v>1100400</v>
      </c>
      <c r="F94" s="107">
        <f t="shared" si="54"/>
        <v>11004</v>
      </c>
      <c r="G94" s="119">
        <f t="shared" si="69"/>
        <v>46188.743555199995</v>
      </c>
      <c r="H94" s="119">
        <f t="shared" si="70"/>
        <v>47096.635177600001</v>
      </c>
      <c r="I94" s="99"/>
      <c r="J94" s="116">
        <f t="shared" si="71"/>
        <v>38316.237666399997</v>
      </c>
      <c r="K94" s="108">
        <f t="shared" si="72"/>
        <v>38997.156383199996</v>
      </c>
      <c r="L94" s="108">
        <f t="shared" si="59"/>
        <v>5285.8336000000008</v>
      </c>
      <c r="M94" s="108">
        <f t="shared" si="60"/>
        <v>6519.3820000000005</v>
      </c>
      <c r="N94" s="116">
        <f t="shared" si="61"/>
        <v>7752.9303999999993</v>
      </c>
      <c r="O94" s="116">
        <f t="shared" si="47"/>
        <v>3083.8710000000001</v>
      </c>
      <c r="P94" s="118">
        <f t="shared" si="48"/>
        <v>117390</v>
      </c>
      <c r="Q94" s="118">
        <f t="shared" si="62"/>
        <v>123620</v>
      </c>
      <c r="R94" s="98"/>
      <c r="S94" s="98"/>
      <c r="T94" s="18">
        <v>11203</v>
      </c>
      <c r="U94" s="98"/>
      <c r="V94" s="98">
        <f t="shared" si="49"/>
        <v>18340</v>
      </c>
      <c r="W94" s="18">
        <v>11000</v>
      </c>
      <c r="X94" s="109" t="s">
        <v>282</v>
      </c>
      <c r="Y94" s="110"/>
      <c r="Z94" s="110"/>
      <c r="AA94" s="110"/>
      <c r="AB94" s="98"/>
      <c r="AC94" s="98"/>
      <c r="AD94" s="98">
        <v>2136</v>
      </c>
      <c r="AE94" s="97">
        <v>9792</v>
      </c>
      <c r="AF94" s="98">
        <v>15777</v>
      </c>
      <c r="AG94" s="98">
        <v>21495</v>
      </c>
      <c r="AH94" s="97">
        <v>27776</v>
      </c>
      <c r="AI94" s="111" t="s">
        <v>16</v>
      </c>
      <c r="AJ94" s="111">
        <v>5</v>
      </c>
      <c r="AK94" s="111">
        <v>10640</v>
      </c>
      <c r="AL94" s="111">
        <v>914</v>
      </c>
      <c r="AM94" s="111">
        <v>150</v>
      </c>
      <c r="AN94" s="111">
        <f t="shared" si="73"/>
        <v>750</v>
      </c>
      <c r="AO94" s="111"/>
      <c r="AP94" s="111">
        <f t="shared" si="74"/>
        <v>12454</v>
      </c>
      <c r="AQ94" s="111" t="s">
        <v>281</v>
      </c>
      <c r="AR94" s="111"/>
      <c r="AS94" s="111"/>
      <c r="AT94" s="111"/>
      <c r="AU94" s="97">
        <v>0.4</v>
      </c>
    </row>
    <row r="95" spans="1:47" ht="14.4" x14ac:dyDescent="0.3">
      <c r="A95" s="88">
        <v>93</v>
      </c>
      <c r="B95" s="88" t="s">
        <v>67</v>
      </c>
      <c r="C95" s="88" t="s">
        <v>301</v>
      </c>
      <c r="D95" s="88" t="str">
        <f t="shared" si="52"/>
        <v>Verna 1.5 MPi MT S</v>
      </c>
      <c r="E95" s="18">
        <v>1199400</v>
      </c>
      <c r="F95" s="107">
        <f t="shared" si="54"/>
        <v>11994</v>
      </c>
      <c r="G95" s="119">
        <f t="shared" si="69"/>
        <v>49021.815467200009</v>
      </c>
      <c r="H95" s="119">
        <f t="shared" si="70"/>
        <v>50011.387633599996</v>
      </c>
      <c r="I95" s="99"/>
      <c r="J95" s="116">
        <f t="shared" si="71"/>
        <v>40441.0416004</v>
      </c>
      <c r="K95" s="108">
        <f t="shared" si="72"/>
        <v>41183.220725199993</v>
      </c>
      <c r="L95" s="108">
        <f t="shared" si="59"/>
        <v>5729.7496000000001</v>
      </c>
      <c r="M95" s="108">
        <f t="shared" si="60"/>
        <v>7074.277</v>
      </c>
      <c r="N95" s="116">
        <f t="shared" si="61"/>
        <v>8418.8043999999991</v>
      </c>
      <c r="O95" s="116">
        <f t="shared" si="47"/>
        <v>3361.3185000000003</v>
      </c>
      <c r="P95" s="118">
        <f t="shared" si="48"/>
        <v>127290</v>
      </c>
      <c r="Q95" s="118">
        <f t="shared" si="62"/>
        <v>133520</v>
      </c>
      <c r="R95" s="98"/>
      <c r="S95" s="98"/>
      <c r="T95" s="18">
        <v>11203</v>
      </c>
      <c r="U95" s="98"/>
      <c r="V95" s="98">
        <f t="shared" si="49"/>
        <v>19990</v>
      </c>
      <c r="W95" s="18">
        <v>11000</v>
      </c>
      <c r="X95" s="109" t="s">
        <v>282</v>
      </c>
      <c r="Y95" s="110"/>
      <c r="Z95" s="110"/>
      <c r="AA95" s="110"/>
      <c r="AB95" s="98"/>
      <c r="AC95" s="98"/>
      <c r="AD95" s="98">
        <v>2136</v>
      </c>
      <c r="AE95" s="97">
        <v>9792</v>
      </c>
      <c r="AF95" s="98">
        <v>15777</v>
      </c>
      <c r="AG95" s="98">
        <v>21495</v>
      </c>
      <c r="AH95" s="97">
        <v>27776</v>
      </c>
      <c r="AI95" s="111" t="s">
        <v>16</v>
      </c>
      <c r="AJ95" s="111">
        <v>5</v>
      </c>
      <c r="AK95" s="111">
        <v>10640</v>
      </c>
      <c r="AL95" s="111">
        <v>914</v>
      </c>
      <c r="AM95" s="111">
        <v>150</v>
      </c>
      <c r="AN95" s="111">
        <f t="shared" si="73"/>
        <v>750</v>
      </c>
      <c r="AO95" s="111"/>
      <c r="AP95" s="111">
        <f t="shared" si="74"/>
        <v>12454</v>
      </c>
      <c r="AQ95" s="111" t="s">
        <v>281</v>
      </c>
      <c r="AR95" s="111"/>
      <c r="AS95" s="111"/>
      <c r="AT95" s="111"/>
      <c r="AU95" s="97">
        <v>0.4</v>
      </c>
    </row>
    <row r="96" spans="1:47" ht="14.4" x14ac:dyDescent="0.3">
      <c r="A96" s="88">
        <v>94</v>
      </c>
      <c r="B96" s="88" t="s">
        <v>67</v>
      </c>
      <c r="C96" s="88" t="s">
        <v>302</v>
      </c>
      <c r="D96" s="88" t="str">
        <f t="shared" si="52"/>
        <v>Verna 1.5 MPi MT SX</v>
      </c>
      <c r="E96" s="18">
        <v>1302400</v>
      </c>
      <c r="F96" s="107">
        <f t="shared" si="54"/>
        <v>13024</v>
      </c>
      <c r="G96" s="119">
        <f t="shared" si="69"/>
        <v>51969.354931200003</v>
      </c>
      <c r="H96" s="119">
        <f t="shared" si="70"/>
        <v>53043.907865599998</v>
      </c>
      <c r="I96" s="99"/>
      <c r="J96" s="116">
        <f t="shared" si="71"/>
        <v>42651.696198400001</v>
      </c>
      <c r="K96" s="108">
        <f t="shared" si="72"/>
        <v>43457.610899199994</v>
      </c>
      <c r="L96" s="108">
        <f t="shared" si="59"/>
        <v>6191.6016</v>
      </c>
      <c r="M96" s="108">
        <f t="shared" si="60"/>
        <v>7651.5920000000006</v>
      </c>
      <c r="N96" s="116">
        <f t="shared" si="61"/>
        <v>9111.5823999999993</v>
      </c>
      <c r="O96" s="116">
        <f t="shared" si="47"/>
        <v>3649.9760000000006</v>
      </c>
      <c r="P96" s="118">
        <f t="shared" si="48"/>
        <v>137590</v>
      </c>
      <c r="Q96" s="118">
        <f t="shared" si="62"/>
        <v>143820</v>
      </c>
      <c r="R96" s="98"/>
      <c r="S96" s="98"/>
      <c r="T96" s="18">
        <v>11203</v>
      </c>
      <c r="U96" s="98"/>
      <c r="V96" s="98">
        <f t="shared" si="49"/>
        <v>21706.666666666668</v>
      </c>
      <c r="W96" s="18">
        <v>11000</v>
      </c>
      <c r="X96" s="109" t="s">
        <v>282</v>
      </c>
      <c r="Y96" s="110"/>
      <c r="Z96" s="110"/>
      <c r="AA96" s="110"/>
      <c r="AB96" s="98"/>
      <c r="AC96" s="98"/>
      <c r="AD96" s="98">
        <v>2136</v>
      </c>
      <c r="AE96" s="97">
        <v>9792</v>
      </c>
      <c r="AF96" s="98">
        <v>15777</v>
      </c>
      <c r="AG96" s="98">
        <v>21495</v>
      </c>
      <c r="AH96" s="97">
        <v>27776</v>
      </c>
      <c r="AI96" s="111" t="s">
        <v>16</v>
      </c>
      <c r="AJ96" s="111">
        <v>5</v>
      </c>
      <c r="AK96" s="111">
        <v>10640</v>
      </c>
      <c r="AL96" s="111">
        <v>914</v>
      </c>
      <c r="AM96" s="111">
        <v>150</v>
      </c>
      <c r="AN96" s="111">
        <f t="shared" si="73"/>
        <v>750</v>
      </c>
      <c r="AO96" s="111"/>
      <c r="AP96" s="111">
        <f t="shared" si="74"/>
        <v>12454</v>
      </c>
      <c r="AQ96" s="111" t="s">
        <v>281</v>
      </c>
      <c r="AR96" s="111"/>
      <c r="AS96" s="111"/>
      <c r="AT96" s="111"/>
      <c r="AU96" s="97">
        <v>0.4</v>
      </c>
    </row>
    <row r="97" spans="1:47" ht="14.4" x14ac:dyDescent="0.3">
      <c r="A97" s="88">
        <v>95</v>
      </c>
      <c r="B97" s="88" t="s">
        <v>67</v>
      </c>
      <c r="C97" s="88" t="s">
        <v>695</v>
      </c>
      <c r="D97" s="88" t="str">
        <f t="shared" si="52"/>
        <v>Verna 1.5 MPi MT SX O</v>
      </c>
      <c r="E97" s="18">
        <v>1469800</v>
      </c>
      <c r="F97" s="107">
        <f t="shared" si="54"/>
        <v>14698</v>
      </c>
      <c r="G97" s="119">
        <f t="shared" si="69"/>
        <v>56759.821982399997</v>
      </c>
      <c r="H97" s="119">
        <f t="shared" si="70"/>
        <v>57972.4892912</v>
      </c>
      <c r="I97" s="99"/>
      <c r="J97" s="116">
        <f t="shared" si="71"/>
        <v>46244.546486799998</v>
      </c>
      <c r="K97" s="108">
        <f t="shared" si="72"/>
        <v>47154.046968399991</v>
      </c>
      <c r="L97" s="108">
        <f t="shared" si="59"/>
        <v>6942.2231999999995</v>
      </c>
      <c r="M97" s="108">
        <f t="shared" si="60"/>
        <v>8589.8690000000006</v>
      </c>
      <c r="N97" s="116">
        <f t="shared" si="61"/>
        <v>10237.514800000001</v>
      </c>
      <c r="O97" s="116">
        <f t="shared" si="47"/>
        <v>4119.1144999999997</v>
      </c>
      <c r="P97" s="118">
        <f t="shared" si="48"/>
        <v>154330</v>
      </c>
      <c r="Q97" s="118">
        <f t="shared" si="62"/>
        <v>160560</v>
      </c>
      <c r="R97" s="98"/>
      <c r="S97" s="98"/>
      <c r="T97" s="18">
        <v>11203</v>
      </c>
      <c r="U97" s="98"/>
      <c r="V97" s="98">
        <f t="shared" si="49"/>
        <v>24496.666666666668</v>
      </c>
      <c r="W97" s="18">
        <v>11000</v>
      </c>
      <c r="X97" s="109" t="s">
        <v>282</v>
      </c>
      <c r="Y97" s="110"/>
      <c r="Z97" s="110"/>
      <c r="AA97" s="110"/>
      <c r="AB97" s="98"/>
      <c r="AC97" s="98"/>
      <c r="AD97" s="98">
        <v>2136</v>
      </c>
      <c r="AE97" s="97">
        <v>9792</v>
      </c>
      <c r="AF97" s="98">
        <v>15777</v>
      </c>
      <c r="AG97" s="98">
        <v>21495</v>
      </c>
      <c r="AH97" s="97">
        <v>27776</v>
      </c>
      <c r="AI97" s="111" t="s">
        <v>16</v>
      </c>
      <c r="AJ97" s="111">
        <v>5</v>
      </c>
      <c r="AK97" s="111">
        <v>10640</v>
      </c>
      <c r="AL97" s="111">
        <v>914</v>
      </c>
      <c r="AM97" s="111">
        <v>150</v>
      </c>
      <c r="AN97" s="111">
        <f t="shared" si="73"/>
        <v>750</v>
      </c>
      <c r="AO97" s="111"/>
      <c r="AP97" s="111">
        <f t="shared" si="74"/>
        <v>12454</v>
      </c>
      <c r="AQ97" s="111" t="s">
        <v>281</v>
      </c>
      <c r="AR97" s="111"/>
      <c r="AS97" s="111"/>
      <c r="AT97" s="111"/>
      <c r="AU97" s="97">
        <v>0.4</v>
      </c>
    </row>
    <row r="98" spans="1:47" ht="14.4" x14ac:dyDescent="0.3">
      <c r="A98" s="88">
        <v>96</v>
      </c>
      <c r="B98" s="88" t="s">
        <v>67</v>
      </c>
      <c r="C98" s="88" t="s">
        <v>303</v>
      </c>
      <c r="D98" s="88" t="str">
        <f t="shared" si="52"/>
        <v>Verna 1.5 MPi iVT SX</v>
      </c>
      <c r="E98" s="18">
        <v>1427400</v>
      </c>
      <c r="F98" s="107">
        <f t="shared" si="54"/>
        <v>14274</v>
      </c>
      <c r="G98" s="119">
        <f t="shared" si="69"/>
        <v>55546.4659312</v>
      </c>
      <c r="H98" s="119">
        <f t="shared" si="70"/>
        <v>56724.150865600001</v>
      </c>
      <c r="I98" s="99"/>
      <c r="J98" s="116">
        <f t="shared" si="71"/>
        <v>55546.4659312</v>
      </c>
      <c r="K98" s="108">
        <f t="shared" si="72"/>
        <v>56724.150865600001</v>
      </c>
      <c r="L98" s="108">
        <f t="shared" si="59"/>
        <v>6752.1016</v>
      </c>
      <c r="M98" s="108">
        <f t="shared" si="60"/>
        <v>8352.2170000000006</v>
      </c>
      <c r="N98" s="116">
        <f t="shared" si="61"/>
        <v>9952.3323999999993</v>
      </c>
      <c r="O98" s="116">
        <f t="shared" si="47"/>
        <v>4000.2885000000006</v>
      </c>
      <c r="P98" s="118">
        <f t="shared" si="48"/>
        <v>150090</v>
      </c>
      <c r="Q98" s="118">
        <f t="shared" si="62"/>
        <v>156320</v>
      </c>
      <c r="R98" s="98"/>
      <c r="S98" s="98"/>
      <c r="T98" s="18">
        <v>11203</v>
      </c>
      <c r="U98" s="98"/>
      <c r="V98" s="98">
        <f t="shared" si="49"/>
        <v>23790</v>
      </c>
      <c r="W98" s="18">
        <v>11000</v>
      </c>
      <c r="X98" s="109" t="s">
        <v>282</v>
      </c>
      <c r="Y98" s="169">
        <v>15000</v>
      </c>
      <c r="Z98" s="169">
        <v>10000</v>
      </c>
      <c r="AA98" s="169">
        <v>20000</v>
      </c>
      <c r="AB98" s="98"/>
      <c r="AC98" s="98"/>
      <c r="AD98" s="98">
        <v>2136</v>
      </c>
      <c r="AE98" s="97">
        <v>9792</v>
      </c>
      <c r="AF98" s="98">
        <v>15777</v>
      </c>
      <c r="AG98" s="98">
        <v>21495</v>
      </c>
      <c r="AH98" s="97">
        <v>27776</v>
      </c>
      <c r="AI98" s="111" t="s">
        <v>16</v>
      </c>
      <c r="AJ98" s="111">
        <v>5</v>
      </c>
      <c r="AK98" s="111">
        <v>10640</v>
      </c>
      <c r="AL98" s="111">
        <v>914</v>
      </c>
      <c r="AM98" s="111">
        <v>150</v>
      </c>
      <c r="AN98" s="111">
        <f t="shared" si="73"/>
        <v>750</v>
      </c>
      <c r="AO98" s="111"/>
      <c r="AP98" s="111">
        <f t="shared" si="74"/>
        <v>12454</v>
      </c>
      <c r="AQ98" s="111" t="s">
        <v>281</v>
      </c>
      <c r="AR98" s="111"/>
      <c r="AS98" s="111"/>
      <c r="AT98" s="111"/>
      <c r="AU98" s="97">
        <v>0.2</v>
      </c>
    </row>
    <row r="99" spans="1:47" ht="14.4" x14ac:dyDescent="0.3">
      <c r="A99" s="88">
        <v>97</v>
      </c>
      <c r="B99" s="88" t="s">
        <v>67</v>
      </c>
      <c r="C99" s="88" t="s">
        <v>702</v>
      </c>
      <c r="D99" s="88" t="str">
        <f t="shared" si="52"/>
        <v>Verna 1.5 MPi iVT SX O</v>
      </c>
      <c r="E99" s="18">
        <v>1623400</v>
      </c>
      <c r="F99" s="107">
        <f t="shared" si="54"/>
        <v>16234</v>
      </c>
      <c r="G99" s="108">
        <f t="shared" si="69"/>
        <v>61155.375979200006</v>
      </c>
      <c r="H99" s="108">
        <f t="shared" si="70"/>
        <v>62494.771889599993</v>
      </c>
      <c r="I99" s="99"/>
      <c r="J99" s="116">
        <f t="shared" si="71"/>
        <v>49541.211984399997</v>
      </c>
      <c r="K99" s="108">
        <f t="shared" si="72"/>
        <v>50545.758917200001</v>
      </c>
      <c r="L99" s="108">
        <f t="shared" si="59"/>
        <v>7630.9655999999995</v>
      </c>
      <c r="M99" s="108">
        <f t="shared" si="60"/>
        <v>9450.7970000000005</v>
      </c>
      <c r="N99" s="116">
        <f t="shared" si="61"/>
        <v>11270.628400000001</v>
      </c>
      <c r="O99" s="116">
        <f t="shared" ref="O99:O130" si="75">(((E99*95%)*0.25%))+((((E99*95%)*0.25%))*18%)</f>
        <v>4549.5785000000005</v>
      </c>
      <c r="P99" s="118">
        <f t="shared" ref="P99:P107" si="76">IF(E99&lt;1000000,E99*8%,IF(E99&gt;=1000000,E99*10%))+600+1500+750+4500</f>
        <v>169690</v>
      </c>
      <c r="Q99" s="118">
        <f t="shared" si="62"/>
        <v>175920</v>
      </c>
      <c r="R99" s="98"/>
      <c r="S99" s="98"/>
      <c r="T99" s="18">
        <v>11203</v>
      </c>
      <c r="U99" s="98"/>
      <c r="V99" s="98">
        <f t="shared" ref="V99:V130" si="77">((IF(E99&lt;1000000,E99*8%,IF(AND(E99&gt;=1000000,E99&lt;2000000),E99*10%,IF(E99&gt;=2000000,E99*12%,0)))*1.25*2)/15)</f>
        <v>27056.666666666668</v>
      </c>
      <c r="W99" s="18">
        <v>11000</v>
      </c>
      <c r="X99" s="109" t="s">
        <v>282</v>
      </c>
      <c r="Y99" s="110"/>
      <c r="Z99" s="110"/>
      <c r="AA99" s="110"/>
      <c r="AB99" s="98"/>
      <c r="AC99" s="98"/>
      <c r="AD99" s="98">
        <v>2136</v>
      </c>
      <c r="AE99" s="97">
        <v>12765</v>
      </c>
      <c r="AF99" s="98">
        <v>19721</v>
      </c>
      <c r="AG99" s="98">
        <v>27185</v>
      </c>
      <c r="AH99" s="97">
        <v>34509</v>
      </c>
      <c r="AI99" s="111" t="s">
        <v>16</v>
      </c>
      <c r="AJ99" s="111">
        <v>5</v>
      </c>
      <c r="AK99" s="111">
        <v>10640</v>
      </c>
      <c r="AL99" s="111">
        <v>914</v>
      </c>
      <c r="AM99" s="111">
        <v>150</v>
      </c>
      <c r="AN99" s="111">
        <f t="shared" si="73"/>
        <v>750</v>
      </c>
      <c r="AO99" s="111"/>
      <c r="AP99" s="111">
        <f t="shared" si="74"/>
        <v>12454</v>
      </c>
      <c r="AQ99" s="111" t="s">
        <v>281</v>
      </c>
      <c r="AR99" s="111"/>
      <c r="AS99" s="111"/>
      <c r="AT99" s="111"/>
      <c r="AU99" s="97">
        <v>0.4</v>
      </c>
    </row>
    <row r="100" spans="1:47" ht="14.4" x14ac:dyDescent="0.3">
      <c r="A100" s="88">
        <v>98</v>
      </c>
      <c r="B100" s="88" t="s">
        <v>67</v>
      </c>
      <c r="C100" s="88" t="s">
        <v>304</v>
      </c>
      <c r="D100" s="88" t="str">
        <f t="shared" si="52"/>
        <v>Verna 1.5 Turbo GDi MT SX</v>
      </c>
      <c r="E100" s="18">
        <v>1487400</v>
      </c>
      <c r="F100" s="107">
        <f t="shared" si="54"/>
        <v>14874</v>
      </c>
      <c r="G100" s="108">
        <f t="shared" si="69"/>
        <v>57263.479211200007</v>
      </c>
      <c r="H100" s="108">
        <f t="shared" si="70"/>
        <v>58490.667505599995</v>
      </c>
      <c r="I100" s="99"/>
      <c r="J100" s="116">
        <f t="shared" si="71"/>
        <v>46622.2894084</v>
      </c>
      <c r="K100" s="108">
        <f t="shared" si="72"/>
        <v>47542.680629199996</v>
      </c>
      <c r="L100" s="108">
        <f t="shared" si="59"/>
        <v>7021.1415999999999</v>
      </c>
      <c r="M100" s="108">
        <f t="shared" si="60"/>
        <v>8688.5169999999998</v>
      </c>
      <c r="N100" s="116">
        <f t="shared" si="61"/>
        <v>10355.892400000001</v>
      </c>
      <c r="O100" s="116">
        <f t="shared" si="75"/>
        <v>4168.4385000000002</v>
      </c>
      <c r="P100" s="20">
        <f t="shared" si="76"/>
        <v>156090</v>
      </c>
      <c r="Q100" s="118">
        <f t="shared" ref="Q100:Q107" si="78">IF(E100&lt;600000,E100*5%,IF(E100&lt;1000000,E100*8.75%,IF(E100&gt;=1000000,E100*12.5%)))+600+1500+230+4000+2000+4500+750</f>
        <v>199505</v>
      </c>
      <c r="R100" s="98"/>
      <c r="S100" s="98"/>
      <c r="T100" s="18">
        <v>11203</v>
      </c>
      <c r="U100" s="98"/>
      <c r="V100" s="98">
        <f t="shared" si="77"/>
        <v>24790</v>
      </c>
      <c r="W100" s="18">
        <v>11000</v>
      </c>
      <c r="X100" s="109" t="s">
        <v>282</v>
      </c>
      <c r="Y100" s="110"/>
      <c r="Z100" s="110"/>
      <c r="AA100" s="110"/>
      <c r="AB100" s="98"/>
      <c r="AC100" s="98"/>
      <c r="AD100" s="98">
        <v>2136</v>
      </c>
      <c r="AE100" s="97">
        <v>12765</v>
      </c>
      <c r="AF100" s="98">
        <v>19721</v>
      </c>
      <c r="AG100" s="98">
        <v>27185</v>
      </c>
      <c r="AH100" s="97">
        <v>34509</v>
      </c>
      <c r="AI100" s="111" t="s">
        <v>16</v>
      </c>
      <c r="AJ100" s="111">
        <v>5</v>
      </c>
      <c r="AK100" s="111">
        <v>10640</v>
      </c>
      <c r="AL100" s="111">
        <v>914</v>
      </c>
      <c r="AM100" s="111">
        <v>150</v>
      </c>
      <c r="AN100" s="111">
        <f t="shared" si="73"/>
        <v>750</v>
      </c>
      <c r="AO100" s="111"/>
      <c r="AP100" s="111">
        <f t="shared" si="74"/>
        <v>12454</v>
      </c>
      <c r="AQ100" s="111" t="s">
        <v>281</v>
      </c>
      <c r="AR100" s="111"/>
      <c r="AS100" s="111"/>
      <c r="AT100" s="111"/>
      <c r="AU100" s="97">
        <v>0.4</v>
      </c>
    </row>
    <row r="101" spans="1:47" ht="14.4" x14ac:dyDescent="0.3">
      <c r="A101" s="88">
        <v>99</v>
      </c>
      <c r="B101" s="88" t="s">
        <v>67</v>
      </c>
      <c r="C101" s="88" t="s">
        <v>305</v>
      </c>
      <c r="D101" s="88" t="str">
        <f t="shared" si="52"/>
        <v>Verna 1.5 Turbo GDi MT SX DT</v>
      </c>
      <c r="E101" s="18">
        <v>1487400</v>
      </c>
      <c r="F101" s="107">
        <f t="shared" si="54"/>
        <v>14874</v>
      </c>
      <c r="G101" s="108">
        <f t="shared" si="69"/>
        <v>57263.479211200007</v>
      </c>
      <c r="H101" s="108">
        <f t="shared" si="70"/>
        <v>58490.667505599995</v>
      </c>
      <c r="I101" s="99"/>
      <c r="J101" s="116">
        <f t="shared" si="71"/>
        <v>46622.2894084</v>
      </c>
      <c r="K101" s="108">
        <f t="shared" si="72"/>
        <v>47542.680629199996</v>
      </c>
      <c r="L101" s="108">
        <f t="shared" si="59"/>
        <v>7021.1415999999999</v>
      </c>
      <c r="M101" s="108">
        <f t="shared" si="60"/>
        <v>8688.5169999999998</v>
      </c>
      <c r="N101" s="116">
        <f t="shared" si="61"/>
        <v>10355.892400000001</v>
      </c>
      <c r="O101" s="116">
        <f t="shared" si="75"/>
        <v>4168.4385000000002</v>
      </c>
      <c r="P101" s="20">
        <f t="shared" si="76"/>
        <v>156090</v>
      </c>
      <c r="Q101" s="118">
        <f t="shared" si="78"/>
        <v>199505</v>
      </c>
      <c r="R101" s="98"/>
      <c r="S101" s="98"/>
      <c r="T101" s="18">
        <v>11203</v>
      </c>
      <c r="U101" s="98"/>
      <c r="V101" s="98">
        <f t="shared" si="77"/>
        <v>24790</v>
      </c>
      <c r="W101" s="18">
        <v>11000</v>
      </c>
      <c r="X101" s="109" t="s">
        <v>282</v>
      </c>
      <c r="Y101" s="110"/>
      <c r="Z101" s="110"/>
      <c r="AA101" s="110"/>
      <c r="AB101" s="98"/>
      <c r="AC101" s="98"/>
      <c r="AD101" s="98">
        <v>2136</v>
      </c>
      <c r="AE101" s="97">
        <v>12765</v>
      </c>
      <c r="AF101" s="98">
        <v>19721</v>
      </c>
      <c r="AG101" s="98">
        <v>27185</v>
      </c>
      <c r="AH101" s="97">
        <v>34509</v>
      </c>
      <c r="AI101" s="111" t="s">
        <v>16</v>
      </c>
      <c r="AJ101" s="111">
        <v>5</v>
      </c>
      <c r="AK101" s="111">
        <v>10640</v>
      </c>
      <c r="AL101" s="111">
        <v>914</v>
      </c>
      <c r="AM101" s="111">
        <v>150</v>
      </c>
      <c r="AN101" s="111">
        <f t="shared" si="73"/>
        <v>750</v>
      </c>
      <c r="AO101" s="111"/>
      <c r="AP101" s="111">
        <f t="shared" si="74"/>
        <v>12454</v>
      </c>
      <c r="AQ101" s="111" t="s">
        <v>281</v>
      </c>
      <c r="AR101" s="111"/>
      <c r="AS101" s="111"/>
      <c r="AT101" s="111"/>
      <c r="AU101" s="97">
        <v>0.4</v>
      </c>
    </row>
    <row r="102" spans="1:47" ht="14.4" x14ac:dyDescent="0.3">
      <c r="A102" s="88">
        <v>100</v>
      </c>
      <c r="B102" s="88" t="s">
        <v>67</v>
      </c>
      <c r="C102" s="88" t="s">
        <v>306</v>
      </c>
      <c r="D102" s="88" t="str">
        <f t="shared" si="52"/>
        <v>Verna 1.5 Turbo GDi DCT SX</v>
      </c>
      <c r="E102" s="18">
        <v>1611900</v>
      </c>
      <c r="F102" s="107">
        <f t="shared" si="54"/>
        <v>16119</v>
      </c>
      <c r="G102" s="119">
        <f>+((E102-E102*0.05)*0.03039)-(((E102-E102*0.05)*0.03039)*0.2)+AP102+(((E102-E102*0.05)*0.03039)-(((E102-E102*0.05)*0.03039)*0.2)+AP102)*0.18+3</f>
        <v>53768.622848800005</v>
      </c>
      <c r="H102" s="119">
        <f>+((E102-E102*0.05)*0.03127)-(((E102-E102*0.05)*0.03127)*0.2)+AP102+(((E102-E102*0.05)*0.03127)-(((E102-E102*0.05)*0.03127)*0.2)+AP102)*0.18+3</f>
        <v>55040.708538399995</v>
      </c>
      <c r="I102" s="99"/>
      <c r="J102" s="116">
        <f t="shared" si="71"/>
        <v>44433.971325399994</v>
      </c>
      <c r="K102" s="108">
        <f t="shared" si="72"/>
        <v>45431.402150199996</v>
      </c>
      <c r="L102" s="108">
        <f t="shared" si="59"/>
        <v>7579.3996000000006</v>
      </c>
      <c r="M102" s="108">
        <f t="shared" si="60"/>
        <v>9386.3395</v>
      </c>
      <c r="N102" s="116">
        <f t="shared" si="61"/>
        <v>11193.279399999999</v>
      </c>
      <c r="O102" s="116">
        <f t="shared" si="75"/>
        <v>4517.3497500000003</v>
      </c>
      <c r="P102" s="20">
        <f t="shared" si="76"/>
        <v>168540</v>
      </c>
      <c r="Q102" s="118">
        <f t="shared" si="78"/>
        <v>215067.5</v>
      </c>
      <c r="R102" s="98"/>
      <c r="S102" s="98"/>
      <c r="T102" s="18">
        <v>11203</v>
      </c>
      <c r="U102" s="107"/>
      <c r="V102" s="98">
        <f t="shared" si="77"/>
        <v>26865</v>
      </c>
      <c r="W102" s="18">
        <v>11000</v>
      </c>
      <c r="X102" s="109" t="s">
        <v>282</v>
      </c>
      <c r="Y102" s="98"/>
      <c r="Z102" s="107"/>
      <c r="AA102" s="107"/>
      <c r="AB102" s="98"/>
      <c r="AC102" s="98"/>
      <c r="AD102" s="98">
        <v>2136</v>
      </c>
      <c r="AE102" s="97">
        <v>10442</v>
      </c>
      <c r="AF102" s="98">
        <v>17250</v>
      </c>
      <c r="AG102" s="98">
        <v>23442</v>
      </c>
      <c r="AH102" s="97">
        <v>30305</v>
      </c>
      <c r="AI102" s="111" t="s">
        <v>16</v>
      </c>
      <c r="AJ102" s="111">
        <v>5</v>
      </c>
      <c r="AK102" s="111">
        <v>6521</v>
      </c>
      <c r="AL102" s="111">
        <v>914</v>
      </c>
      <c r="AM102" s="111">
        <v>150</v>
      </c>
      <c r="AN102" s="111">
        <f>150*AJ102</f>
        <v>750</v>
      </c>
      <c r="AO102" s="111"/>
      <c r="AP102" s="111">
        <f>AN102+AM102+AL102+AK102</f>
        <v>8335</v>
      </c>
      <c r="AQ102" s="111" t="s">
        <v>281</v>
      </c>
      <c r="AR102" s="111"/>
      <c r="AS102" s="111"/>
      <c r="AT102" s="111"/>
      <c r="AU102" s="97">
        <v>0.4</v>
      </c>
    </row>
    <row r="103" spans="1:47" ht="14.4" x14ac:dyDescent="0.3">
      <c r="A103" s="88">
        <v>101</v>
      </c>
      <c r="B103" s="88" t="s">
        <v>67</v>
      </c>
      <c r="C103" s="88" t="s">
        <v>307</v>
      </c>
      <c r="D103" s="88" t="str">
        <f t="shared" si="52"/>
        <v>Verna 1.5 Turbo GDi DCT SX DT</v>
      </c>
      <c r="E103" s="18">
        <v>1611900</v>
      </c>
      <c r="F103" s="107">
        <f t="shared" si="54"/>
        <v>16119</v>
      </c>
      <c r="G103" s="119">
        <f>+((E103-E103*0.05)*0.03039)-(((E103-E103*0.05)*0.03039)*0.2)+AP103+(((E103-E103*0.05)*0.03039)-(((E103-E103*0.05)*0.03039)*0.2)+AP103)*0.18+3</f>
        <v>53768.622848800005</v>
      </c>
      <c r="H103" s="119">
        <f>+((E103-E103*0.05)*0.03127)-(((E103-E103*0.05)*0.03127)*0.2)+AP103+(((E103-E103*0.05)*0.03127)-(((E103-E103*0.05)*0.03127)*0.2)+AP103)*0.18+3</f>
        <v>55040.708538399995</v>
      </c>
      <c r="I103" s="99"/>
      <c r="J103" s="116">
        <f>+((E103-E103*0.05)*0.03039)-(((E103-E103*0.05)*0.03039)*AU103)+AP103+(((E103-E103*0.05)*0.03039)-(((E103-E103*0.05)*0.03039)*AU103)+AP103)*0.18+3</f>
        <v>42786.042136599994</v>
      </c>
      <c r="K103" s="108">
        <f>+((E103-E103*0.05)*0.03127)-(((E103-E103*0.05)*0.03127)*AU103)+AP103+(((E103-E103*0.05)*0.03127)-(((E103-E103*0.05)*0.03127)*AU103)+AP103)*0.18+3</f>
        <v>43740.106403800004</v>
      </c>
      <c r="L103" s="108">
        <f t="shared" si="59"/>
        <v>7579.3996000000006</v>
      </c>
      <c r="M103" s="108">
        <f t="shared" si="60"/>
        <v>9386.3395</v>
      </c>
      <c r="N103" s="116">
        <f t="shared" si="61"/>
        <v>11193.279399999999</v>
      </c>
      <c r="O103" s="116">
        <f t="shared" si="75"/>
        <v>4517.3497500000003</v>
      </c>
      <c r="P103" s="20">
        <f t="shared" si="76"/>
        <v>168540</v>
      </c>
      <c r="Q103" s="118">
        <f t="shared" si="78"/>
        <v>215067.5</v>
      </c>
      <c r="R103" s="98"/>
      <c r="S103" s="98"/>
      <c r="T103" s="18">
        <v>11203</v>
      </c>
      <c r="U103" s="98"/>
      <c r="V103" s="98">
        <f t="shared" si="77"/>
        <v>26865</v>
      </c>
      <c r="W103" s="18">
        <v>11000</v>
      </c>
      <c r="X103" s="109" t="s">
        <v>282</v>
      </c>
      <c r="Y103" s="98"/>
      <c r="Z103" s="107"/>
      <c r="AA103" s="107"/>
      <c r="AB103" s="98"/>
      <c r="AC103" s="98"/>
      <c r="AD103" s="98">
        <v>2136</v>
      </c>
      <c r="AE103" s="97">
        <v>9792</v>
      </c>
      <c r="AF103" s="98">
        <v>15777</v>
      </c>
      <c r="AG103" s="98">
        <v>21495</v>
      </c>
      <c r="AH103" s="97">
        <v>27776</v>
      </c>
      <c r="AI103" s="111" t="s">
        <v>16</v>
      </c>
      <c r="AJ103" s="111">
        <v>5</v>
      </c>
      <c r="AK103" s="111">
        <v>6521</v>
      </c>
      <c r="AL103" s="111">
        <v>914</v>
      </c>
      <c r="AM103" s="111">
        <v>150</v>
      </c>
      <c r="AN103" s="111">
        <f>150*AJ103</f>
        <v>750</v>
      </c>
      <c r="AO103" s="111"/>
      <c r="AP103" s="111">
        <f>AN103+AM103+AL103+AK103</f>
        <v>8335</v>
      </c>
      <c r="AQ103" s="111" t="s">
        <v>285</v>
      </c>
      <c r="AR103" s="111"/>
      <c r="AS103" s="111"/>
      <c r="AT103" s="111"/>
      <c r="AU103" s="97">
        <v>0.4</v>
      </c>
    </row>
    <row r="104" spans="1:47" ht="14.4" x14ac:dyDescent="0.3">
      <c r="A104" s="88">
        <v>102</v>
      </c>
      <c r="B104" s="88" t="s">
        <v>67</v>
      </c>
      <c r="C104" s="88" t="s">
        <v>703</v>
      </c>
      <c r="D104" s="88" t="str">
        <f t="shared" si="52"/>
        <v>Verna 1.5 Turbo GDi MT SX O</v>
      </c>
      <c r="E104" s="18">
        <v>1602800</v>
      </c>
      <c r="F104" s="107">
        <f t="shared" si="54"/>
        <v>16028</v>
      </c>
      <c r="G104" s="119">
        <f>+((E104-E104*0.05)*0.03039)-(((E104-E104*0.05)*0.03039)*0.2)+AP104+(((E104-E104*0.05)*0.03039)-(((E104-E104*0.05)*0.03039)*0.2)+AP104)*0.18+3</f>
        <v>53520.613705600001</v>
      </c>
      <c r="H104" s="119">
        <f>+((E104-E104*0.05)*0.03127)-(((E104-E104*0.05)*0.03127)*0.2)+AP104+(((E104-E104*0.05)*0.03127)-(((E104-E104*0.05)*0.03127)*0.2)+AP104)*0.18+3</f>
        <v>54785.517820799992</v>
      </c>
      <c r="I104" s="99"/>
      <c r="J104" s="116">
        <f>+((E104-E104*0.05)*0.03039)-(((E104-E104*0.05)*0.03039)*AU104)+AP104+(((E104-E104*0.05)*0.03039)-(((E104-E104*0.05)*0.03039)*AU104)+AP104)*0.18+3</f>
        <v>42600.035279200005</v>
      </c>
      <c r="K104" s="108">
        <f>+((E104-E104*0.05)*0.03127)-(((E104-E104*0.05)*0.03127)*AU104)+AP104+(((E104-E104*0.05)*0.03127)-(((E104-E104*0.05)*0.03127)*AU104)+AP104)*0.18+3</f>
        <v>43548.713365600001</v>
      </c>
      <c r="L104" s="108">
        <f t="shared" si="59"/>
        <v>7538.5952000000007</v>
      </c>
      <c r="M104" s="108">
        <f t="shared" si="60"/>
        <v>9335.3340000000007</v>
      </c>
      <c r="N104" s="116">
        <f t="shared" si="61"/>
        <v>11132.072800000002</v>
      </c>
      <c r="O104" s="116">
        <f t="shared" si="75"/>
        <v>4491.8469999999998</v>
      </c>
      <c r="P104" s="20">
        <f t="shared" si="76"/>
        <v>167630</v>
      </c>
      <c r="Q104" s="118">
        <f t="shared" si="78"/>
        <v>213930</v>
      </c>
      <c r="R104" s="98"/>
      <c r="S104" s="98"/>
      <c r="T104" s="18">
        <v>11203</v>
      </c>
      <c r="U104" s="98"/>
      <c r="V104" s="98">
        <f t="shared" si="77"/>
        <v>26713.333333333332</v>
      </c>
      <c r="W104" s="18">
        <v>11000</v>
      </c>
      <c r="X104" s="109" t="s">
        <v>282</v>
      </c>
      <c r="Y104" s="98"/>
      <c r="Z104" s="107"/>
      <c r="AA104" s="107"/>
      <c r="AB104" s="98"/>
      <c r="AC104" s="98"/>
      <c r="AD104" s="98">
        <v>2136</v>
      </c>
      <c r="AE104" s="97">
        <v>9792</v>
      </c>
      <c r="AF104" s="98">
        <v>15777</v>
      </c>
      <c r="AG104" s="98">
        <v>21495</v>
      </c>
      <c r="AH104" s="97">
        <v>27776</v>
      </c>
      <c r="AI104" s="111" t="s">
        <v>16</v>
      </c>
      <c r="AJ104" s="111">
        <v>5</v>
      </c>
      <c r="AK104" s="111">
        <v>6521</v>
      </c>
      <c r="AL104" s="111">
        <v>914</v>
      </c>
      <c r="AM104" s="111">
        <v>150</v>
      </c>
      <c r="AN104" s="111">
        <f>150*AJ104</f>
        <v>750</v>
      </c>
      <c r="AO104" s="111"/>
      <c r="AP104" s="111">
        <f>AN104+AM104+AL104+AK104</f>
        <v>8335</v>
      </c>
      <c r="AQ104" s="111" t="s">
        <v>285</v>
      </c>
      <c r="AR104" s="111"/>
      <c r="AS104" s="111"/>
      <c r="AT104" s="111"/>
      <c r="AU104" s="97">
        <v>0.4</v>
      </c>
    </row>
    <row r="105" spans="1:47" ht="14.4" x14ac:dyDescent="0.3">
      <c r="A105" s="88">
        <v>103</v>
      </c>
      <c r="B105" s="88" t="s">
        <v>67</v>
      </c>
      <c r="C105" s="88" t="s">
        <v>704</v>
      </c>
      <c r="D105" s="88" t="str">
        <f t="shared" si="52"/>
        <v>Verna 1.5 Turbo GDi MT SX O DT</v>
      </c>
      <c r="E105" s="18">
        <v>1602800</v>
      </c>
      <c r="F105" s="107">
        <f t="shared" si="54"/>
        <v>16028</v>
      </c>
      <c r="G105" s="119">
        <f>+((E105-E105*0.05)*0.03039)-(((E105-E105*0.05)*0.03039)*0.2)+AP105+(((E105-E105*0.05)*0.03039)-(((E105-E105*0.05)*0.03039)*0.2)+AP105)*0.18+3</f>
        <v>53520.613705600001</v>
      </c>
      <c r="H105" s="119">
        <f>+((E105-E105*0.05)*0.03127)-(((E105-E105*0.05)*0.03127)*0.2)+AP105+(((E105-E105*0.05)*0.03127)-(((E105-E105*0.05)*0.03127)*0.2)+AP105)*0.18+3</f>
        <v>54785.517820799992</v>
      </c>
      <c r="I105" s="99"/>
      <c r="J105" s="116">
        <f>+((E105-E105*0.05)*0.03039)-(((E105-E105*0.05)*0.03039)*AU105)+AP105+(((E105-E105*0.05)*0.03039)-(((E105-E105*0.05)*0.03039)*AU105)+AP105)*0.18+3</f>
        <v>42600.035279200005</v>
      </c>
      <c r="K105" s="108">
        <f>+((E105-E105*0.05)*0.03127)-(((E105-E105*0.05)*0.03127)*AU105)+AP105+(((E105-E105*0.05)*0.03127)-(((E105-E105*0.05)*0.03127)*AU105)+AP105)*0.18+3</f>
        <v>43548.713365600001</v>
      </c>
      <c r="L105" s="108">
        <f t="shared" si="59"/>
        <v>7538.5952000000007</v>
      </c>
      <c r="M105" s="108">
        <f t="shared" si="60"/>
        <v>9335.3340000000007</v>
      </c>
      <c r="N105" s="116">
        <f t="shared" si="61"/>
        <v>11132.072800000002</v>
      </c>
      <c r="O105" s="116">
        <f t="shared" si="75"/>
        <v>4491.8469999999998</v>
      </c>
      <c r="P105" s="20">
        <f t="shared" si="76"/>
        <v>167630</v>
      </c>
      <c r="Q105" s="118">
        <f t="shared" si="78"/>
        <v>213930</v>
      </c>
      <c r="R105" s="98"/>
      <c r="S105" s="98"/>
      <c r="T105" s="18">
        <v>11203</v>
      </c>
      <c r="U105" s="98"/>
      <c r="V105" s="98">
        <f t="shared" si="77"/>
        <v>26713.333333333332</v>
      </c>
      <c r="W105" s="18">
        <v>11000</v>
      </c>
      <c r="X105" s="109" t="s">
        <v>282</v>
      </c>
      <c r="Y105" s="98"/>
      <c r="Z105" s="107"/>
      <c r="AA105" s="107"/>
      <c r="AB105" s="98"/>
      <c r="AC105" s="98"/>
      <c r="AD105" s="98">
        <v>2136</v>
      </c>
      <c r="AE105" s="97">
        <v>9792</v>
      </c>
      <c r="AF105" s="98">
        <v>15777</v>
      </c>
      <c r="AG105" s="98">
        <v>21495</v>
      </c>
      <c r="AH105" s="97">
        <v>27776</v>
      </c>
      <c r="AI105" s="111" t="s">
        <v>16</v>
      </c>
      <c r="AJ105" s="111">
        <v>5</v>
      </c>
      <c r="AK105" s="111">
        <v>6521</v>
      </c>
      <c r="AL105" s="111">
        <v>914</v>
      </c>
      <c r="AM105" s="111">
        <v>150</v>
      </c>
      <c r="AN105" s="111">
        <f>150*AJ105</f>
        <v>750</v>
      </c>
      <c r="AO105" s="111"/>
      <c r="AP105" s="111">
        <f>AN105+AM105+AL105+AK105</f>
        <v>8335</v>
      </c>
      <c r="AQ105" s="111" t="s">
        <v>285</v>
      </c>
      <c r="AR105" s="111"/>
      <c r="AS105" s="111"/>
      <c r="AT105" s="111"/>
      <c r="AU105" s="97">
        <v>0.4</v>
      </c>
    </row>
    <row r="106" spans="1:47" ht="14.4" x14ac:dyDescent="0.3">
      <c r="A106" s="88">
        <v>104</v>
      </c>
      <c r="B106" s="88" t="s">
        <v>67</v>
      </c>
      <c r="C106" s="88" t="s">
        <v>705</v>
      </c>
      <c r="D106" s="88" t="str">
        <f t="shared" si="52"/>
        <v>Verna 1.5 Turbo GDi DCT SX O</v>
      </c>
      <c r="E106" s="18">
        <v>1741800</v>
      </c>
      <c r="F106" s="107">
        <f t="shared" si="54"/>
        <v>17418</v>
      </c>
      <c r="G106" s="119">
        <f>+((E106-E106*0.05)*0.03039)-(((E106-E106*0.05)*0.03039)*0.2)+AP106+(((E106-E106*0.05)*0.03039)-(((E106-E106*0.05)*0.03039)*0.2)+AP106)*0.18+3</f>
        <v>57308.885233599998</v>
      </c>
      <c r="H106" s="119">
        <f>+((E106-E106*0.05)*0.03127)-(((E106-E106*0.05)*0.03127)*0.2)+AP106+(((E106-E106*0.05)*0.03127)-(((E106-E106*0.05)*0.03127)*0.2)+AP106)*0.18+3</f>
        <v>58683.485924799999</v>
      </c>
      <c r="I106" s="99"/>
      <c r="J106" s="116">
        <f>+((E106-E106*0.05)*0.03039)-(((E106-E106*0.05)*0.03039)*AU106)+AP106+(((E106-E106*0.05)*0.03039)-(((E106-E106*0.05)*0.03039)*AU106)+AP106)*0.18+3</f>
        <v>45441.238925199992</v>
      </c>
      <c r="K106" s="108">
        <f>+((E106-E106*0.05)*0.03127)-(((E106-E106*0.05)*0.03127)*AU106)+AP106+(((E106-E106*0.05)*0.03127)-(((E106-E106*0.05)*0.03127)*AU106)+AP106)*0.18+3</f>
        <v>46472.1894436</v>
      </c>
      <c r="L106" s="108">
        <f t="shared" si="59"/>
        <v>8161.8711999999996</v>
      </c>
      <c r="M106" s="108">
        <f t="shared" si="60"/>
        <v>10114.429</v>
      </c>
      <c r="N106" s="116">
        <f t="shared" si="61"/>
        <v>12066.986800000001</v>
      </c>
      <c r="O106" s="116">
        <f t="shared" si="75"/>
        <v>4881.3944999999994</v>
      </c>
      <c r="P106" s="118">
        <f t="shared" si="76"/>
        <v>181530</v>
      </c>
      <c r="Q106" s="118">
        <f t="shared" si="78"/>
        <v>231305</v>
      </c>
      <c r="R106" s="98"/>
      <c r="S106" s="98"/>
      <c r="T106" s="18">
        <v>11203</v>
      </c>
      <c r="U106" s="98"/>
      <c r="V106" s="98">
        <f t="shared" si="77"/>
        <v>29030</v>
      </c>
      <c r="W106" s="18">
        <v>11000</v>
      </c>
      <c r="X106" s="109" t="s">
        <v>282</v>
      </c>
      <c r="Y106" s="98"/>
      <c r="Z106" s="107"/>
      <c r="AA106" s="107"/>
      <c r="AB106" s="98"/>
      <c r="AC106" s="98"/>
      <c r="AD106" s="98">
        <v>2136</v>
      </c>
      <c r="AE106" s="97">
        <v>9792</v>
      </c>
      <c r="AF106" s="98">
        <v>15777</v>
      </c>
      <c r="AG106" s="98">
        <v>21495</v>
      </c>
      <c r="AH106" s="97">
        <v>27776</v>
      </c>
      <c r="AI106" s="111" t="s">
        <v>16</v>
      </c>
      <c r="AJ106" s="111">
        <v>5</v>
      </c>
      <c r="AK106" s="111">
        <v>6521</v>
      </c>
      <c r="AL106" s="111">
        <v>914</v>
      </c>
      <c r="AM106" s="111">
        <v>150</v>
      </c>
      <c r="AN106" s="111">
        <f>150*AJ106</f>
        <v>750</v>
      </c>
      <c r="AO106" s="111"/>
      <c r="AP106" s="111">
        <f>AN106+AM106+AL106+AK106</f>
        <v>8335</v>
      </c>
      <c r="AQ106" s="111" t="s">
        <v>285</v>
      </c>
      <c r="AR106" s="111"/>
      <c r="AS106" s="111"/>
      <c r="AT106" s="111"/>
      <c r="AU106" s="97">
        <v>0.4</v>
      </c>
    </row>
    <row r="107" spans="1:47" ht="14.4" x14ac:dyDescent="0.3">
      <c r="A107" s="88">
        <v>105</v>
      </c>
      <c r="B107" s="88" t="s">
        <v>67</v>
      </c>
      <c r="C107" s="88" t="s">
        <v>706</v>
      </c>
      <c r="D107" s="88" t="str">
        <f t="shared" si="52"/>
        <v>Verna 1.5 Turbo GDi DCT SX O DT</v>
      </c>
      <c r="E107" s="18">
        <v>1741800</v>
      </c>
      <c r="F107" s="107">
        <f t="shared" si="54"/>
        <v>17418</v>
      </c>
      <c r="G107" s="119">
        <f t="shared" ref="G107:G138" si="79">+((E107-E107*0.05)*0.03191)-(((E107-E107*0.05)*0.03191)*0.2)+AP107+(((E107-E107*0.05)*0.03191)-(((E107-E107*0.05)*0.03191)*0.2)+AP107)*0.18+3</f>
        <v>64543.615518400002</v>
      </c>
      <c r="H107" s="119">
        <f t="shared" ref="H107:H138" si="80">+((E107-E107*0.05)*0.03283)-(((E107-E107*0.05)*0.03283)*0.2)+AP107+(((E107-E107*0.05)*0.03283)-(((E107-E107*0.05)*0.03283)*0.2)+AP107)*0.18+3</f>
        <v>65980.698059199989</v>
      </c>
      <c r="I107" s="99"/>
      <c r="J107" s="116">
        <f t="shared" ref="J107:J138" si="81">+((E107-E107*0.05)*0.03191)-(((E107-E107*0.05)*0.03191)*AU107)+AP107+(((E107-E107*0.05)*0.03191)-(((E107-E107*0.05)*0.03191)*AU107)+AP107)*0.18+3</f>
        <v>52082.391638799993</v>
      </c>
      <c r="K107" s="108">
        <f t="shared" ref="K107:K138" si="82">+((E107-E107*0.05)*0.03283)-(((E107-E107*0.05)*0.03283)*AU107)+AP107+(((E107-E107*0.05)*0.03283)-(((E107-E107*0.05)*0.03283)*AU107)+AP107)*0.18+3</f>
        <v>53160.203544399992</v>
      </c>
      <c r="L107" s="108">
        <f t="shared" si="59"/>
        <v>8161.8711999999996</v>
      </c>
      <c r="M107" s="108">
        <f t="shared" si="60"/>
        <v>10114.429</v>
      </c>
      <c r="N107" s="116">
        <f t="shared" si="61"/>
        <v>12066.986800000001</v>
      </c>
      <c r="O107" s="116">
        <f t="shared" si="75"/>
        <v>4881.3944999999994</v>
      </c>
      <c r="P107" s="118">
        <f t="shared" si="76"/>
        <v>181530</v>
      </c>
      <c r="Q107" s="118">
        <f t="shared" si="78"/>
        <v>231305</v>
      </c>
      <c r="R107" s="98"/>
      <c r="S107" s="98"/>
      <c r="T107" s="18">
        <v>11203</v>
      </c>
      <c r="U107" s="107"/>
      <c r="V107" s="98">
        <f t="shared" si="77"/>
        <v>29030</v>
      </c>
      <c r="W107" s="18">
        <v>11000</v>
      </c>
      <c r="X107" s="109" t="s">
        <v>282</v>
      </c>
      <c r="Y107" s="98"/>
      <c r="Z107" s="107"/>
      <c r="AA107" s="107"/>
      <c r="AB107" s="98"/>
      <c r="AC107" s="98"/>
      <c r="AD107" s="98">
        <v>2136</v>
      </c>
      <c r="AE107" s="97">
        <v>10442</v>
      </c>
      <c r="AF107" s="98">
        <v>17250</v>
      </c>
      <c r="AG107" s="98">
        <v>23442</v>
      </c>
      <c r="AH107" s="97">
        <v>30305</v>
      </c>
      <c r="AI107" s="111" t="s">
        <v>16</v>
      </c>
      <c r="AJ107" s="111">
        <v>5</v>
      </c>
      <c r="AK107" s="111">
        <v>10640</v>
      </c>
      <c r="AL107" s="111">
        <v>914</v>
      </c>
      <c r="AM107" s="111">
        <v>150</v>
      </c>
      <c r="AN107" s="111">
        <f t="shared" ref="AN107:AN138" si="83">AJ107*150</f>
        <v>750</v>
      </c>
      <c r="AO107" s="111"/>
      <c r="AP107" s="111">
        <f t="shared" ref="AP107:AP138" si="84">SUM(AK107:AN107)</f>
        <v>12454</v>
      </c>
      <c r="AQ107" s="111" t="s">
        <v>281</v>
      </c>
      <c r="AR107" s="111"/>
      <c r="AS107" s="111"/>
      <c r="AT107" s="111"/>
      <c r="AU107" s="97">
        <v>0.4</v>
      </c>
    </row>
    <row r="108" spans="1:47" ht="14.4" x14ac:dyDescent="0.3">
      <c r="A108" s="88">
        <v>106</v>
      </c>
      <c r="B108" s="88" t="s">
        <v>68</v>
      </c>
      <c r="C108" s="88" t="s">
        <v>326</v>
      </c>
      <c r="D108" s="88" t="str">
        <f t="shared" si="52"/>
        <v>Creta 1.5 MPi MT E</v>
      </c>
      <c r="E108" s="18">
        <v>1099900</v>
      </c>
      <c r="F108" s="107">
        <f t="shared" si="54"/>
        <v>10999</v>
      </c>
      <c r="G108" s="119">
        <f t="shared" si="79"/>
        <v>46174.4351112</v>
      </c>
      <c r="H108" s="119">
        <f t="shared" si="80"/>
        <v>47081.914205599998</v>
      </c>
      <c r="I108" s="99"/>
      <c r="J108" s="116">
        <f t="shared" si="81"/>
        <v>38305.506333400001</v>
      </c>
      <c r="K108" s="108">
        <f t="shared" si="82"/>
        <v>38986.115654200003</v>
      </c>
      <c r="L108" s="108">
        <f t="shared" si="59"/>
        <v>5283.5915999999997</v>
      </c>
      <c r="M108" s="108">
        <f t="shared" si="60"/>
        <v>6516.5795000000007</v>
      </c>
      <c r="N108" s="116">
        <f t="shared" si="61"/>
        <v>7749.5673999999999</v>
      </c>
      <c r="O108" s="116">
        <f t="shared" si="75"/>
        <v>3082.4697500000002</v>
      </c>
      <c r="P108" s="120">
        <f t="shared" ref="P108:P147" si="85">IF(E108&lt;1000000,E108*8%,IF(E108&gt;=1000000,E108*10%))+600+1500+3000+750+1500</f>
        <v>117340</v>
      </c>
      <c r="Q108" s="118">
        <f t="shared" ref="Q108:Q111" si="86">IF(E108&lt;600000,E108*4%,IF(E108&lt;1000000,E108*7%,IF(E108&gt;=1000000,E108*10%)))+600+1500+230+4000+2000+3000+750+1500</f>
        <v>123570</v>
      </c>
      <c r="R108" s="98"/>
      <c r="S108" s="98"/>
      <c r="T108" s="18">
        <v>10040</v>
      </c>
      <c r="U108" s="158">
        <v>18761</v>
      </c>
      <c r="V108" s="98">
        <f t="shared" si="77"/>
        <v>18331.666666666668</v>
      </c>
      <c r="W108" s="18">
        <v>10500</v>
      </c>
      <c r="X108" s="109" t="s">
        <v>282</v>
      </c>
      <c r="Y108" s="98"/>
      <c r="Z108" s="107"/>
      <c r="AA108" s="107"/>
      <c r="AB108" s="98" t="s">
        <v>16</v>
      </c>
      <c r="AC108" s="158">
        <v>22301</v>
      </c>
      <c r="AD108" s="98">
        <v>2136</v>
      </c>
      <c r="AE108" s="97">
        <v>10442</v>
      </c>
      <c r="AF108" s="98">
        <v>17250</v>
      </c>
      <c r="AG108" s="98">
        <v>23442</v>
      </c>
      <c r="AH108" s="97">
        <v>30305</v>
      </c>
      <c r="AI108" s="158">
        <v>48379</v>
      </c>
      <c r="AJ108" s="111">
        <v>5</v>
      </c>
      <c r="AK108" s="111">
        <v>10640</v>
      </c>
      <c r="AL108" s="111">
        <v>914</v>
      </c>
      <c r="AM108" s="111">
        <v>150</v>
      </c>
      <c r="AN108" s="111">
        <f t="shared" si="83"/>
        <v>750</v>
      </c>
      <c r="AO108" s="111"/>
      <c r="AP108" s="111">
        <f t="shared" si="84"/>
        <v>12454</v>
      </c>
      <c r="AQ108" s="111" t="s">
        <v>281</v>
      </c>
      <c r="AR108" s="158">
        <v>11327</v>
      </c>
      <c r="AS108" s="158">
        <v>12271</v>
      </c>
      <c r="AT108" s="111"/>
      <c r="AU108" s="97">
        <v>0.4</v>
      </c>
    </row>
    <row r="109" spans="1:47" ht="14.4" x14ac:dyDescent="0.3">
      <c r="A109" s="88">
        <v>107</v>
      </c>
      <c r="B109" s="88" t="s">
        <v>68</v>
      </c>
      <c r="C109" s="88" t="s">
        <v>300</v>
      </c>
      <c r="D109" s="88" t="str">
        <f t="shared" si="52"/>
        <v>Creta 1.5 MPi MT EX</v>
      </c>
      <c r="E109" s="18">
        <v>1221200</v>
      </c>
      <c r="F109" s="107">
        <f t="shared" si="54"/>
        <v>12212</v>
      </c>
      <c r="G109" s="119">
        <f t="shared" si="79"/>
        <v>49645.663625599998</v>
      </c>
      <c r="H109" s="119">
        <f t="shared" si="80"/>
        <v>50653.22201279999</v>
      </c>
      <c r="I109" s="99"/>
      <c r="J109" s="116">
        <f t="shared" si="81"/>
        <v>40908.927719199994</v>
      </c>
      <c r="K109" s="108">
        <f t="shared" si="82"/>
        <v>41664.596509599993</v>
      </c>
      <c r="L109" s="108">
        <f t="shared" si="59"/>
        <v>5827.5008000000007</v>
      </c>
      <c r="M109" s="108">
        <f t="shared" si="60"/>
        <v>7196.4659999999994</v>
      </c>
      <c r="N109" s="116">
        <f t="shared" si="61"/>
        <v>8565.4312000000009</v>
      </c>
      <c r="O109" s="116">
        <f t="shared" si="75"/>
        <v>3422.413</v>
      </c>
      <c r="P109" s="120">
        <f t="shared" si="85"/>
        <v>129470</v>
      </c>
      <c r="Q109" s="118">
        <f t="shared" si="86"/>
        <v>135700</v>
      </c>
      <c r="R109" s="98"/>
      <c r="S109" s="98"/>
      <c r="T109" s="18">
        <v>10040</v>
      </c>
      <c r="U109" s="158">
        <v>18761</v>
      </c>
      <c r="V109" s="98">
        <f t="shared" si="77"/>
        <v>20353.333333333332</v>
      </c>
      <c r="W109" s="18">
        <v>10500</v>
      </c>
      <c r="X109" s="109" t="s">
        <v>282</v>
      </c>
      <c r="Y109" s="98"/>
      <c r="Z109" s="107"/>
      <c r="AA109" s="107"/>
      <c r="AB109" s="98" t="s">
        <v>16</v>
      </c>
      <c r="AC109" s="158">
        <v>22301</v>
      </c>
      <c r="AD109" s="98">
        <v>2136</v>
      </c>
      <c r="AE109" s="97">
        <v>10442</v>
      </c>
      <c r="AF109" s="98">
        <v>17250</v>
      </c>
      <c r="AG109" s="98">
        <v>23442</v>
      </c>
      <c r="AH109" s="97">
        <v>30305</v>
      </c>
      <c r="AI109" s="158">
        <v>48379</v>
      </c>
      <c r="AJ109" s="111">
        <v>5</v>
      </c>
      <c r="AK109" s="111">
        <v>10640</v>
      </c>
      <c r="AL109" s="111">
        <v>914</v>
      </c>
      <c r="AM109" s="111">
        <v>150</v>
      </c>
      <c r="AN109" s="111">
        <f t="shared" si="83"/>
        <v>750</v>
      </c>
      <c r="AO109" s="111"/>
      <c r="AP109" s="111">
        <f t="shared" si="84"/>
        <v>12454</v>
      </c>
      <c r="AQ109" s="111" t="s">
        <v>281</v>
      </c>
      <c r="AR109" s="158">
        <v>11327</v>
      </c>
      <c r="AS109" s="158">
        <v>12271</v>
      </c>
      <c r="AT109" s="111"/>
      <c r="AU109" s="97">
        <v>0.4</v>
      </c>
    </row>
    <row r="110" spans="1:47" ht="14.4" x14ac:dyDescent="0.3">
      <c r="A110" s="88">
        <v>108</v>
      </c>
      <c r="B110" s="88" t="s">
        <v>68</v>
      </c>
      <c r="C110" s="88" t="s">
        <v>301</v>
      </c>
      <c r="D110" s="88" t="str">
        <f t="shared" si="52"/>
        <v>Creta 1.5 MPi MT S</v>
      </c>
      <c r="E110" s="18">
        <v>1342700</v>
      </c>
      <c r="F110" s="107">
        <f t="shared" si="54"/>
        <v>13427</v>
      </c>
      <c r="G110" s="119">
        <f t="shared" si="79"/>
        <v>53122.615517599996</v>
      </c>
      <c r="H110" s="119">
        <f t="shared" si="80"/>
        <v>54230.418208799994</v>
      </c>
      <c r="I110" s="99"/>
      <c r="J110" s="116">
        <f t="shared" si="81"/>
        <v>43516.641638200002</v>
      </c>
      <c r="K110" s="108">
        <f t="shared" si="82"/>
        <v>44347.493656599989</v>
      </c>
      <c r="L110" s="108">
        <f t="shared" si="59"/>
        <v>6372.3068000000003</v>
      </c>
      <c r="M110" s="108">
        <f t="shared" si="60"/>
        <v>7877.4735000000001</v>
      </c>
      <c r="N110" s="116">
        <f t="shared" si="61"/>
        <v>9382.6401999999998</v>
      </c>
      <c r="O110" s="116">
        <f t="shared" si="75"/>
        <v>3762.9167499999999</v>
      </c>
      <c r="P110" s="120">
        <f t="shared" si="85"/>
        <v>141620</v>
      </c>
      <c r="Q110" s="118">
        <f t="shared" si="86"/>
        <v>147850</v>
      </c>
      <c r="R110" s="98"/>
      <c r="S110" s="98"/>
      <c r="T110" s="18">
        <v>10040</v>
      </c>
      <c r="U110" s="158">
        <v>18761</v>
      </c>
      <c r="V110" s="98">
        <f t="shared" si="77"/>
        <v>22378.333333333332</v>
      </c>
      <c r="W110" s="18">
        <v>10500</v>
      </c>
      <c r="X110" s="109" t="s">
        <v>282</v>
      </c>
      <c r="Y110" s="98"/>
      <c r="Z110" s="107"/>
      <c r="AA110" s="107"/>
      <c r="AB110" s="98" t="s">
        <v>16</v>
      </c>
      <c r="AC110" s="158">
        <v>22301</v>
      </c>
      <c r="AD110" s="98">
        <v>2136</v>
      </c>
      <c r="AE110" s="97">
        <v>10442</v>
      </c>
      <c r="AF110" s="98">
        <v>17250</v>
      </c>
      <c r="AG110" s="98">
        <v>23442</v>
      </c>
      <c r="AH110" s="97">
        <v>30305</v>
      </c>
      <c r="AI110" s="158">
        <v>48379</v>
      </c>
      <c r="AJ110" s="111">
        <v>5</v>
      </c>
      <c r="AK110" s="111">
        <v>10640</v>
      </c>
      <c r="AL110" s="111">
        <v>914</v>
      </c>
      <c r="AM110" s="111">
        <v>150</v>
      </c>
      <c r="AN110" s="111">
        <f t="shared" si="83"/>
        <v>750</v>
      </c>
      <c r="AO110" s="111"/>
      <c r="AP110" s="111">
        <f t="shared" si="84"/>
        <v>12454</v>
      </c>
      <c r="AQ110" s="111" t="s">
        <v>281</v>
      </c>
      <c r="AR110" s="158">
        <v>11327</v>
      </c>
      <c r="AS110" s="158">
        <v>12271</v>
      </c>
      <c r="AT110" s="111"/>
      <c r="AU110" s="97">
        <v>0.4</v>
      </c>
    </row>
    <row r="111" spans="1:47" ht="14.4" x14ac:dyDescent="0.3">
      <c r="A111" s="88">
        <v>109</v>
      </c>
      <c r="B111" s="88" t="s">
        <v>68</v>
      </c>
      <c r="C111" s="88" t="s">
        <v>688</v>
      </c>
      <c r="D111" s="88" t="str">
        <f t="shared" si="52"/>
        <v>Creta 1.5 MPi MT S O</v>
      </c>
      <c r="E111" s="18">
        <v>1435900</v>
      </c>
      <c r="F111" s="107">
        <f t="shared" ref="F111:F142" si="87">IF(E111&gt;999999,((E111*1)/100),"")</f>
        <v>14359</v>
      </c>
      <c r="G111" s="119">
        <f t="shared" si="79"/>
        <v>55789.709479199999</v>
      </c>
      <c r="H111" s="119">
        <f t="shared" si="80"/>
        <v>56974.407389599997</v>
      </c>
      <c r="I111" s="99"/>
      <c r="J111" s="116">
        <f t="shared" si="81"/>
        <v>45516.962109400003</v>
      </c>
      <c r="K111" s="108">
        <f t="shared" si="82"/>
        <v>46405.485542199996</v>
      </c>
      <c r="L111" s="108">
        <f t="shared" ref="L111:L142" si="88">(((E111*95%)*0.4%)+298)+((((E111*95%)*0.4%)+298)*18%)</f>
        <v>6790.2155999999995</v>
      </c>
      <c r="M111" s="108">
        <f t="shared" ref="M111:M142" si="89">(((E111*95%)*0.5%)+298)+((((E111*95%)*0.5%)+298)*18%)</f>
        <v>8399.8595000000005</v>
      </c>
      <c r="N111" s="116">
        <f t="shared" ref="N111:N142" si="90">(((E111*95%)*0.6%)+298)+((((E111*95%)*0.6%)+298)*18%)</f>
        <v>10009.503400000001</v>
      </c>
      <c r="O111" s="116">
        <f t="shared" si="75"/>
        <v>4024.1097500000005</v>
      </c>
      <c r="P111" s="120">
        <f t="shared" si="85"/>
        <v>150940</v>
      </c>
      <c r="Q111" s="118">
        <f t="shared" si="86"/>
        <v>157170</v>
      </c>
      <c r="R111" s="98"/>
      <c r="S111" s="98"/>
      <c r="T111" s="18">
        <v>10040</v>
      </c>
      <c r="U111" s="158">
        <v>18761</v>
      </c>
      <c r="V111" s="98">
        <f t="shared" si="77"/>
        <v>23931.666666666668</v>
      </c>
      <c r="W111" s="18">
        <v>10500</v>
      </c>
      <c r="X111" s="109" t="s">
        <v>282</v>
      </c>
      <c r="Y111" s="98"/>
      <c r="Z111" s="107"/>
      <c r="AA111" s="107"/>
      <c r="AB111" s="98" t="s">
        <v>16</v>
      </c>
      <c r="AC111" s="158">
        <v>22301</v>
      </c>
      <c r="AD111" s="98">
        <v>2136</v>
      </c>
      <c r="AE111" s="97">
        <v>10442</v>
      </c>
      <c r="AF111" s="98">
        <v>17250</v>
      </c>
      <c r="AG111" s="98">
        <v>23442</v>
      </c>
      <c r="AH111" s="97">
        <v>30305</v>
      </c>
      <c r="AI111" s="158">
        <v>48379</v>
      </c>
      <c r="AJ111" s="111">
        <v>5</v>
      </c>
      <c r="AK111" s="111">
        <v>10640</v>
      </c>
      <c r="AL111" s="111">
        <v>914</v>
      </c>
      <c r="AM111" s="111">
        <v>150</v>
      </c>
      <c r="AN111" s="111">
        <f t="shared" si="83"/>
        <v>750</v>
      </c>
      <c r="AO111" s="111"/>
      <c r="AP111" s="111">
        <f t="shared" si="84"/>
        <v>12454</v>
      </c>
      <c r="AQ111" s="111" t="s">
        <v>281</v>
      </c>
      <c r="AR111" s="158">
        <v>11327</v>
      </c>
      <c r="AS111" s="158">
        <v>12271</v>
      </c>
      <c r="AT111" s="111"/>
      <c r="AU111" s="97">
        <v>0.4</v>
      </c>
    </row>
    <row r="112" spans="1:47" ht="14.4" x14ac:dyDescent="0.3">
      <c r="A112" s="88">
        <v>110</v>
      </c>
      <c r="B112" s="88" t="s">
        <v>68</v>
      </c>
      <c r="C112" s="96" t="s">
        <v>689</v>
      </c>
      <c r="D112" s="88" t="str">
        <f t="shared" ref="D112:D124" si="91">CONCATENATE(B112," ",C112)</f>
        <v>Creta 1.5 MPi IVT S O</v>
      </c>
      <c r="E112" s="18">
        <v>1585900</v>
      </c>
      <c r="F112" s="107">
        <f t="shared" ref="F112:F124" si="92">IF(E112&gt;999999,((E112*1)/100),"")</f>
        <v>15859</v>
      </c>
      <c r="G112" s="119">
        <f t="shared" ref="G112:G124" si="93">+((E112-E112*0.05)*0.03191)-(((E112-E112*0.05)*0.03191)*0.2)+AP112+(((E112-E112*0.05)*0.03191)-(((E112-E112*0.05)*0.03191)*0.2)+AP112)*0.18+3</f>
        <v>60082.242679200004</v>
      </c>
      <c r="H112" s="119">
        <f t="shared" ref="H112:H124" si="94">+((E112-E112*0.05)*0.03283)-(((E112-E112*0.05)*0.03283)*0.2)+AP112+(((E112-E112*0.05)*0.03283)-(((E112-E112*0.05)*0.03283)*0.2)+AP112)*0.18+3</f>
        <v>61390.698989599994</v>
      </c>
      <c r="I112" s="99"/>
      <c r="J112" s="116">
        <f t="shared" ref="J112:J124" si="95">+((E112-E112*0.05)*0.03191)-(((E112-E112*0.05)*0.03191)*AU112)+AP112+(((E112-E112*0.05)*0.03191)-(((E112-E112*0.05)*0.03191)*AU112)+AP112)*0.18+3</f>
        <v>48736.3620094</v>
      </c>
      <c r="K112" s="108">
        <f t="shared" ref="K112:K124" si="96">+((E112-E112*0.05)*0.03283)-(((E112-E112*0.05)*0.03283)*AU112)+AP112+(((E112-E112*0.05)*0.03283)-(((E112-E112*0.05)*0.03283)*AU112)+AP112)*0.18+3</f>
        <v>49717.704242199994</v>
      </c>
      <c r="L112" s="108">
        <f t="shared" ref="L112:L124" si="97">(((E112*95%)*0.4%)+298)+((((E112*95%)*0.4%)+298)*18%)</f>
        <v>7462.8155999999999</v>
      </c>
      <c r="M112" s="108">
        <f t="shared" ref="M112:M124" si="98">(((E112*95%)*0.5%)+298)+((((E112*95%)*0.5%)+298)*18%)</f>
        <v>9240.6095000000005</v>
      </c>
      <c r="N112" s="116">
        <f t="shared" ref="N112:N124" si="99">(((E112*95%)*0.6%)+298)+((((E112*95%)*0.6%)+298)*18%)</f>
        <v>11018.403400000001</v>
      </c>
      <c r="O112" s="116">
        <f t="shared" ref="O112:O124" si="100">(((E112*95%)*0.25%))+((((E112*95%)*0.25%))*18%)</f>
        <v>4444.4847500000005</v>
      </c>
      <c r="P112" s="120">
        <f t="shared" ref="P112:P124" si="101">IF(E112&lt;1000000,E112*8%,IF(E112&gt;=1000000,E112*10%))+600+1500+3000+750+1500</f>
        <v>165940</v>
      </c>
      <c r="Q112" s="118">
        <f t="shared" ref="Q112:Q124" si="102">IF(E112&lt;600000,E112*4%,IF(E112&lt;1000000,E112*7%,IF(E112&gt;=1000000,E112*10%)))+600+1500+230+4000+2000+3000+750+1500</f>
        <v>172170</v>
      </c>
      <c r="R112" s="98"/>
      <c r="S112" s="98"/>
      <c r="T112" s="18">
        <v>10040</v>
      </c>
      <c r="U112" s="158">
        <v>20649</v>
      </c>
      <c r="V112" s="98">
        <f t="shared" ref="V112:V124" si="103">((IF(E112&lt;1000000,E112*8%,IF(AND(E112&gt;=1000000,E112&lt;2000000),E112*10%,IF(E112&gt;=2000000,E112*12%,0)))*1.25*2)/15)</f>
        <v>26431.666666666668</v>
      </c>
      <c r="W112" s="18">
        <v>10500</v>
      </c>
      <c r="X112" s="109" t="s">
        <v>763</v>
      </c>
      <c r="Y112" s="98"/>
      <c r="Z112" s="107"/>
      <c r="AA112" s="107"/>
      <c r="AB112" s="98" t="s">
        <v>16</v>
      </c>
      <c r="AC112" s="158">
        <v>24543</v>
      </c>
      <c r="AD112" s="98">
        <v>2136</v>
      </c>
      <c r="AE112" s="97">
        <v>10442</v>
      </c>
      <c r="AF112" s="98">
        <v>17250</v>
      </c>
      <c r="AG112" s="98">
        <v>23442</v>
      </c>
      <c r="AH112" s="97">
        <v>30305</v>
      </c>
      <c r="AI112" s="158">
        <v>53217</v>
      </c>
      <c r="AJ112" s="111">
        <v>5</v>
      </c>
      <c r="AK112" s="111">
        <v>10640</v>
      </c>
      <c r="AL112" s="111">
        <v>914</v>
      </c>
      <c r="AM112" s="111">
        <v>150</v>
      </c>
      <c r="AN112" s="111">
        <f t="shared" ref="AN112:AN124" si="104">AJ112*150</f>
        <v>750</v>
      </c>
      <c r="AO112" s="111"/>
      <c r="AP112" s="111">
        <f t="shared" ref="AP112:AP124" si="105">SUM(AK112:AN112)</f>
        <v>12454</v>
      </c>
      <c r="AQ112" s="111" t="s">
        <v>281</v>
      </c>
      <c r="AR112" s="158">
        <v>12507</v>
      </c>
      <c r="AS112" s="158">
        <v>13569</v>
      </c>
      <c r="AT112" s="111"/>
      <c r="AU112" s="97">
        <v>0.4</v>
      </c>
    </row>
    <row r="113" spans="1:47" ht="14.4" x14ac:dyDescent="0.3">
      <c r="A113" s="88">
        <v>111</v>
      </c>
      <c r="B113" s="88" t="s">
        <v>68</v>
      </c>
      <c r="C113" s="88" t="s">
        <v>302</v>
      </c>
      <c r="D113" s="88" t="str">
        <f t="shared" si="91"/>
        <v>Creta 1.5 MPi MT SX</v>
      </c>
      <c r="E113" s="18">
        <v>1530400</v>
      </c>
      <c r="F113" s="107">
        <f t="shared" si="92"/>
        <v>15304</v>
      </c>
      <c r="G113" s="119">
        <f t="shared" si="93"/>
        <v>58494.005395200002</v>
      </c>
      <c r="H113" s="119">
        <f t="shared" si="94"/>
        <v>59756.671097599996</v>
      </c>
      <c r="I113" s="99"/>
      <c r="J113" s="116">
        <f t="shared" si="95"/>
        <v>47545.184046399998</v>
      </c>
      <c r="K113" s="108">
        <f t="shared" si="96"/>
        <v>48492.183323199999</v>
      </c>
      <c r="L113" s="108">
        <f t="shared" si="97"/>
        <v>7213.9536000000007</v>
      </c>
      <c r="M113" s="108">
        <f t="shared" si="98"/>
        <v>8929.5320000000011</v>
      </c>
      <c r="N113" s="116">
        <f t="shared" si="99"/>
        <v>10645.110400000001</v>
      </c>
      <c r="O113" s="116">
        <f t="shared" si="100"/>
        <v>4288.9459999999999</v>
      </c>
      <c r="P113" s="120">
        <f t="shared" si="101"/>
        <v>160390</v>
      </c>
      <c r="Q113" s="118">
        <f t="shared" si="102"/>
        <v>166620</v>
      </c>
      <c r="R113" s="98"/>
      <c r="S113" s="98"/>
      <c r="T113" s="18">
        <v>10040</v>
      </c>
      <c r="U113" s="158">
        <v>18761</v>
      </c>
      <c r="V113" s="98">
        <f t="shared" si="103"/>
        <v>25506.666666666668</v>
      </c>
      <c r="W113" s="18">
        <v>10500</v>
      </c>
      <c r="X113" s="109" t="s">
        <v>282</v>
      </c>
      <c r="Y113" s="98"/>
      <c r="Z113" s="107"/>
      <c r="AA113" s="107"/>
      <c r="AB113" s="98" t="s">
        <v>16</v>
      </c>
      <c r="AC113" s="158">
        <v>22301</v>
      </c>
      <c r="AD113" s="98">
        <v>2136</v>
      </c>
      <c r="AE113" s="97">
        <v>10442</v>
      </c>
      <c r="AF113" s="98">
        <v>17250</v>
      </c>
      <c r="AG113" s="98">
        <v>23442</v>
      </c>
      <c r="AH113" s="97">
        <v>30305</v>
      </c>
      <c r="AI113" s="158">
        <v>48379</v>
      </c>
      <c r="AJ113" s="111">
        <v>5</v>
      </c>
      <c r="AK113" s="111">
        <v>10640</v>
      </c>
      <c r="AL113" s="111">
        <v>914</v>
      </c>
      <c r="AM113" s="111">
        <v>150</v>
      </c>
      <c r="AN113" s="111">
        <f t="shared" si="104"/>
        <v>750</v>
      </c>
      <c r="AO113" s="111"/>
      <c r="AP113" s="111">
        <f t="shared" si="105"/>
        <v>12454</v>
      </c>
      <c r="AQ113" s="111" t="s">
        <v>281</v>
      </c>
      <c r="AR113" s="158">
        <v>11327</v>
      </c>
      <c r="AS113" s="158">
        <v>12271</v>
      </c>
      <c r="AT113" s="111"/>
      <c r="AU113" s="97">
        <v>0.4</v>
      </c>
    </row>
    <row r="114" spans="1:47" ht="14.4" x14ac:dyDescent="0.3">
      <c r="A114" s="88">
        <v>112</v>
      </c>
      <c r="B114" s="88" t="s">
        <v>68</v>
      </c>
      <c r="C114" s="88" t="s">
        <v>327</v>
      </c>
      <c r="D114" s="88" t="str">
        <f t="shared" si="91"/>
        <v>Creta 1.5 MPi MT SX DT</v>
      </c>
      <c r="E114" s="18">
        <v>1545400</v>
      </c>
      <c r="F114" s="107">
        <f t="shared" si="92"/>
        <v>15454</v>
      </c>
      <c r="G114" s="119">
        <f t="shared" si="93"/>
        <v>58923.258715199998</v>
      </c>
      <c r="H114" s="119">
        <f t="shared" si="94"/>
        <v>60198.300257599993</v>
      </c>
      <c r="I114" s="99"/>
      <c r="J114" s="116">
        <f t="shared" si="95"/>
        <v>47867.124036400004</v>
      </c>
      <c r="K114" s="108">
        <f t="shared" si="96"/>
        <v>48823.405193199986</v>
      </c>
      <c r="L114" s="108">
        <f t="shared" si="97"/>
        <v>7281.213600000001</v>
      </c>
      <c r="M114" s="108">
        <f t="shared" si="98"/>
        <v>9013.607</v>
      </c>
      <c r="N114" s="116">
        <f t="shared" si="99"/>
        <v>10746.000400000001</v>
      </c>
      <c r="O114" s="116">
        <f t="shared" si="100"/>
        <v>4330.9835000000003</v>
      </c>
      <c r="P114" s="120">
        <f t="shared" si="101"/>
        <v>161890</v>
      </c>
      <c r="Q114" s="118">
        <f t="shared" si="102"/>
        <v>168120</v>
      </c>
      <c r="R114" s="98"/>
      <c r="S114" s="98"/>
      <c r="T114" s="18">
        <v>10040</v>
      </c>
      <c r="U114" s="158">
        <v>18761</v>
      </c>
      <c r="V114" s="98">
        <f t="shared" si="103"/>
        <v>25756.666666666668</v>
      </c>
      <c r="W114" s="18">
        <v>10500</v>
      </c>
      <c r="X114" s="109" t="s">
        <v>282</v>
      </c>
      <c r="Y114" s="98"/>
      <c r="Z114" s="107"/>
      <c r="AA114" s="107"/>
      <c r="AB114" s="98" t="s">
        <v>16</v>
      </c>
      <c r="AC114" s="158">
        <v>22301</v>
      </c>
      <c r="AD114" s="98">
        <v>2136</v>
      </c>
      <c r="AE114" s="97">
        <v>10442</v>
      </c>
      <c r="AF114" s="98">
        <v>17250</v>
      </c>
      <c r="AG114" s="98">
        <v>23442</v>
      </c>
      <c r="AH114" s="97">
        <v>30305</v>
      </c>
      <c r="AI114" s="158">
        <v>48379</v>
      </c>
      <c r="AJ114" s="111">
        <v>5</v>
      </c>
      <c r="AK114" s="111">
        <v>10640</v>
      </c>
      <c r="AL114" s="111">
        <v>914</v>
      </c>
      <c r="AM114" s="111">
        <v>150</v>
      </c>
      <c r="AN114" s="111">
        <f t="shared" si="104"/>
        <v>750</v>
      </c>
      <c r="AO114" s="111"/>
      <c r="AP114" s="111">
        <f t="shared" si="105"/>
        <v>12454</v>
      </c>
      <c r="AQ114" s="111" t="s">
        <v>281</v>
      </c>
      <c r="AR114" s="158">
        <v>11327</v>
      </c>
      <c r="AS114" s="158">
        <v>12271</v>
      </c>
      <c r="AT114" s="111"/>
      <c r="AU114" s="97">
        <v>0.4</v>
      </c>
    </row>
    <row r="115" spans="1:47" ht="14.4" x14ac:dyDescent="0.3">
      <c r="A115" s="88">
        <v>113</v>
      </c>
      <c r="B115" s="88" t="s">
        <v>68</v>
      </c>
      <c r="C115" s="88" t="s">
        <v>328</v>
      </c>
      <c r="D115" s="88" t="str">
        <f t="shared" si="91"/>
        <v>Creta 1.5 MPi MT SX Tech</v>
      </c>
      <c r="E115" s="18">
        <v>1598400</v>
      </c>
      <c r="F115" s="107">
        <f t="shared" si="92"/>
        <v>15984</v>
      </c>
      <c r="G115" s="119">
        <f t="shared" si="93"/>
        <v>60439.953779200005</v>
      </c>
      <c r="H115" s="119">
        <f t="shared" si="94"/>
        <v>61758.723289599991</v>
      </c>
      <c r="I115" s="99"/>
      <c r="J115" s="116">
        <f t="shared" si="95"/>
        <v>49004.645334399996</v>
      </c>
      <c r="K115" s="108">
        <f t="shared" si="96"/>
        <v>49993.722467200001</v>
      </c>
      <c r="L115" s="108">
        <f t="shared" si="97"/>
        <v>7518.8656000000001</v>
      </c>
      <c r="M115" s="108">
        <f t="shared" si="98"/>
        <v>9310.6720000000005</v>
      </c>
      <c r="N115" s="116">
        <f t="shared" si="99"/>
        <v>11102.478400000002</v>
      </c>
      <c r="O115" s="116">
        <f t="shared" si="100"/>
        <v>4479.5160000000005</v>
      </c>
      <c r="P115" s="120">
        <f t="shared" si="101"/>
        <v>167190</v>
      </c>
      <c r="Q115" s="118">
        <f t="shared" si="102"/>
        <v>173420</v>
      </c>
      <c r="R115" s="98"/>
      <c r="S115" s="98"/>
      <c r="T115" s="18">
        <v>10040</v>
      </c>
      <c r="U115" s="158">
        <v>18761</v>
      </c>
      <c r="V115" s="98">
        <f t="shared" si="103"/>
        <v>26640</v>
      </c>
      <c r="W115" s="18">
        <v>10500</v>
      </c>
      <c r="X115" s="109" t="s">
        <v>282</v>
      </c>
      <c r="Y115" s="98"/>
      <c r="Z115" s="107"/>
      <c r="AA115" s="107"/>
      <c r="AB115" s="98" t="s">
        <v>16</v>
      </c>
      <c r="AC115" s="158">
        <v>22301</v>
      </c>
      <c r="AD115" s="98">
        <v>2136</v>
      </c>
      <c r="AE115" s="97">
        <v>10442</v>
      </c>
      <c r="AF115" s="98">
        <v>17250</v>
      </c>
      <c r="AG115" s="98">
        <v>23442</v>
      </c>
      <c r="AH115" s="97">
        <v>30305</v>
      </c>
      <c r="AI115" s="158">
        <v>48379</v>
      </c>
      <c r="AJ115" s="111">
        <v>5</v>
      </c>
      <c r="AK115" s="111">
        <v>10640</v>
      </c>
      <c r="AL115" s="111">
        <v>914</v>
      </c>
      <c r="AM115" s="111">
        <v>150</v>
      </c>
      <c r="AN115" s="111">
        <f t="shared" si="104"/>
        <v>750</v>
      </c>
      <c r="AO115" s="111"/>
      <c r="AP115" s="111">
        <f t="shared" si="105"/>
        <v>12454</v>
      </c>
      <c r="AQ115" s="111" t="s">
        <v>281</v>
      </c>
      <c r="AR115" s="158">
        <v>11327</v>
      </c>
      <c r="AS115" s="158">
        <v>12271</v>
      </c>
      <c r="AT115" s="111"/>
      <c r="AU115" s="97">
        <v>0.4</v>
      </c>
    </row>
    <row r="116" spans="1:47" ht="14.4" x14ac:dyDescent="0.3">
      <c r="A116" s="88">
        <v>114</v>
      </c>
      <c r="B116" s="88" t="s">
        <v>68</v>
      </c>
      <c r="C116" s="88" t="s">
        <v>329</v>
      </c>
      <c r="D116" s="88" t="str">
        <f t="shared" si="91"/>
        <v>Creta 1.5 MPi MT SX Tech DT</v>
      </c>
      <c r="E116" s="18">
        <v>1613400</v>
      </c>
      <c r="F116" s="107">
        <f t="shared" si="92"/>
        <v>16134</v>
      </c>
      <c r="G116" s="119">
        <f t="shared" si="93"/>
        <v>60869.207099200008</v>
      </c>
      <c r="H116" s="119">
        <f t="shared" si="94"/>
        <v>62200.352449600003</v>
      </c>
      <c r="I116" s="99"/>
      <c r="J116" s="116">
        <f t="shared" si="95"/>
        <v>49326.585324400003</v>
      </c>
      <c r="K116" s="108">
        <f t="shared" si="96"/>
        <v>50324.944337199995</v>
      </c>
      <c r="L116" s="108">
        <f t="shared" si="97"/>
        <v>7586.1256000000003</v>
      </c>
      <c r="M116" s="108">
        <f t="shared" si="98"/>
        <v>9394.7470000000012</v>
      </c>
      <c r="N116" s="116">
        <f t="shared" si="99"/>
        <v>11203.368400000001</v>
      </c>
      <c r="O116" s="116">
        <f t="shared" si="100"/>
        <v>4521.5535</v>
      </c>
      <c r="P116" s="120">
        <f t="shared" si="101"/>
        <v>168690</v>
      </c>
      <c r="Q116" s="118">
        <f t="shared" si="102"/>
        <v>174920</v>
      </c>
      <c r="R116" s="98"/>
      <c r="S116" s="98"/>
      <c r="T116" s="18">
        <v>10040</v>
      </c>
      <c r="U116" s="158">
        <v>18761</v>
      </c>
      <c r="V116" s="98">
        <f t="shared" si="103"/>
        <v>26890</v>
      </c>
      <c r="W116" s="18">
        <v>10500</v>
      </c>
      <c r="X116" s="109" t="s">
        <v>282</v>
      </c>
      <c r="Y116" s="98"/>
      <c r="Z116" s="107"/>
      <c r="AA116" s="107"/>
      <c r="AB116" s="98" t="s">
        <v>16</v>
      </c>
      <c r="AC116" s="158">
        <v>22301</v>
      </c>
      <c r="AD116" s="98">
        <v>2136</v>
      </c>
      <c r="AE116" s="97">
        <v>10442</v>
      </c>
      <c r="AF116" s="98">
        <v>17250</v>
      </c>
      <c r="AG116" s="98">
        <v>23442</v>
      </c>
      <c r="AH116" s="97">
        <v>30305</v>
      </c>
      <c r="AI116" s="158">
        <v>48379</v>
      </c>
      <c r="AJ116" s="111">
        <v>5</v>
      </c>
      <c r="AK116" s="111">
        <v>10640</v>
      </c>
      <c r="AL116" s="111">
        <v>914</v>
      </c>
      <c r="AM116" s="111">
        <v>150</v>
      </c>
      <c r="AN116" s="111">
        <f t="shared" si="104"/>
        <v>750</v>
      </c>
      <c r="AO116" s="111"/>
      <c r="AP116" s="111">
        <f t="shared" si="105"/>
        <v>12454</v>
      </c>
      <c r="AQ116" s="111" t="s">
        <v>281</v>
      </c>
      <c r="AR116" s="158">
        <v>11327</v>
      </c>
      <c r="AS116" s="158">
        <v>12271</v>
      </c>
      <c r="AT116" s="111"/>
      <c r="AU116" s="97">
        <v>0.4</v>
      </c>
    </row>
    <row r="117" spans="1:47" ht="14.4" x14ac:dyDescent="0.3">
      <c r="A117" s="88">
        <v>115</v>
      </c>
      <c r="B117" s="88" t="s">
        <v>68</v>
      </c>
      <c r="C117" s="96" t="s">
        <v>330</v>
      </c>
      <c r="D117" s="88" t="str">
        <f t="shared" si="91"/>
        <v>Creta 1.5 MPi IVT SX Tech</v>
      </c>
      <c r="E117" s="18">
        <v>1748400</v>
      </c>
      <c r="F117" s="107">
        <f t="shared" si="92"/>
        <v>17484</v>
      </c>
      <c r="G117" s="119">
        <f t="shared" si="93"/>
        <v>64732.486979199995</v>
      </c>
      <c r="H117" s="119">
        <f t="shared" si="94"/>
        <v>66175.014889600003</v>
      </c>
      <c r="I117" s="99"/>
      <c r="J117" s="116">
        <f t="shared" si="95"/>
        <v>52224.045234399993</v>
      </c>
      <c r="K117" s="108">
        <f t="shared" si="96"/>
        <v>53305.941167199999</v>
      </c>
      <c r="L117" s="108">
        <f t="shared" si="97"/>
        <v>8191.4655999999995</v>
      </c>
      <c r="M117" s="108">
        <f t="shared" si="98"/>
        <v>10151.421999999999</v>
      </c>
      <c r="N117" s="116">
        <f t="shared" si="99"/>
        <v>12111.378400000001</v>
      </c>
      <c r="O117" s="116">
        <f t="shared" si="100"/>
        <v>4899.8909999999996</v>
      </c>
      <c r="P117" s="120">
        <f t="shared" si="101"/>
        <v>182190</v>
      </c>
      <c r="Q117" s="118">
        <f t="shared" si="102"/>
        <v>188420</v>
      </c>
      <c r="R117" s="98"/>
      <c r="S117" s="98"/>
      <c r="T117" s="18">
        <v>10040</v>
      </c>
      <c r="U117" s="158">
        <v>20649</v>
      </c>
      <c r="V117" s="98">
        <f t="shared" si="103"/>
        <v>29140</v>
      </c>
      <c r="W117" s="18">
        <v>10500</v>
      </c>
      <c r="X117" s="109" t="s">
        <v>763</v>
      </c>
      <c r="Y117" s="98"/>
      <c r="Z117" s="107"/>
      <c r="AA117" s="107"/>
      <c r="AB117" s="98" t="s">
        <v>16</v>
      </c>
      <c r="AC117" s="158">
        <v>24543</v>
      </c>
      <c r="AD117" s="98">
        <v>2136</v>
      </c>
      <c r="AE117" s="97">
        <v>10442</v>
      </c>
      <c r="AF117" s="98">
        <v>17250</v>
      </c>
      <c r="AG117" s="98">
        <v>23442</v>
      </c>
      <c r="AH117" s="97">
        <v>30305</v>
      </c>
      <c r="AI117" s="158">
        <v>53217</v>
      </c>
      <c r="AJ117" s="111">
        <v>5</v>
      </c>
      <c r="AK117" s="111">
        <v>10640</v>
      </c>
      <c r="AL117" s="111">
        <v>914</v>
      </c>
      <c r="AM117" s="111">
        <v>150</v>
      </c>
      <c r="AN117" s="111">
        <f t="shared" si="104"/>
        <v>750</v>
      </c>
      <c r="AO117" s="111"/>
      <c r="AP117" s="111">
        <f t="shared" si="105"/>
        <v>12454</v>
      </c>
      <c r="AQ117" s="111" t="s">
        <v>281</v>
      </c>
      <c r="AR117" s="158">
        <v>12507</v>
      </c>
      <c r="AS117" s="158">
        <v>13569</v>
      </c>
      <c r="AT117" s="111"/>
      <c r="AU117" s="97">
        <v>0.4</v>
      </c>
    </row>
    <row r="118" spans="1:47" ht="14.4" x14ac:dyDescent="0.3">
      <c r="A118" s="88">
        <v>116</v>
      </c>
      <c r="B118" s="88" t="s">
        <v>68</v>
      </c>
      <c r="C118" s="96" t="s">
        <v>331</v>
      </c>
      <c r="D118" s="88" t="str">
        <f t="shared" si="91"/>
        <v>Creta 1.5 MPi IVT SX Tech DT</v>
      </c>
      <c r="E118" s="18">
        <v>1763400</v>
      </c>
      <c r="F118" s="107">
        <f t="shared" si="92"/>
        <v>17634</v>
      </c>
      <c r="G118" s="119">
        <f t="shared" si="93"/>
        <v>65161.740299199999</v>
      </c>
      <c r="H118" s="119">
        <f t="shared" si="94"/>
        <v>66616.6440496</v>
      </c>
      <c r="I118" s="99"/>
      <c r="J118" s="116">
        <f t="shared" si="95"/>
        <v>52545.985224399999</v>
      </c>
      <c r="K118" s="108">
        <f t="shared" si="96"/>
        <v>53637.163037199993</v>
      </c>
      <c r="L118" s="108">
        <f t="shared" si="97"/>
        <v>8258.7255999999998</v>
      </c>
      <c r="M118" s="108">
        <f t="shared" si="98"/>
        <v>10235.496999999999</v>
      </c>
      <c r="N118" s="116">
        <f t="shared" si="99"/>
        <v>12212.268400000001</v>
      </c>
      <c r="O118" s="116">
        <f t="shared" si="100"/>
        <v>4941.9285</v>
      </c>
      <c r="P118" s="120">
        <f t="shared" si="101"/>
        <v>183690</v>
      </c>
      <c r="Q118" s="118">
        <f t="shared" si="102"/>
        <v>189920</v>
      </c>
      <c r="R118" s="98"/>
      <c r="S118" s="98"/>
      <c r="T118" s="18">
        <v>10040</v>
      </c>
      <c r="U118" s="158">
        <v>20649</v>
      </c>
      <c r="V118" s="98">
        <f t="shared" si="103"/>
        <v>29390</v>
      </c>
      <c r="W118" s="18">
        <v>10500</v>
      </c>
      <c r="X118" s="109" t="s">
        <v>763</v>
      </c>
      <c r="Y118" s="98"/>
      <c r="Z118" s="107"/>
      <c r="AA118" s="107"/>
      <c r="AB118" s="98" t="s">
        <v>16</v>
      </c>
      <c r="AC118" s="158">
        <v>24543</v>
      </c>
      <c r="AD118" s="98">
        <v>2136</v>
      </c>
      <c r="AE118" s="97">
        <v>10442</v>
      </c>
      <c r="AF118" s="98">
        <v>17250</v>
      </c>
      <c r="AG118" s="98">
        <v>23442</v>
      </c>
      <c r="AH118" s="97">
        <v>30305</v>
      </c>
      <c r="AI118" s="158">
        <v>53217</v>
      </c>
      <c r="AJ118" s="111">
        <v>5</v>
      </c>
      <c r="AK118" s="111">
        <v>10640</v>
      </c>
      <c r="AL118" s="111">
        <v>914</v>
      </c>
      <c r="AM118" s="111">
        <v>150</v>
      </c>
      <c r="AN118" s="111">
        <f t="shared" si="104"/>
        <v>750</v>
      </c>
      <c r="AO118" s="111"/>
      <c r="AP118" s="111">
        <f t="shared" si="105"/>
        <v>12454</v>
      </c>
      <c r="AQ118" s="111" t="s">
        <v>281</v>
      </c>
      <c r="AR118" s="158">
        <v>12507</v>
      </c>
      <c r="AS118" s="158">
        <v>13569</v>
      </c>
      <c r="AT118" s="111"/>
      <c r="AU118" s="97">
        <v>0.4</v>
      </c>
    </row>
    <row r="119" spans="1:47" ht="14.4" x14ac:dyDescent="0.3">
      <c r="A119" s="88">
        <v>117</v>
      </c>
      <c r="B119" s="88" t="s">
        <v>68</v>
      </c>
      <c r="C119" s="88" t="s">
        <v>695</v>
      </c>
      <c r="D119" s="88" t="str">
        <f t="shared" si="91"/>
        <v>Creta 1.5 MPi MT SX O</v>
      </c>
      <c r="E119" s="18">
        <v>1727300</v>
      </c>
      <c r="F119" s="107">
        <f t="shared" si="92"/>
        <v>17273</v>
      </c>
      <c r="G119" s="119">
        <f t="shared" si="93"/>
        <v>64128.670642400008</v>
      </c>
      <c r="H119" s="119">
        <f t="shared" si="94"/>
        <v>65553.789871199988</v>
      </c>
      <c r="I119" s="99"/>
      <c r="J119" s="116">
        <f t="shared" si="95"/>
        <v>51771.182981799997</v>
      </c>
      <c r="K119" s="108">
        <f t="shared" si="96"/>
        <v>52840.022403399998</v>
      </c>
      <c r="L119" s="108">
        <f t="shared" si="97"/>
        <v>8096.8531999999996</v>
      </c>
      <c r="M119" s="108">
        <f t="shared" si="98"/>
        <v>10033.156499999999</v>
      </c>
      <c r="N119" s="116">
        <f t="shared" si="99"/>
        <v>11969.459800000001</v>
      </c>
      <c r="O119" s="116">
        <f t="shared" si="100"/>
        <v>4840.7582499999999</v>
      </c>
      <c r="P119" s="120">
        <f t="shared" si="101"/>
        <v>180080</v>
      </c>
      <c r="Q119" s="118">
        <f t="shared" si="102"/>
        <v>186310</v>
      </c>
      <c r="R119" s="98"/>
      <c r="S119" s="98"/>
      <c r="T119" s="18">
        <v>10040</v>
      </c>
      <c r="U119" s="158">
        <v>18761</v>
      </c>
      <c r="V119" s="98">
        <f t="shared" si="103"/>
        <v>28788.333333333332</v>
      </c>
      <c r="W119" s="18">
        <v>10500</v>
      </c>
      <c r="X119" s="109" t="s">
        <v>282</v>
      </c>
      <c r="Y119" s="98"/>
      <c r="Z119" s="107"/>
      <c r="AA119" s="107"/>
      <c r="AB119" s="98" t="s">
        <v>16</v>
      </c>
      <c r="AC119" s="158">
        <v>22301</v>
      </c>
      <c r="AD119" s="98">
        <v>2136</v>
      </c>
      <c r="AE119" s="97">
        <v>10442</v>
      </c>
      <c r="AF119" s="98">
        <v>17250</v>
      </c>
      <c r="AG119" s="98">
        <v>23442</v>
      </c>
      <c r="AH119" s="97">
        <v>30305</v>
      </c>
      <c r="AI119" s="158">
        <v>48379</v>
      </c>
      <c r="AJ119" s="111">
        <v>5</v>
      </c>
      <c r="AK119" s="111">
        <v>10640</v>
      </c>
      <c r="AL119" s="111">
        <v>914</v>
      </c>
      <c r="AM119" s="111">
        <v>150</v>
      </c>
      <c r="AN119" s="111">
        <f t="shared" si="104"/>
        <v>750</v>
      </c>
      <c r="AO119" s="111"/>
      <c r="AP119" s="111">
        <f t="shared" si="105"/>
        <v>12454</v>
      </c>
      <c r="AQ119" s="111" t="s">
        <v>281</v>
      </c>
      <c r="AR119" s="158">
        <v>11327</v>
      </c>
      <c r="AS119" s="158">
        <v>12271</v>
      </c>
      <c r="AT119" s="111"/>
      <c r="AU119" s="97">
        <v>0.4</v>
      </c>
    </row>
    <row r="120" spans="1:47" ht="14.4" x14ac:dyDescent="0.3">
      <c r="A120" s="88">
        <v>118</v>
      </c>
      <c r="B120" s="88" t="s">
        <v>68</v>
      </c>
      <c r="C120" s="88" t="s">
        <v>690</v>
      </c>
      <c r="D120" s="88" t="str">
        <f t="shared" si="91"/>
        <v>Creta 1.5 MPi MT SX O DT</v>
      </c>
      <c r="E120" s="18">
        <v>1742300</v>
      </c>
      <c r="F120" s="107">
        <f t="shared" si="92"/>
        <v>17423</v>
      </c>
      <c r="G120" s="119">
        <f t="shared" si="93"/>
        <v>64557.923962400004</v>
      </c>
      <c r="H120" s="119">
        <f t="shared" si="94"/>
        <v>65995.419031199999</v>
      </c>
      <c r="I120" s="99"/>
      <c r="J120" s="116">
        <f t="shared" si="95"/>
        <v>52093.122971800003</v>
      </c>
      <c r="K120" s="108">
        <f t="shared" si="96"/>
        <v>53171.244273399992</v>
      </c>
      <c r="L120" s="108">
        <f t="shared" si="97"/>
        <v>8164.1131999999998</v>
      </c>
      <c r="M120" s="108">
        <f t="shared" si="98"/>
        <v>10117.2315</v>
      </c>
      <c r="N120" s="116">
        <f t="shared" si="99"/>
        <v>12070.3498</v>
      </c>
      <c r="O120" s="116">
        <f t="shared" si="100"/>
        <v>4882.7957499999993</v>
      </c>
      <c r="P120" s="120">
        <f t="shared" si="101"/>
        <v>181580</v>
      </c>
      <c r="Q120" s="118">
        <f t="shared" si="102"/>
        <v>187810</v>
      </c>
      <c r="R120" s="98"/>
      <c r="S120" s="98"/>
      <c r="T120" s="18">
        <v>10040</v>
      </c>
      <c r="U120" s="158">
        <v>18761</v>
      </c>
      <c r="V120" s="98">
        <f t="shared" si="103"/>
        <v>29038.333333333332</v>
      </c>
      <c r="W120" s="18">
        <v>10500</v>
      </c>
      <c r="X120" s="109" t="s">
        <v>282</v>
      </c>
      <c r="Y120" s="98"/>
      <c r="Z120" s="107"/>
      <c r="AA120" s="107"/>
      <c r="AB120" s="98" t="s">
        <v>16</v>
      </c>
      <c r="AC120" s="158">
        <v>22301</v>
      </c>
      <c r="AD120" s="98">
        <v>2136</v>
      </c>
      <c r="AE120" s="97">
        <v>10442</v>
      </c>
      <c r="AF120" s="98">
        <v>17250</v>
      </c>
      <c r="AG120" s="98">
        <v>23442</v>
      </c>
      <c r="AH120" s="97">
        <v>30305</v>
      </c>
      <c r="AI120" s="158">
        <v>48379</v>
      </c>
      <c r="AJ120" s="111">
        <v>5</v>
      </c>
      <c r="AK120" s="111">
        <v>10640</v>
      </c>
      <c r="AL120" s="111">
        <v>914</v>
      </c>
      <c r="AM120" s="111">
        <v>150</v>
      </c>
      <c r="AN120" s="111">
        <f t="shared" si="104"/>
        <v>750</v>
      </c>
      <c r="AO120" s="111"/>
      <c r="AP120" s="111">
        <f t="shared" si="105"/>
        <v>12454</v>
      </c>
      <c r="AQ120" s="111" t="s">
        <v>281</v>
      </c>
      <c r="AR120" s="158">
        <v>11327</v>
      </c>
      <c r="AS120" s="158">
        <v>12271</v>
      </c>
      <c r="AT120" s="111"/>
      <c r="AU120" s="97">
        <v>0.4</v>
      </c>
    </row>
    <row r="121" spans="1:47" ht="14.4" x14ac:dyDescent="0.3">
      <c r="A121" s="88">
        <v>119</v>
      </c>
      <c r="B121" s="88" t="s">
        <v>68</v>
      </c>
      <c r="C121" s="96" t="s">
        <v>691</v>
      </c>
      <c r="D121" s="88" t="str">
        <f t="shared" si="91"/>
        <v>Creta 1.5 MPi IVT SX O</v>
      </c>
      <c r="E121" s="18">
        <v>1873300</v>
      </c>
      <c r="F121" s="107">
        <f t="shared" si="92"/>
        <v>18733</v>
      </c>
      <c r="G121" s="119">
        <f t="shared" si="93"/>
        <v>68306.736290400004</v>
      </c>
      <c r="H121" s="119">
        <f t="shared" si="94"/>
        <v>69852.313695199991</v>
      </c>
      <c r="I121" s="99"/>
      <c r="J121" s="116">
        <f t="shared" si="95"/>
        <v>54904.732217799996</v>
      </c>
      <c r="K121" s="108">
        <f t="shared" si="96"/>
        <v>56063.915271399994</v>
      </c>
      <c r="L121" s="108">
        <f t="shared" si="97"/>
        <v>8751.5172000000002</v>
      </c>
      <c r="M121" s="108">
        <f t="shared" si="98"/>
        <v>10851.486500000001</v>
      </c>
      <c r="N121" s="116">
        <f t="shared" si="99"/>
        <v>12951.4558</v>
      </c>
      <c r="O121" s="116">
        <f t="shared" si="100"/>
        <v>5249.9232500000007</v>
      </c>
      <c r="P121" s="120">
        <f t="shared" si="101"/>
        <v>194680</v>
      </c>
      <c r="Q121" s="118">
        <f t="shared" si="102"/>
        <v>200910</v>
      </c>
      <c r="R121" s="98"/>
      <c r="S121" s="98"/>
      <c r="T121" s="18">
        <v>10040</v>
      </c>
      <c r="U121" s="158">
        <v>20649</v>
      </c>
      <c r="V121" s="98">
        <f t="shared" si="103"/>
        <v>31221.666666666668</v>
      </c>
      <c r="W121" s="18">
        <v>10500</v>
      </c>
      <c r="X121" s="109" t="s">
        <v>763</v>
      </c>
      <c r="Y121" s="98"/>
      <c r="Z121" s="107"/>
      <c r="AA121" s="107"/>
      <c r="AB121" s="98" t="s">
        <v>16</v>
      </c>
      <c r="AC121" s="158">
        <v>24543</v>
      </c>
      <c r="AD121" s="98">
        <v>2136</v>
      </c>
      <c r="AE121" s="97">
        <v>10442</v>
      </c>
      <c r="AF121" s="98">
        <v>17250</v>
      </c>
      <c r="AG121" s="98">
        <v>23442</v>
      </c>
      <c r="AH121" s="97">
        <v>30305</v>
      </c>
      <c r="AI121" s="158">
        <v>53217</v>
      </c>
      <c r="AJ121" s="111">
        <v>5</v>
      </c>
      <c r="AK121" s="111">
        <v>10640</v>
      </c>
      <c r="AL121" s="111">
        <v>914</v>
      </c>
      <c r="AM121" s="111">
        <v>150</v>
      </c>
      <c r="AN121" s="111">
        <f t="shared" si="104"/>
        <v>750</v>
      </c>
      <c r="AO121" s="111"/>
      <c r="AP121" s="111">
        <f t="shared" si="105"/>
        <v>12454</v>
      </c>
      <c r="AQ121" s="111" t="s">
        <v>281</v>
      </c>
      <c r="AR121" s="158">
        <v>12507</v>
      </c>
      <c r="AS121" s="158">
        <v>13569</v>
      </c>
      <c r="AT121" s="111"/>
      <c r="AU121" s="97">
        <v>0.4</v>
      </c>
    </row>
    <row r="122" spans="1:47" ht="14.4" x14ac:dyDescent="0.3">
      <c r="A122" s="88">
        <v>120</v>
      </c>
      <c r="B122" s="88" t="s">
        <v>68</v>
      </c>
      <c r="C122" s="96" t="s">
        <v>692</v>
      </c>
      <c r="D122" s="88" t="str">
        <f t="shared" si="91"/>
        <v>Creta 1.5 MPi IVT SX O DT</v>
      </c>
      <c r="E122" s="18">
        <v>1888300</v>
      </c>
      <c r="F122" s="107">
        <f t="shared" si="92"/>
        <v>18883</v>
      </c>
      <c r="G122" s="119">
        <f t="shared" si="93"/>
        <v>68735.989610400007</v>
      </c>
      <c r="H122" s="119">
        <f t="shared" si="94"/>
        <v>70293.942855200003</v>
      </c>
      <c r="I122" s="99"/>
      <c r="J122" s="116">
        <f t="shared" si="95"/>
        <v>55226.672207800002</v>
      </c>
      <c r="K122" s="108">
        <f t="shared" si="96"/>
        <v>56395.137141399995</v>
      </c>
      <c r="L122" s="108">
        <f t="shared" si="97"/>
        <v>8818.7772000000004</v>
      </c>
      <c r="M122" s="108">
        <f t="shared" si="98"/>
        <v>10935.561500000002</v>
      </c>
      <c r="N122" s="116">
        <f t="shared" si="99"/>
        <v>13052.345799999999</v>
      </c>
      <c r="O122" s="116">
        <f t="shared" si="100"/>
        <v>5291.9607500000002</v>
      </c>
      <c r="P122" s="120">
        <f t="shared" si="101"/>
        <v>196180</v>
      </c>
      <c r="Q122" s="118">
        <f t="shared" si="102"/>
        <v>202410</v>
      </c>
      <c r="R122" s="98"/>
      <c r="S122" s="98"/>
      <c r="T122" s="18">
        <v>10040</v>
      </c>
      <c r="U122" s="158">
        <v>20649</v>
      </c>
      <c r="V122" s="98">
        <f t="shared" si="103"/>
        <v>31471.666666666668</v>
      </c>
      <c r="W122" s="18">
        <v>10500</v>
      </c>
      <c r="X122" s="109" t="s">
        <v>763</v>
      </c>
      <c r="Y122" s="98"/>
      <c r="Z122" s="107"/>
      <c r="AA122" s="107"/>
      <c r="AB122" s="98" t="s">
        <v>16</v>
      </c>
      <c r="AC122" s="158">
        <v>24543</v>
      </c>
      <c r="AD122" s="98">
        <v>2136</v>
      </c>
      <c r="AE122" s="97">
        <v>10442</v>
      </c>
      <c r="AF122" s="98">
        <v>17250</v>
      </c>
      <c r="AG122" s="98">
        <v>23442</v>
      </c>
      <c r="AH122" s="97">
        <v>30305</v>
      </c>
      <c r="AI122" s="158">
        <v>53217</v>
      </c>
      <c r="AJ122" s="111">
        <v>5</v>
      </c>
      <c r="AK122" s="111">
        <v>10640</v>
      </c>
      <c r="AL122" s="111">
        <v>914</v>
      </c>
      <c r="AM122" s="111">
        <v>150</v>
      </c>
      <c r="AN122" s="111">
        <f t="shared" si="104"/>
        <v>750</v>
      </c>
      <c r="AO122" s="111"/>
      <c r="AP122" s="111">
        <f t="shared" si="105"/>
        <v>12454</v>
      </c>
      <c r="AQ122" s="111" t="s">
        <v>281</v>
      </c>
      <c r="AR122" s="158">
        <v>12507</v>
      </c>
      <c r="AS122" s="158">
        <v>13569</v>
      </c>
      <c r="AT122" s="111"/>
      <c r="AU122" s="97">
        <v>0.4</v>
      </c>
    </row>
    <row r="123" spans="1:47" ht="14.4" x14ac:dyDescent="0.3">
      <c r="A123" s="88">
        <v>121</v>
      </c>
      <c r="B123" s="88" t="s">
        <v>68</v>
      </c>
      <c r="C123" s="96" t="s">
        <v>693</v>
      </c>
      <c r="D123" s="88" t="str">
        <f t="shared" si="91"/>
        <v>Creta 1.5 Turbo DCT SX O</v>
      </c>
      <c r="E123" s="18">
        <v>1999900</v>
      </c>
      <c r="F123" s="107">
        <f t="shared" si="92"/>
        <v>19999</v>
      </c>
      <c r="G123" s="119">
        <f t="shared" si="93"/>
        <v>71929.634311200003</v>
      </c>
      <c r="H123" s="119">
        <f t="shared" si="94"/>
        <v>73579.663805599994</v>
      </c>
      <c r="I123" s="99"/>
      <c r="J123" s="116">
        <f t="shared" si="95"/>
        <v>57621.90573340001</v>
      </c>
      <c r="K123" s="108">
        <f t="shared" si="96"/>
        <v>58859.427854199996</v>
      </c>
      <c r="L123" s="108">
        <f t="shared" si="97"/>
        <v>9319.1916000000001</v>
      </c>
      <c r="M123" s="108">
        <f t="shared" si="98"/>
        <v>11561.0795</v>
      </c>
      <c r="N123" s="116">
        <f t="shared" si="99"/>
        <v>13802.967400000001</v>
      </c>
      <c r="O123" s="116">
        <f t="shared" si="100"/>
        <v>5604.7197500000002</v>
      </c>
      <c r="P123" s="120">
        <f t="shared" si="101"/>
        <v>207340</v>
      </c>
      <c r="Q123" s="118">
        <f t="shared" si="102"/>
        <v>213570</v>
      </c>
      <c r="R123" s="98"/>
      <c r="S123" s="98"/>
      <c r="T123" s="18">
        <v>10040</v>
      </c>
      <c r="U123" s="158">
        <v>20649</v>
      </c>
      <c r="V123" s="98">
        <f t="shared" si="103"/>
        <v>33331.666666666664</v>
      </c>
      <c r="W123" s="18">
        <v>10500</v>
      </c>
      <c r="X123" s="109" t="s">
        <v>764</v>
      </c>
      <c r="Y123" s="98"/>
      <c r="Z123" s="107"/>
      <c r="AA123" s="107"/>
      <c r="AB123" s="98" t="s">
        <v>16</v>
      </c>
      <c r="AC123" s="158">
        <v>24543</v>
      </c>
      <c r="AD123" s="98">
        <v>2136</v>
      </c>
      <c r="AE123" s="97">
        <v>10442</v>
      </c>
      <c r="AF123" s="98">
        <v>17250</v>
      </c>
      <c r="AG123" s="98">
        <v>23442</v>
      </c>
      <c r="AH123" s="97">
        <v>30305</v>
      </c>
      <c r="AI123" s="158">
        <v>53217</v>
      </c>
      <c r="AJ123" s="111">
        <v>5</v>
      </c>
      <c r="AK123" s="111">
        <v>10640</v>
      </c>
      <c r="AL123" s="111">
        <v>914</v>
      </c>
      <c r="AM123" s="111">
        <v>150</v>
      </c>
      <c r="AN123" s="111">
        <f t="shared" si="104"/>
        <v>750</v>
      </c>
      <c r="AO123" s="111"/>
      <c r="AP123" s="111">
        <f t="shared" si="105"/>
        <v>12454</v>
      </c>
      <c r="AQ123" s="111" t="s">
        <v>281</v>
      </c>
      <c r="AR123" s="158">
        <v>12507</v>
      </c>
      <c r="AS123" s="158">
        <v>13569</v>
      </c>
      <c r="AT123" s="111"/>
      <c r="AU123" s="97">
        <v>0.4</v>
      </c>
    </row>
    <row r="124" spans="1:47" ht="14.4" x14ac:dyDescent="0.3">
      <c r="A124" s="88">
        <v>122</v>
      </c>
      <c r="B124" s="88" t="s">
        <v>68</v>
      </c>
      <c r="C124" s="96" t="s">
        <v>694</v>
      </c>
      <c r="D124" s="88" t="str">
        <f t="shared" si="91"/>
        <v>Creta 1.5 Turbo DCT SX O DT</v>
      </c>
      <c r="E124" s="18">
        <v>2014900</v>
      </c>
      <c r="F124" s="107">
        <f t="shared" si="92"/>
        <v>20149</v>
      </c>
      <c r="G124" s="119">
        <f t="shared" si="93"/>
        <v>72358.887631200007</v>
      </c>
      <c r="H124" s="119">
        <f t="shared" si="94"/>
        <v>74021.292965599991</v>
      </c>
      <c r="I124" s="99"/>
      <c r="J124" s="116">
        <f t="shared" si="95"/>
        <v>57943.845723400002</v>
      </c>
      <c r="K124" s="108">
        <f t="shared" si="96"/>
        <v>59190.64972419999</v>
      </c>
      <c r="L124" s="108">
        <f t="shared" si="97"/>
        <v>9386.4516000000003</v>
      </c>
      <c r="M124" s="108">
        <f t="shared" si="98"/>
        <v>11645.154499999999</v>
      </c>
      <c r="N124" s="116">
        <f t="shared" si="99"/>
        <v>13903.857400000001</v>
      </c>
      <c r="O124" s="116">
        <f t="shared" si="100"/>
        <v>5646.7572499999997</v>
      </c>
      <c r="P124" s="120">
        <f t="shared" si="101"/>
        <v>208840</v>
      </c>
      <c r="Q124" s="118">
        <f t="shared" si="102"/>
        <v>215070</v>
      </c>
      <c r="R124" s="98"/>
      <c r="S124" s="98"/>
      <c r="T124" s="18">
        <v>10040</v>
      </c>
      <c r="U124" s="158">
        <v>20649</v>
      </c>
      <c r="V124" s="98">
        <f t="shared" si="103"/>
        <v>40298</v>
      </c>
      <c r="W124" s="18">
        <v>10500</v>
      </c>
      <c r="X124" s="109" t="s">
        <v>764</v>
      </c>
      <c r="Y124" s="98"/>
      <c r="Z124" s="107"/>
      <c r="AA124" s="107"/>
      <c r="AB124" s="98" t="s">
        <v>16</v>
      </c>
      <c r="AC124" s="158">
        <v>24543</v>
      </c>
      <c r="AD124" s="98">
        <v>2136</v>
      </c>
      <c r="AE124" s="97">
        <v>10442</v>
      </c>
      <c r="AF124" s="98">
        <v>17250</v>
      </c>
      <c r="AG124" s="98">
        <v>23442</v>
      </c>
      <c r="AH124" s="97">
        <v>30305</v>
      </c>
      <c r="AI124" s="158">
        <v>53217</v>
      </c>
      <c r="AJ124" s="111">
        <v>5</v>
      </c>
      <c r="AK124" s="111">
        <v>10640</v>
      </c>
      <c r="AL124" s="111">
        <v>914</v>
      </c>
      <c r="AM124" s="111">
        <v>150</v>
      </c>
      <c r="AN124" s="111">
        <f t="shared" si="104"/>
        <v>750</v>
      </c>
      <c r="AO124" s="111"/>
      <c r="AP124" s="111">
        <f t="shared" si="105"/>
        <v>12454</v>
      </c>
      <c r="AQ124" s="111" t="s">
        <v>281</v>
      </c>
      <c r="AR124" s="158">
        <v>12507</v>
      </c>
      <c r="AS124" s="158">
        <v>13569</v>
      </c>
      <c r="AT124" s="111"/>
      <c r="AU124" s="97">
        <v>0.4</v>
      </c>
    </row>
    <row r="125" spans="1:47" ht="14.4" x14ac:dyDescent="0.3">
      <c r="A125" s="88">
        <v>123</v>
      </c>
      <c r="B125" s="88" t="s">
        <v>68</v>
      </c>
      <c r="C125" s="96" t="s">
        <v>332</v>
      </c>
      <c r="D125" s="88" t="str">
        <f t="shared" si="52"/>
        <v>Creta 1.5 CRDi MT E</v>
      </c>
      <c r="E125" s="18">
        <v>1255700</v>
      </c>
      <c r="F125" s="107">
        <f t="shared" si="87"/>
        <v>12557</v>
      </c>
      <c r="G125" s="119">
        <f t="shared" si="79"/>
        <v>50632.946261600002</v>
      </c>
      <c r="H125" s="119">
        <f t="shared" si="80"/>
        <v>51668.969080799994</v>
      </c>
      <c r="I125" s="99"/>
      <c r="J125" s="116">
        <f t="shared" si="81"/>
        <v>41649.3896962</v>
      </c>
      <c r="K125" s="108">
        <f t="shared" si="82"/>
        <v>42426.406810599998</v>
      </c>
      <c r="L125" s="108">
        <f t="shared" si="88"/>
        <v>5982.1988000000001</v>
      </c>
      <c r="M125" s="108">
        <f t="shared" si="89"/>
        <v>7389.8384999999998</v>
      </c>
      <c r="N125" s="116">
        <f t="shared" si="90"/>
        <v>8797.4781999999996</v>
      </c>
      <c r="O125" s="116">
        <f t="shared" si="75"/>
        <v>3519.0992499999998</v>
      </c>
      <c r="P125" s="120">
        <f t="shared" si="85"/>
        <v>132920</v>
      </c>
      <c r="Q125" s="118">
        <f t="shared" ref="Q125:Q135" si="106">IF(E125&lt;600000,E125*5%,IF(E125&lt;1000000,E125*8.75%,IF(E125&gt;=1000000,E125*12.5%)))+600+1500+230+4000+2000+3000+750+1500</f>
        <v>170542.5</v>
      </c>
      <c r="R125" s="98"/>
      <c r="S125" s="98"/>
      <c r="T125" s="18">
        <v>10040</v>
      </c>
      <c r="U125" s="158">
        <v>24779</v>
      </c>
      <c r="V125" s="98">
        <f t="shared" si="77"/>
        <v>20928.333333333332</v>
      </c>
      <c r="W125" s="18">
        <v>10500</v>
      </c>
      <c r="X125" s="112" t="s">
        <v>762</v>
      </c>
      <c r="Y125" s="98"/>
      <c r="Z125" s="107"/>
      <c r="AA125" s="107"/>
      <c r="AB125" s="111" t="s">
        <v>16</v>
      </c>
      <c r="AC125" s="158">
        <v>29617</v>
      </c>
      <c r="AD125" s="98">
        <v>2136</v>
      </c>
      <c r="AE125" s="97">
        <v>10442</v>
      </c>
      <c r="AF125" s="98">
        <v>17250</v>
      </c>
      <c r="AG125" s="98">
        <v>23442</v>
      </c>
      <c r="AH125" s="97">
        <v>30305</v>
      </c>
      <c r="AI125" s="159" t="s">
        <v>16</v>
      </c>
      <c r="AJ125" s="111">
        <v>5</v>
      </c>
      <c r="AK125" s="111">
        <v>10640</v>
      </c>
      <c r="AL125" s="111">
        <v>914</v>
      </c>
      <c r="AM125" s="111">
        <v>150</v>
      </c>
      <c r="AN125" s="111">
        <f t="shared" si="83"/>
        <v>750</v>
      </c>
      <c r="AO125" s="111"/>
      <c r="AP125" s="111">
        <f t="shared" si="84"/>
        <v>12454</v>
      </c>
      <c r="AQ125" s="111" t="s">
        <v>281</v>
      </c>
      <c r="AR125" s="158">
        <v>15339</v>
      </c>
      <c r="AS125" s="158">
        <v>16755</v>
      </c>
      <c r="AT125" s="111"/>
      <c r="AU125" s="97">
        <v>0.4</v>
      </c>
    </row>
    <row r="126" spans="1:47" ht="14.4" x14ac:dyDescent="0.3">
      <c r="A126" s="88">
        <v>124</v>
      </c>
      <c r="B126" s="88" t="s">
        <v>68</v>
      </c>
      <c r="C126" s="96" t="s">
        <v>333</v>
      </c>
      <c r="D126" s="88" t="str">
        <f t="shared" si="52"/>
        <v>Creta 1.5 CRDi MT EX</v>
      </c>
      <c r="E126" s="18">
        <v>1378500</v>
      </c>
      <c r="F126" s="107">
        <f t="shared" si="87"/>
        <v>13785</v>
      </c>
      <c r="G126" s="119">
        <f t="shared" si="79"/>
        <v>54147.100107999999</v>
      </c>
      <c r="H126" s="119">
        <f t="shared" si="80"/>
        <v>55284.439803999994</v>
      </c>
      <c r="I126" s="99"/>
      <c r="J126" s="116">
        <f t="shared" si="81"/>
        <v>44285.005080999996</v>
      </c>
      <c r="K126" s="108">
        <f t="shared" si="82"/>
        <v>45138.009853000003</v>
      </c>
      <c r="L126" s="108">
        <f t="shared" si="88"/>
        <v>6532.8339999999998</v>
      </c>
      <c r="M126" s="108">
        <f t="shared" si="89"/>
        <v>8078.1324999999997</v>
      </c>
      <c r="N126" s="116">
        <f t="shared" si="90"/>
        <v>9623.4310000000005</v>
      </c>
      <c r="O126" s="116">
        <f t="shared" si="75"/>
        <v>3863.2462500000001</v>
      </c>
      <c r="P126" s="120">
        <f t="shared" si="85"/>
        <v>145200</v>
      </c>
      <c r="Q126" s="118">
        <f t="shared" si="106"/>
        <v>185892.5</v>
      </c>
      <c r="R126" s="98"/>
      <c r="S126" s="98"/>
      <c r="T126" s="18">
        <v>10040</v>
      </c>
      <c r="U126" s="158">
        <v>24779</v>
      </c>
      <c r="V126" s="98">
        <f t="shared" si="77"/>
        <v>22975</v>
      </c>
      <c r="W126" s="18">
        <v>10500</v>
      </c>
      <c r="X126" s="112" t="s">
        <v>762</v>
      </c>
      <c r="Y126" s="98"/>
      <c r="Z126" s="107"/>
      <c r="AA126" s="107"/>
      <c r="AB126" s="111" t="s">
        <v>16</v>
      </c>
      <c r="AC126" s="158">
        <v>29617</v>
      </c>
      <c r="AD126" s="98">
        <v>2136</v>
      </c>
      <c r="AE126" s="97">
        <v>10442</v>
      </c>
      <c r="AF126" s="98">
        <v>17250</v>
      </c>
      <c r="AG126" s="98">
        <v>23442</v>
      </c>
      <c r="AH126" s="97">
        <v>30305</v>
      </c>
      <c r="AI126" s="159" t="s">
        <v>16</v>
      </c>
      <c r="AJ126" s="111">
        <v>5</v>
      </c>
      <c r="AK126" s="111">
        <v>10640</v>
      </c>
      <c r="AL126" s="111">
        <v>914</v>
      </c>
      <c r="AM126" s="111">
        <v>150</v>
      </c>
      <c r="AN126" s="111">
        <f t="shared" si="83"/>
        <v>750</v>
      </c>
      <c r="AO126" s="111"/>
      <c r="AP126" s="111">
        <f t="shared" si="84"/>
        <v>12454</v>
      </c>
      <c r="AQ126" s="111" t="s">
        <v>281</v>
      </c>
      <c r="AR126" s="158">
        <v>15339</v>
      </c>
      <c r="AS126" s="158">
        <v>16755</v>
      </c>
      <c r="AT126" s="111"/>
      <c r="AU126" s="97">
        <v>0.4</v>
      </c>
    </row>
    <row r="127" spans="1:47" ht="14.4" x14ac:dyDescent="0.3">
      <c r="A127" s="88">
        <v>125</v>
      </c>
      <c r="B127" s="88" t="s">
        <v>68</v>
      </c>
      <c r="C127" s="96" t="s">
        <v>334</v>
      </c>
      <c r="D127" s="88" t="str">
        <f t="shared" si="52"/>
        <v>Creta 1.5 CRDi MT S</v>
      </c>
      <c r="E127" s="18">
        <v>1499990</v>
      </c>
      <c r="F127" s="107">
        <f t="shared" si="87"/>
        <v>14999.9</v>
      </c>
      <c r="G127" s="119">
        <f t="shared" si="79"/>
        <v>57623.765831120007</v>
      </c>
      <c r="H127" s="119">
        <f t="shared" si="80"/>
        <v>58861.341580559994</v>
      </c>
      <c r="I127" s="99"/>
      <c r="J127" s="116">
        <f t="shared" si="81"/>
        <v>46892.504373340002</v>
      </c>
      <c r="K127" s="108">
        <f t="shared" si="82"/>
        <v>47820.686185419996</v>
      </c>
      <c r="L127" s="108">
        <f t="shared" si="88"/>
        <v>7077.5951600000008</v>
      </c>
      <c r="M127" s="108">
        <f t="shared" si="89"/>
        <v>8759.0839500000002</v>
      </c>
      <c r="N127" s="116">
        <f t="shared" si="90"/>
        <v>10440.57274</v>
      </c>
      <c r="O127" s="116">
        <f t="shared" si="75"/>
        <v>4203.7219750000004</v>
      </c>
      <c r="P127" s="120">
        <f t="shared" si="85"/>
        <v>157349</v>
      </c>
      <c r="Q127" s="118">
        <f t="shared" si="106"/>
        <v>201078.75</v>
      </c>
      <c r="R127" s="98"/>
      <c r="S127" s="98"/>
      <c r="T127" s="18">
        <v>10040</v>
      </c>
      <c r="U127" s="158">
        <v>24779</v>
      </c>
      <c r="V127" s="98">
        <f t="shared" si="77"/>
        <v>24999.833333333332</v>
      </c>
      <c r="W127" s="18">
        <v>10500</v>
      </c>
      <c r="X127" s="112" t="s">
        <v>762</v>
      </c>
      <c r="Y127" s="98"/>
      <c r="Z127" s="107"/>
      <c r="AA127" s="107"/>
      <c r="AB127" s="111" t="s">
        <v>16</v>
      </c>
      <c r="AC127" s="158">
        <v>29617</v>
      </c>
      <c r="AD127" s="98">
        <v>2136</v>
      </c>
      <c r="AE127" s="97">
        <v>10442</v>
      </c>
      <c r="AF127" s="98">
        <v>17250</v>
      </c>
      <c r="AG127" s="98">
        <v>23442</v>
      </c>
      <c r="AH127" s="97">
        <v>30305</v>
      </c>
      <c r="AI127" s="159" t="s">
        <v>16</v>
      </c>
      <c r="AJ127" s="111">
        <v>5</v>
      </c>
      <c r="AK127" s="111">
        <v>10640</v>
      </c>
      <c r="AL127" s="111">
        <v>914</v>
      </c>
      <c r="AM127" s="111">
        <v>150</v>
      </c>
      <c r="AN127" s="111">
        <f t="shared" si="83"/>
        <v>750</v>
      </c>
      <c r="AO127" s="111"/>
      <c r="AP127" s="111">
        <f t="shared" si="84"/>
        <v>12454</v>
      </c>
      <c r="AQ127" s="111" t="s">
        <v>281</v>
      </c>
      <c r="AR127" s="158">
        <v>15339</v>
      </c>
      <c r="AS127" s="158">
        <v>16755</v>
      </c>
      <c r="AT127" s="111"/>
      <c r="AU127" s="97">
        <v>0.4</v>
      </c>
    </row>
    <row r="128" spans="1:47" ht="14.4" x14ac:dyDescent="0.3">
      <c r="A128" s="88">
        <v>126</v>
      </c>
      <c r="B128" s="88" t="s">
        <v>68</v>
      </c>
      <c r="C128" s="96" t="s">
        <v>696</v>
      </c>
      <c r="D128" s="88" t="str">
        <f t="shared" si="52"/>
        <v>Creta 1.5 CRDi MT S O</v>
      </c>
      <c r="E128" s="18">
        <v>1593200</v>
      </c>
      <c r="F128" s="107">
        <f t="shared" si="87"/>
        <v>15932</v>
      </c>
      <c r="G128" s="119">
        <f t="shared" si="79"/>
        <v>60291.145961599999</v>
      </c>
      <c r="H128" s="119">
        <f t="shared" si="80"/>
        <v>61605.625180800002</v>
      </c>
      <c r="I128" s="99"/>
      <c r="J128" s="116">
        <f t="shared" si="81"/>
        <v>48893.039471199998</v>
      </c>
      <c r="K128" s="108">
        <f t="shared" si="82"/>
        <v>49878.8988856</v>
      </c>
      <c r="L128" s="108">
        <f t="shared" si="88"/>
        <v>7495.5487999999996</v>
      </c>
      <c r="M128" s="108">
        <f t="shared" si="89"/>
        <v>9281.5259999999998</v>
      </c>
      <c r="N128" s="116">
        <f t="shared" si="90"/>
        <v>11067.503199999999</v>
      </c>
      <c r="O128" s="116">
        <f t="shared" si="75"/>
        <v>4464.9430000000002</v>
      </c>
      <c r="P128" s="120">
        <f t="shared" si="85"/>
        <v>166670</v>
      </c>
      <c r="Q128" s="118">
        <f t="shared" si="106"/>
        <v>212730</v>
      </c>
      <c r="R128" s="98"/>
      <c r="S128" s="98"/>
      <c r="T128" s="18">
        <v>10040</v>
      </c>
      <c r="U128" s="158">
        <v>24779</v>
      </c>
      <c r="V128" s="98">
        <f t="shared" si="77"/>
        <v>26553.333333333332</v>
      </c>
      <c r="W128" s="18">
        <v>10500</v>
      </c>
      <c r="X128" s="112" t="s">
        <v>762</v>
      </c>
      <c r="Y128" s="98"/>
      <c r="Z128" s="107"/>
      <c r="AA128" s="107"/>
      <c r="AB128" s="111" t="s">
        <v>16</v>
      </c>
      <c r="AC128" s="158">
        <v>29617</v>
      </c>
      <c r="AD128" s="98">
        <v>2136</v>
      </c>
      <c r="AE128" s="97">
        <v>10442</v>
      </c>
      <c r="AF128" s="98">
        <v>17250</v>
      </c>
      <c r="AG128" s="98">
        <v>23442</v>
      </c>
      <c r="AH128" s="97">
        <v>30305</v>
      </c>
      <c r="AI128" s="159" t="s">
        <v>16</v>
      </c>
      <c r="AJ128" s="111">
        <v>5</v>
      </c>
      <c r="AK128" s="111">
        <v>10640</v>
      </c>
      <c r="AL128" s="111">
        <v>914</v>
      </c>
      <c r="AM128" s="111">
        <v>150</v>
      </c>
      <c r="AN128" s="111">
        <f t="shared" si="83"/>
        <v>750</v>
      </c>
      <c r="AO128" s="111"/>
      <c r="AP128" s="111">
        <f t="shared" si="84"/>
        <v>12454</v>
      </c>
      <c r="AQ128" s="111" t="s">
        <v>281</v>
      </c>
      <c r="AR128" s="158">
        <v>15339</v>
      </c>
      <c r="AS128" s="158">
        <v>16755</v>
      </c>
      <c r="AT128" s="111"/>
      <c r="AU128" s="97">
        <v>0.4</v>
      </c>
    </row>
    <row r="129" spans="1:47" ht="14.4" x14ac:dyDescent="0.3">
      <c r="A129" s="88">
        <v>127</v>
      </c>
      <c r="B129" s="88" t="s">
        <v>68</v>
      </c>
      <c r="C129" s="96" t="s">
        <v>697</v>
      </c>
      <c r="D129" s="88" t="str">
        <f t="shared" si="52"/>
        <v>Creta 1.5 CRDi AT S O</v>
      </c>
      <c r="E129" s="18">
        <v>1743200</v>
      </c>
      <c r="F129" s="107">
        <f t="shared" si="87"/>
        <v>17432</v>
      </c>
      <c r="G129" s="119">
        <f t="shared" si="79"/>
        <v>64583.679161599997</v>
      </c>
      <c r="H129" s="119">
        <f t="shared" si="80"/>
        <v>66021.916780799991</v>
      </c>
      <c r="I129" s="99"/>
      <c r="J129" s="116">
        <f t="shared" si="81"/>
        <v>52112.439371199995</v>
      </c>
      <c r="K129" s="108">
        <f t="shared" si="82"/>
        <v>53191.11758559999</v>
      </c>
      <c r="L129" s="108">
        <f t="shared" si="88"/>
        <v>8168.1487999999999</v>
      </c>
      <c r="M129" s="108">
        <f t="shared" si="89"/>
        <v>10122.276000000002</v>
      </c>
      <c r="N129" s="116">
        <f t="shared" si="90"/>
        <v>12076.403200000001</v>
      </c>
      <c r="O129" s="116">
        <f t="shared" si="75"/>
        <v>4885.3180000000002</v>
      </c>
      <c r="P129" s="120">
        <f t="shared" si="85"/>
        <v>181670</v>
      </c>
      <c r="Q129" s="118">
        <f t="shared" si="106"/>
        <v>231480</v>
      </c>
      <c r="R129" s="98"/>
      <c r="S129" s="98"/>
      <c r="T129" s="18">
        <v>10040</v>
      </c>
      <c r="U129" s="158">
        <v>27257</v>
      </c>
      <c r="V129" s="98">
        <f t="shared" si="77"/>
        <v>29053.333333333332</v>
      </c>
      <c r="W129" s="18">
        <v>10500</v>
      </c>
      <c r="X129" s="112" t="s">
        <v>761</v>
      </c>
      <c r="Y129" s="98"/>
      <c r="Z129" s="107"/>
      <c r="AA129" s="107"/>
      <c r="AB129" s="111" t="s">
        <v>16</v>
      </c>
      <c r="AC129" s="158">
        <v>32685</v>
      </c>
      <c r="AD129" s="98">
        <v>2136</v>
      </c>
      <c r="AE129" s="97">
        <v>10442</v>
      </c>
      <c r="AF129" s="98">
        <v>17250</v>
      </c>
      <c r="AG129" s="98">
        <v>23442</v>
      </c>
      <c r="AH129" s="97">
        <v>30305</v>
      </c>
      <c r="AI129" s="159" t="s">
        <v>16</v>
      </c>
      <c r="AJ129" s="111">
        <v>5</v>
      </c>
      <c r="AK129" s="111">
        <v>10640</v>
      </c>
      <c r="AL129" s="111">
        <v>914</v>
      </c>
      <c r="AM129" s="111">
        <v>150</v>
      </c>
      <c r="AN129" s="111">
        <f t="shared" si="83"/>
        <v>750</v>
      </c>
      <c r="AO129" s="111"/>
      <c r="AP129" s="111">
        <f t="shared" si="84"/>
        <v>12454</v>
      </c>
      <c r="AQ129" s="111" t="s">
        <v>281</v>
      </c>
      <c r="AR129" s="158">
        <v>16873</v>
      </c>
      <c r="AS129" s="158">
        <v>18525</v>
      </c>
      <c r="AT129" s="111"/>
      <c r="AU129" s="97">
        <v>0.4</v>
      </c>
    </row>
    <row r="130" spans="1:47" ht="14.4" x14ac:dyDescent="0.3">
      <c r="A130" s="88">
        <v>128</v>
      </c>
      <c r="B130" s="88" t="s">
        <v>68</v>
      </c>
      <c r="C130" s="96" t="s">
        <v>335</v>
      </c>
      <c r="D130" s="88" t="str">
        <f t="shared" si="52"/>
        <v>Creta 1.5 CRDi MT SX Tech</v>
      </c>
      <c r="E130" s="18">
        <v>1755700</v>
      </c>
      <c r="F130" s="107">
        <f t="shared" si="87"/>
        <v>17557</v>
      </c>
      <c r="G130" s="119">
        <f t="shared" si="79"/>
        <v>64941.390261600005</v>
      </c>
      <c r="H130" s="119">
        <f t="shared" si="80"/>
        <v>66389.941080799996</v>
      </c>
      <c r="I130" s="99"/>
      <c r="J130" s="116">
        <f t="shared" si="81"/>
        <v>52380.722696200006</v>
      </c>
      <c r="K130" s="108">
        <f t="shared" si="82"/>
        <v>53467.135810599997</v>
      </c>
      <c r="L130" s="108">
        <f t="shared" si="88"/>
        <v>8224.1988000000001</v>
      </c>
      <c r="M130" s="108">
        <f t="shared" si="89"/>
        <v>10192.338500000002</v>
      </c>
      <c r="N130" s="116">
        <f t="shared" si="90"/>
        <v>12160.4782</v>
      </c>
      <c r="O130" s="116">
        <f t="shared" si="75"/>
        <v>4920.3492500000002</v>
      </c>
      <c r="P130" s="120">
        <f t="shared" si="85"/>
        <v>182920</v>
      </c>
      <c r="Q130" s="118">
        <f t="shared" si="106"/>
        <v>233042.5</v>
      </c>
      <c r="R130" s="98"/>
      <c r="S130" s="98"/>
      <c r="T130" s="18">
        <v>10040</v>
      </c>
      <c r="U130" s="158">
        <v>24779</v>
      </c>
      <c r="V130" s="98">
        <f t="shared" si="77"/>
        <v>29261.666666666668</v>
      </c>
      <c r="W130" s="18">
        <v>10500</v>
      </c>
      <c r="X130" s="112" t="s">
        <v>762</v>
      </c>
      <c r="Y130" s="98"/>
      <c r="Z130" s="107"/>
      <c r="AA130" s="107"/>
      <c r="AB130" s="111" t="s">
        <v>16</v>
      </c>
      <c r="AC130" s="158">
        <v>29617</v>
      </c>
      <c r="AD130" s="98">
        <v>2136</v>
      </c>
      <c r="AE130" s="97">
        <v>10442</v>
      </c>
      <c r="AF130" s="98">
        <v>17250</v>
      </c>
      <c r="AG130" s="98">
        <v>23442</v>
      </c>
      <c r="AH130" s="97">
        <v>30305</v>
      </c>
      <c r="AI130" s="159" t="s">
        <v>16</v>
      </c>
      <c r="AJ130" s="111">
        <v>5</v>
      </c>
      <c r="AK130" s="111">
        <v>10640</v>
      </c>
      <c r="AL130" s="111">
        <v>914</v>
      </c>
      <c r="AM130" s="111">
        <v>150</v>
      </c>
      <c r="AN130" s="111">
        <f t="shared" si="83"/>
        <v>750</v>
      </c>
      <c r="AO130" s="111"/>
      <c r="AP130" s="111">
        <f t="shared" si="84"/>
        <v>12454</v>
      </c>
      <c r="AQ130" s="111" t="s">
        <v>281</v>
      </c>
      <c r="AR130" s="158">
        <v>15339</v>
      </c>
      <c r="AS130" s="158">
        <v>16755</v>
      </c>
      <c r="AT130" s="111"/>
      <c r="AU130" s="97">
        <v>0.4</v>
      </c>
    </row>
    <row r="131" spans="1:47" ht="14.4" x14ac:dyDescent="0.3">
      <c r="A131" s="88">
        <v>129</v>
      </c>
      <c r="B131" s="88" t="s">
        <v>68</v>
      </c>
      <c r="C131" s="96" t="s">
        <v>336</v>
      </c>
      <c r="D131" s="88" t="str">
        <f t="shared" si="52"/>
        <v>Creta 1.5 CRDi MT SX Tech DT</v>
      </c>
      <c r="E131" s="18">
        <v>1770700</v>
      </c>
      <c r="F131" s="107">
        <f t="shared" si="87"/>
        <v>17707</v>
      </c>
      <c r="G131" s="119">
        <f t="shared" si="79"/>
        <v>65370.643581600001</v>
      </c>
      <c r="H131" s="119">
        <f t="shared" si="80"/>
        <v>66831.570240799992</v>
      </c>
      <c r="I131" s="99"/>
      <c r="J131" s="116">
        <f t="shared" si="81"/>
        <v>52702.662686199998</v>
      </c>
      <c r="K131" s="108">
        <f t="shared" si="82"/>
        <v>53798.357680599991</v>
      </c>
      <c r="L131" s="108">
        <f t="shared" si="88"/>
        <v>8291.4588000000003</v>
      </c>
      <c r="M131" s="108">
        <f t="shared" si="89"/>
        <v>10276.413500000001</v>
      </c>
      <c r="N131" s="116">
        <f t="shared" si="90"/>
        <v>12261.368199999999</v>
      </c>
      <c r="O131" s="116">
        <f t="shared" ref="O131:O162" si="107">(((E131*95%)*0.25%))+((((E131*95%)*0.25%))*18%)</f>
        <v>4962.3867500000006</v>
      </c>
      <c r="P131" s="120">
        <f t="shared" si="85"/>
        <v>184420</v>
      </c>
      <c r="Q131" s="118">
        <f t="shared" si="106"/>
        <v>234917.5</v>
      </c>
      <c r="R131" s="98"/>
      <c r="S131" s="98"/>
      <c r="T131" s="18">
        <v>10040</v>
      </c>
      <c r="U131" s="158">
        <v>24779</v>
      </c>
      <c r="V131" s="98">
        <f t="shared" ref="V131:V162" si="108">((IF(E131&lt;1000000,E131*8%,IF(AND(E131&gt;=1000000,E131&lt;2000000),E131*10%,IF(E131&gt;=2000000,E131*12%,0)))*1.25*2)/15)</f>
        <v>29511.666666666668</v>
      </c>
      <c r="W131" s="18">
        <v>10500</v>
      </c>
      <c r="X131" s="112" t="s">
        <v>762</v>
      </c>
      <c r="Y131" s="98"/>
      <c r="Z131" s="107"/>
      <c r="AA131" s="107"/>
      <c r="AB131" s="111" t="s">
        <v>16</v>
      </c>
      <c r="AC131" s="158">
        <v>29617</v>
      </c>
      <c r="AD131" s="98">
        <v>2136</v>
      </c>
      <c r="AE131" s="97">
        <v>10442</v>
      </c>
      <c r="AF131" s="98">
        <v>17250</v>
      </c>
      <c r="AG131" s="98">
        <v>23442</v>
      </c>
      <c r="AH131" s="97">
        <v>30305</v>
      </c>
      <c r="AI131" s="159" t="s">
        <v>16</v>
      </c>
      <c r="AJ131" s="111">
        <v>5</v>
      </c>
      <c r="AK131" s="111">
        <v>10640</v>
      </c>
      <c r="AL131" s="111">
        <v>914</v>
      </c>
      <c r="AM131" s="111">
        <v>150</v>
      </c>
      <c r="AN131" s="111">
        <f t="shared" si="83"/>
        <v>750</v>
      </c>
      <c r="AO131" s="111"/>
      <c r="AP131" s="111">
        <f t="shared" si="84"/>
        <v>12454</v>
      </c>
      <c r="AQ131" s="111" t="s">
        <v>281</v>
      </c>
      <c r="AR131" s="158">
        <v>15339</v>
      </c>
      <c r="AS131" s="158">
        <v>16755</v>
      </c>
      <c r="AT131" s="111"/>
      <c r="AU131" s="97">
        <v>0.4</v>
      </c>
    </row>
    <row r="132" spans="1:47" ht="14.4" x14ac:dyDescent="0.3">
      <c r="A132" s="88">
        <v>130</v>
      </c>
      <c r="B132" s="88" t="s">
        <v>68</v>
      </c>
      <c r="C132" s="96" t="s">
        <v>698</v>
      </c>
      <c r="D132" s="88" t="str">
        <f t="shared" ref="D132:D178" si="109">CONCATENATE(B132," ",C132)</f>
        <v>Creta 1.5 CRDi MT SX O</v>
      </c>
      <c r="E132" s="18">
        <v>1884700</v>
      </c>
      <c r="F132" s="107">
        <f t="shared" si="87"/>
        <v>18847</v>
      </c>
      <c r="G132" s="119">
        <f t="shared" si="79"/>
        <v>68632.968813600004</v>
      </c>
      <c r="H132" s="119">
        <f t="shared" si="80"/>
        <v>70187.951856800006</v>
      </c>
      <c r="I132" s="99"/>
      <c r="J132" s="116">
        <f t="shared" si="81"/>
        <v>55149.4066102</v>
      </c>
      <c r="K132" s="108">
        <f t="shared" si="82"/>
        <v>56315.643892599997</v>
      </c>
      <c r="L132" s="108">
        <f t="shared" si="88"/>
        <v>8802.6347999999998</v>
      </c>
      <c r="M132" s="108">
        <f t="shared" si="89"/>
        <v>10915.3835</v>
      </c>
      <c r="N132" s="116">
        <f t="shared" si="90"/>
        <v>13028.1322</v>
      </c>
      <c r="O132" s="116">
        <f t="shared" si="107"/>
        <v>5281.8717500000002</v>
      </c>
      <c r="P132" s="120">
        <f t="shared" si="85"/>
        <v>195820</v>
      </c>
      <c r="Q132" s="118">
        <f t="shared" si="106"/>
        <v>249167.5</v>
      </c>
      <c r="R132" s="98"/>
      <c r="S132" s="98"/>
      <c r="T132" s="18">
        <v>10040</v>
      </c>
      <c r="U132" s="158">
        <v>24779</v>
      </c>
      <c r="V132" s="98">
        <f t="shared" si="108"/>
        <v>31411.666666666668</v>
      </c>
      <c r="W132" s="18">
        <v>10500</v>
      </c>
      <c r="X132" s="112" t="s">
        <v>762</v>
      </c>
      <c r="Y132" s="98"/>
      <c r="Z132" s="107"/>
      <c r="AA132" s="107"/>
      <c r="AB132" s="111" t="s">
        <v>16</v>
      </c>
      <c r="AC132" s="158">
        <v>29617</v>
      </c>
      <c r="AD132" s="98">
        <v>2136</v>
      </c>
      <c r="AE132" s="97">
        <v>10442</v>
      </c>
      <c r="AF132" s="98">
        <v>17250</v>
      </c>
      <c r="AG132" s="98">
        <v>23442</v>
      </c>
      <c r="AH132" s="97">
        <v>30305</v>
      </c>
      <c r="AI132" s="159" t="s">
        <v>16</v>
      </c>
      <c r="AJ132" s="111">
        <v>5</v>
      </c>
      <c r="AK132" s="111">
        <v>10640</v>
      </c>
      <c r="AL132" s="111">
        <v>914</v>
      </c>
      <c r="AM132" s="111">
        <v>150</v>
      </c>
      <c r="AN132" s="111">
        <f t="shared" si="83"/>
        <v>750</v>
      </c>
      <c r="AO132" s="111"/>
      <c r="AP132" s="111">
        <f t="shared" si="84"/>
        <v>12454</v>
      </c>
      <c r="AQ132" s="111" t="s">
        <v>281</v>
      </c>
      <c r="AR132" s="158">
        <v>15339</v>
      </c>
      <c r="AS132" s="158">
        <v>16755</v>
      </c>
      <c r="AT132" s="111"/>
      <c r="AU132" s="97">
        <v>0.4</v>
      </c>
    </row>
    <row r="133" spans="1:47" ht="14.4" x14ac:dyDescent="0.3">
      <c r="A133" s="88">
        <v>131</v>
      </c>
      <c r="B133" s="88" t="s">
        <v>68</v>
      </c>
      <c r="C133" s="96" t="s">
        <v>699</v>
      </c>
      <c r="D133" s="88" t="str">
        <f t="shared" si="109"/>
        <v>Creta 1.5 CRDi MT SX O DT</v>
      </c>
      <c r="E133" s="18">
        <v>1899700</v>
      </c>
      <c r="F133" s="107">
        <f t="shared" si="87"/>
        <v>18997</v>
      </c>
      <c r="G133" s="119">
        <f t="shared" si="79"/>
        <v>69062.222133600008</v>
      </c>
      <c r="H133" s="119">
        <f t="shared" si="80"/>
        <v>70629.581016799988</v>
      </c>
      <c r="I133" s="99"/>
      <c r="J133" s="116">
        <f t="shared" si="81"/>
        <v>55471.346600200006</v>
      </c>
      <c r="K133" s="108">
        <f t="shared" si="82"/>
        <v>56646.865762599991</v>
      </c>
      <c r="L133" s="108">
        <f t="shared" si="88"/>
        <v>8869.8948</v>
      </c>
      <c r="M133" s="108">
        <f t="shared" si="89"/>
        <v>10999.458500000001</v>
      </c>
      <c r="N133" s="116">
        <f t="shared" si="90"/>
        <v>13129.022200000001</v>
      </c>
      <c r="O133" s="116">
        <f t="shared" si="107"/>
        <v>5323.9092500000006</v>
      </c>
      <c r="P133" s="120">
        <f t="shared" si="85"/>
        <v>197320</v>
      </c>
      <c r="Q133" s="118">
        <f t="shared" si="106"/>
        <v>251042.5</v>
      </c>
      <c r="R133" s="98"/>
      <c r="S133" s="98"/>
      <c r="T133" s="18">
        <v>10040</v>
      </c>
      <c r="U133" s="158">
        <v>24779</v>
      </c>
      <c r="V133" s="98">
        <f t="shared" si="108"/>
        <v>31661.666666666668</v>
      </c>
      <c r="W133" s="18">
        <v>10500</v>
      </c>
      <c r="X133" s="112" t="s">
        <v>762</v>
      </c>
      <c r="Y133" s="98"/>
      <c r="Z133" s="107"/>
      <c r="AA133" s="107"/>
      <c r="AB133" s="111" t="s">
        <v>16</v>
      </c>
      <c r="AC133" s="158">
        <v>29617</v>
      </c>
      <c r="AD133" s="98">
        <v>2136</v>
      </c>
      <c r="AE133" s="97">
        <v>10442</v>
      </c>
      <c r="AF133" s="98">
        <v>17250</v>
      </c>
      <c r="AG133" s="98">
        <v>23442</v>
      </c>
      <c r="AH133" s="97">
        <v>30305</v>
      </c>
      <c r="AI133" s="159" t="s">
        <v>16</v>
      </c>
      <c r="AJ133" s="111">
        <v>5</v>
      </c>
      <c r="AK133" s="111">
        <v>10640</v>
      </c>
      <c r="AL133" s="111">
        <v>914</v>
      </c>
      <c r="AM133" s="111">
        <v>150</v>
      </c>
      <c r="AN133" s="111">
        <f t="shared" si="83"/>
        <v>750</v>
      </c>
      <c r="AO133" s="111"/>
      <c r="AP133" s="111">
        <f t="shared" si="84"/>
        <v>12454</v>
      </c>
      <c r="AQ133" s="111" t="s">
        <v>281</v>
      </c>
      <c r="AR133" s="158">
        <v>15339</v>
      </c>
      <c r="AS133" s="158">
        <v>16755</v>
      </c>
      <c r="AT133" s="111"/>
      <c r="AU133" s="97">
        <v>0.4</v>
      </c>
    </row>
    <row r="134" spans="1:47" ht="14.4" x14ac:dyDescent="0.3">
      <c r="A134" s="88">
        <v>132</v>
      </c>
      <c r="B134" s="88" t="s">
        <v>68</v>
      </c>
      <c r="C134" s="96" t="s">
        <v>700</v>
      </c>
      <c r="D134" s="88" t="str">
        <f t="shared" si="109"/>
        <v>Creta 1.5 CRDi AT SX O</v>
      </c>
      <c r="E134" s="18">
        <v>1999900</v>
      </c>
      <c r="F134" s="107">
        <f t="shared" si="87"/>
        <v>19999</v>
      </c>
      <c r="G134" s="119">
        <f t="shared" si="79"/>
        <v>71929.634311200003</v>
      </c>
      <c r="H134" s="119">
        <f t="shared" si="80"/>
        <v>73579.663805599994</v>
      </c>
      <c r="I134" s="99"/>
      <c r="J134" s="116">
        <f t="shared" si="81"/>
        <v>57621.90573340001</v>
      </c>
      <c r="K134" s="108">
        <f t="shared" si="82"/>
        <v>58859.427854199996</v>
      </c>
      <c r="L134" s="108">
        <f t="shared" si="88"/>
        <v>9319.1916000000001</v>
      </c>
      <c r="M134" s="108">
        <f t="shared" si="89"/>
        <v>11561.0795</v>
      </c>
      <c r="N134" s="116">
        <f t="shared" si="90"/>
        <v>13802.967400000001</v>
      </c>
      <c r="O134" s="116">
        <f t="shared" si="107"/>
        <v>5604.7197500000002</v>
      </c>
      <c r="P134" s="120">
        <f t="shared" si="85"/>
        <v>207340</v>
      </c>
      <c r="Q134" s="118">
        <f t="shared" si="106"/>
        <v>263567.5</v>
      </c>
      <c r="R134" s="98"/>
      <c r="S134" s="98"/>
      <c r="T134" s="18">
        <v>10040</v>
      </c>
      <c r="U134" s="158">
        <v>27257</v>
      </c>
      <c r="V134" s="98">
        <f t="shared" si="108"/>
        <v>33331.666666666664</v>
      </c>
      <c r="W134" s="18">
        <v>10500</v>
      </c>
      <c r="X134" s="112" t="s">
        <v>761</v>
      </c>
      <c r="Y134" s="98"/>
      <c r="Z134" s="107"/>
      <c r="AA134" s="107"/>
      <c r="AB134" s="111" t="s">
        <v>16</v>
      </c>
      <c r="AC134" s="158">
        <v>32685</v>
      </c>
      <c r="AD134" s="98">
        <v>2136</v>
      </c>
      <c r="AE134" s="97">
        <v>10442</v>
      </c>
      <c r="AF134" s="98">
        <v>17250</v>
      </c>
      <c r="AG134" s="98">
        <v>23442</v>
      </c>
      <c r="AH134" s="97">
        <v>30305</v>
      </c>
      <c r="AI134" s="159" t="s">
        <v>16</v>
      </c>
      <c r="AJ134" s="111">
        <v>5</v>
      </c>
      <c r="AK134" s="111">
        <v>10640</v>
      </c>
      <c r="AL134" s="111">
        <v>914</v>
      </c>
      <c r="AM134" s="111">
        <v>150</v>
      </c>
      <c r="AN134" s="111">
        <f t="shared" si="83"/>
        <v>750</v>
      </c>
      <c r="AO134" s="111"/>
      <c r="AP134" s="111">
        <f t="shared" si="84"/>
        <v>12454</v>
      </c>
      <c r="AQ134" s="111" t="s">
        <v>281</v>
      </c>
      <c r="AR134" s="158">
        <v>16873</v>
      </c>
      <c r="AS134" s="158">
        <v>18525</v>
      </c>
      <c r="AT134" s="111"/>
      <c r="AU134" s="97">
        <v>0.4</v>
      </c>
    </row>
    <row r="135" spans="1:47" ht="14.4" x14ac:dyDescent="0.3">
      <c r="A135" s="88">
        <v>133</v>
      </c>
      <c r="B135" s="88" t="s">
        <v>68</v>
      </c>
      <c r="C135" s="96" t="s">
        <v>701</v>
      </c>
      <c r="D135" s="88" t="str">
        <f t="shared" si="109"/>
        <v>Creta 1.5 CRDi AT SX O DT</v>
      </c>
      <c r="E135" s="18">
        <v>2014900</v>
      </c>
      <c r="F135" s="107">
        <f t="shared" si="87"/>
        <v>20149</v>
      </c>
      <c r="G135" s="119">
        <f t="shared" si="79"/>
        <v>72358.887631200007</v>
      </c>
      <c r="H135" s="119">
        <f t="shared" si="80"/>
        <v>74021.292965599991</v>
      </c>
      <c r="I135" s="99"/>
      <c r="J135" s="116">
        <f t="shared" si="81"/>
        <v>57943.845723400002</v>
      </c>
      <c r="K135" s="108">
        <f t="shared" si="82"/>
        <v>59190.64972419999</v>
      </c>
      <c r="L135" s="108">
        <f t="shared" si="88"/>
        <v>9386.4516000000003</v>
      </c>
      <c r="M135" s="108">
        <f t="shared" si="89"/>
        <v>11645.154499999999</v>
      </c>
      <c r="N135" s="116">
        <f t="shared" si="90"/>
        <v>13903.857400000001</v>
      </c>
      <c r="O135" s="116">
        <f t="shared" si="107"/>
        <v>5646.7572499999997</v>
      </c>
      <c r="P135" s="120">
        <f t="shared" si="85"/>
        <v>208840</v>
      </c>
      <c r="Q135" s="118">
        <f t="shared" si="106"/>
        <v>265442.5</v>
      </c>
      <c r="R135" s="98"/>
      <c r="S135" s="98"/>
      <c r="T135" s="18">
        <v>10040</v>
      </c>
      <c r="U135" s="158">
        <v>27257</v>
      </c>
      <c r="V135" s="98">
        <f t="shared" si="108"/>
        <v>40298</v>
      </c>
      <c r="W135" s="18">
        <v>10500</v>
      </c>
      <c r="X135" s="112" t="s">
        <v>761</v>
      </c>
      <c r="Y135" s="98"/>
      <c r="Z135" s="107"/>
      <c r="AA135" s="107"/>
      <c r="AB135" s="111" t="s">
        <v>16</v>
      </c>
      <c r="AC135" s="158">
        <v>32685</v>
      </c>
      <c r="AD135" s="98">
        <v>2136</v>
      </c>
      <c r="AE135" s="97">
        <v>10442</v>
      </c>
      <c r="AF135" s="98">
        <v>17250</v>
      </c>
      <c r="AG135" s="98">
        <v>23442</v>
      </c>
      <c r="AH135" s="97">
        <v>30305</v>
      </c>
      <c r="AI135" s="159" t="s">
        <v>16</v>
      </c>
      <c r="AJ135" s="111">
        <v>5</v>
      </c>
      <c r="AK135" s="111">
        <v>10640</v>
      </c>
      <c r="AL135" s="111">
        <v>914</v>
      </c>
      <c r="AM135" s="111">
        <v>150</v>
      </c>
      <c r="AN135" s="111">
        <f t="shared" si="83"/>
        <v>750</v>
      </c>
      <c r="AO135" s="111"/>
      <c r="AP135" s="111">
        <f t="shared" si="84"/>
        <v>12454</v>
      </c>
      <c r="AQ135" s="111" t="s">
        <v>281</v>
      </c>
      <c r="AR135" s="158">
        <v>16873</v>
      </c>
      <c r="AS135" s="158">
        <v>18525</v>
      </c>
      <c r="AT135" s="111"/>
      <c r="AU135" s="97">
        <v>0.4</v>
      </c>
    </row>
    <row r="136" spans="1:47" ht="14.4" x14ac:dyDescent="0.3">
      <c r="A136" s="15">
        <v>134</v>
      </c>
      <c r="B136" s="15" t="s">
        <v>325</v>
      </c>
      <c r="C136" s="15" t="s">
        <v>747</v>
      </c>
      <c r="D136" s="88" t="str">
        <f t="shared" si="109"/>
        <v>Creta N Line N8 1.5 Turbo MT</v>
      </c>
      <c r="E136" s="90">
        <v>1682300</v>
      </c>
      <c r="F136" s="107">
        <f t="shared" si="87"/>
        <v>16823</v>
      </c>
      <c r="G136" s="119">
        <f t="shared" si="79"/>
        <v>62840.910682399997</v>
      </c>
      <c r="H136" s="119">
        <f t="shared" si="80"/>
        <v>64228.902391199998</v>
      </c>
      <c r="I136" s="99"/>
      <c r="J136" s="116">
        <f t="shared" si="81"/>
        <v>50805.363011799993</v>
      </c>
      <c r="K136" s="108">
        <f t="shared" si="82"/>
        <v>51846.356793399995</v>
      </c>
      <c r="L136" s="108">
        <f t="shared" si="88"/>
        <v>7895.0731999999998</v>
      </c>
      <c r="M136" s="108">
        <f t="shared" si="89"/>
        <v>9780.9314999999988</v>
      </c>
      <c r="N136" s="116">
        <f t="shared" si="90"/>
        <v>11666.7898</v>
      </c>
      <c r="O136" s="116">
        <f t="shared" si="107"/>
        <v>4714.6457499999997</v>
      </c>
      <c r="P136" s="121">
        <f t="shared" si="85"/>
        <v>175580</v>
      </c>
      <c r="Q136" s="122">
        <f t="shared" ref="Q136:Q147" si="110">IF(E136&lt;600000,E136*4%,IF(E136&lt;1000000,E136*7%,IF(E136&gt;=1000000,E136*10%)))+600+1500+230+4000+2000+3000+750+1500</f>
        <v>181810</v>
      </c>
      <c r="R136" s="98"/>
      <c r="S136" s="98"/>
      <c r="T136" s="93">
        <v>10040</v>
      </c>
      <c r="U136" s="107"/>
      <c r="V136" s="98">
        <f t="shared" si="108"/>
        <v>28038.333333333332</v>
      </c>
      <c r="W136" s="93">
        <v>10500</v>
      </c>
      <c r="X136" s="109" t="s">
        <v>282</v>
      </c>
      <c r="Y136" s="98"/>
      <c r="Z136" s="107"/>
      <c r="AA136" s="107"/>
      <c r="AB136" s="98"/>
      <c r="AC136" s="98"/>
      <c r="AD136" s="98">
        <v>2136</v>
      </c>
      <c r="AE136" s="97">
        <v>10442</v>
      </c>
      <c r="AF136" s="98">
        <v>17250</v>
      </c>
      <c r="AG136" s="98">
        <v>23442</v>
      </c>
      <c r="AH136" s="97">
        <v>30305</v>
      </c>
      <c r="AI136" s="111" t="s">
        <v>16</v>
      </c>
      <c r="AJ136" s="111">
        <v>5</v>
      </c>
      <c r="AK136" s="111">
        <v>10640</v>
      </c>
      <c r="AL136" s="111">
        <v>914</v>
      </c>
      <c r="AM136" s="111">
        <v>150</v>
      </c>
      <c r="AN136" s="111">
        <f t="shared" si="83"/>
        <v>750</v>
      </c>
      <c r="AO136" s="111"/>
      <c r="AP136" s="111">
        <f t="shared" si="84"/>
        <v>12454</v>
      </c>
      <c r="AQ136" s="111" t="s">
        <v>281</v>
      </c>
      <c r="AR136" s="111"/>
      <c r="AS136" s="111"/>
      <c r="AT136" s="111"/>
      <c r="AU136" s="97">
        <v>0.4</v>
      </c>
    </row>
    <row r="137" spans="1:47" ht="14.4" x14ac:dyDescent="0.3">
      <c r="A137" s="87">
        <v>135</v>
      </c>
      <c r="B137" s="87" t="s">
        <v>325</v>
      </c>
      <c r="C137" s="87" t="s">
        <v>748</v>
      </c>
      <c r="D137" s="88" t="str">
        <f t="shared" si="109"/>
        <v>Creta N Line N8 1.5 Turbo MT RGM</v>
      </c>
      <c r="E137" s="90">
        <v>1687300</v>
      </c>
      <c r="F137" s="107">
        <f t="shared" si="87"/>
        <v>16873</v>
      </c>
      <c r="G137" s="119">
        <f t="shared" si="79"/>
        <v>62983.995122399996</v>
      </c>
      <c r="H137" s="119">
        <f t="shared" si="80"/>
        <v>64376.112111199996</v>
      </c>
      <c r="I137" s="99"/>
      <c r="J137" s="116">
        <f t="shared" si="81"/>
        <v>50912.676341800005</v>
      </c>
      <c r="K137" s="108">
        <f t="shared" si="82"/>
        <v>51956.76408339999</v>
      </c>
      <c r="L137" s="108">
        <f t="shared" si="88"/>
        <v>7917.4931999999999</v>
      </c>
      <c r="M137" s="108">
        <f t="shared" si="89"/>
        <v>9808.9564999999984</v>
      </c>
      <c r="N137" s="116">
        <f t="shared" si="90"/>
        <v>11700.4198</v>
      </c>
      <c r="O137" s="116">
        <f t="shared" si="107"/>
        <v>4728.6582500000004</v>
      </c>
      <c r="P137" s="121">
        <f t="shared" si="85"/>
        <v>176080</v>
      </c>
      <c r="Q137" s="122">
        <f t="shared" si="110"/>
        <v>182310</v>
      </c>
      <c r="R137" s="98"/>
      <c r="S137" s="98"/>
      <c r="T137" s="93">
        <v>10040</v>
      </c>
      <c r="U137" s="107"/>
      <c r="V137" s="98">
        <f t="shared" si="108"/>
        <v>28121.666666666668</v>
      </c>
      <c r="W137" s="93">
        <v>10500</v>
      </c>
      <c r="X137" s="109" t="s">
        <v>282</v>
      </c>
      <c r="Y137" s="98"/>
      <c r="Z137" s="107"/>
      <c r="AA137" s="107"/>
      <c r="AB137" s="98"/>
      <c r="AC137" s="98"/>
      <c r="AD137" s="98">
        <v>2136</v>
      </c>
      <c r="AE137" s="97">
        <v>10442</v>
      </c>
      <c r="AF137" s="98">
        <v>17250</v>
      </c>
      <c r="AG137" s="98">
        <v>23442</v>
      </c>
      <c r="AH137" s="97">
        <v>30305</v>
      </c>
      <c r="AI137" s="111" t="s">
        <v>16</v>
      </c>
      <c r="AJ137" s="111">
        <v>5</v>
      </c>
      <c r="AK137" s="111">
        <v>10640</v>
      </c>
      <c r="AL137" s="111">
        <v>914</v>
      </c>
      <c r="AM137" s="111">
        <v>150</v>
      </c>
      <c r="AN137" s="111">
        <f t="shared" si="83"/>
        <v>750</v>
      </c>
      <c r="AO137" s="111"/>
      <c r="AP137" s="111">
        <f t="shared" si="84"/>
        <v>12454</v>
      </c>
      <c r="AQ137" s="111" t="s">
        <v>281</v>
      </c>
      <c r="AR137" s="111"/>
      <c r="AS137" s="111"/>
      <c r="AT137" s="111"/>
      <c r="AU137" s="97">
        <v>0.4</v>
      </c>
    </row>
    <row r="138" spans="1:47" ht="14.4" x14ac:dyDescent="0.3">
      <c r="A138" s="15">
        <v>136</v>
      </c>
      <c r="B138" s="15" t="s">
        <v>325</v>
      </c>
      <c r="C138" s="15" t="s">
        <v>749</v>
      </c>
      <c r="D138" s="88" t="str">
        <f t="shared" si="109"/>
        <v>Creta N Line N8 1.5 Turbo MT DT</v>
      </c>
      <c r="E138" s="90">
        <v>1697300</v>
      </c>
      <c r="F138" s="107">
        <f t="shared" si="87"/>
        <v>16973</v>
      </c>
      <c r="G138" s="119">
        <f t="shared" si="79"/>
        <v>63270.164002400001</v>
      </c>
      <c r="H138" s="119">
        <f t="shared" si="80"/>
        <v>64670.531551199994</v>
      </c>
      <c r="I138" s="99"/>
      <c r="J138" s="116">
        <f t="shared" si="81"/>
        <v>51127.303001799999</v>
      </c>
      <c r="K138" s="108">
        <f t="shared" si="82"/>
        <v>52177.578663400003</v>
      </c>
      <c r="L138" s="108">
        <f t="shared" si="88"/>
        <v>7962.3332</v>
      </c>
      <c r="M138" s="108">
        <f t="shared" si="89"/>
        <v>9865.0064999999995</v>
      </c>
      <c r="N138" s="116">
        <f t="shared" si="90"/>
        <v>11767.6798</v>
      </c>
      <c r="O138" s="116">
        <f t="shared" si="107"/>
        <v>4756.68325</v>
      </c>
      <c r="P138" s="121">
        <f t="shared" si="85"/>
        <v>177080</v>
      </c>
      <c r="Q138" s="122">
        <f t="shared" si="110"/>
        <v>183310</v>
      </c>
      <c r="R138" s="98"/>
      <c r="S138" s="98"/>
      <c r="T138" s="93">
        <v>10040</v>
      </c>
      <c r="U138" s="107"/>
      <c r="V138" s="98">
        <f t="shared" si="108"/>
        <v>28288.333333333332</v>
      </c>
      <c r="W138" s="93">
        <v>10500</v>
      </c>
      <c r="X138" s="109" t="s">
        <v>282</v>
      </c>
      <c r="Y138" s="98"/>
      <c r="Z138" s="107"/>
      <c r="AA138" s="107"/>
      <c r="AB138" s="98"/>
      <c r="AC138" s="98"/>
      <c r="AD138" s="98">
        <v>2136</v>
      </c>
      <c r="AE138" s="97">
        <v>10442</v>
      </c>
      <c r="AF138" s="98">
        <v>17250</v>
      </c>
      <c r="AG138" s="98">
        <v>23442</v>
      </c>
      <c r="AH138" s="97">
        <v>30305</v>
      </c>
      <c r="AI138" s="111" t="s">
        <v>16</v>
      </c>
      <c r="AJ138" s="111">
        <v>5</v>
      </c>
      <c r="AK138" s="111">
        <v>10640</v>
      </c>
      <c r="AL138" s="111">
        <v>914</v>
      </c>
      <c r="AM138" s="111">
        <v>150</v>
      </c>
      <c r="AN138" s="111">
        <f t="shared" si="83"/>
        <v>750</v>
      </c>
      <c r="AO138" s="111"/>
      <c r="AP138" s="111">
        <f t="shared" si="84"/>
        <v>12454</v>
      </c>
      <c r="AQ138" s="111" t="s">
        <v>281</v>
      </c>
      <c r="AR138" s="111"/>
      <c r="AS138" s="111"/>
      <c r="AT138" s="111"/>
      <c r="AU138" s="97">
        <v>0.4</v>
      </c>
    </row>
    <row r="139" spans="1:47" ht="14.4" x14ac:dyDescent="0.3">
      <c r="A139" s="15">
        <v>137</v>
      </c>
      <c r="B139" s="15" t="s">
        <v>325</v>
      </c>
      <c r="C139" s="15" t="s">
        <v>750</v>
      </c>
      <c r="D139" s="88" t="str">
        <f t="shared" si="109"/>
        <v>Creta N Line N8 1.5 Turbo DCT</v>
      </c>
      <c r="E139" s="90">
        <v>1832300</v>
      </c>
      <c r="F139" s="107">
        <f t="shared" si="87"/>
        <v>18323</v>
      </c>
      <c r="G139" s="119">
        <f t="shared" ref="G139:G170" si="111">+((E139-E139*0.05)*0.03191)-(((E139-E139*0.05)*0.03191)*0.2)+AP139+(((E139-E139*0.05)*0.03191)-(((E139-E139*0.05)*0.03191)*0.2)+AP139)*0.18+3</f>
        <v>67133.443882399995</v>
      </c>
      <c r="H139" s="119">
        <f t="shared" ref="H139:H170" si="112">+((E139-E139*0.05)*0.03283)-(((E139-E139*0.05)*0.03283)*0.2)+AP139+(((E139-E139*0.05)*0.03283)-(((E139-E139*0.05)*0.03283)*0.2)+AP139)*0.18+3</f>
        <v>68645.193991199994</v>
      </c>
      <c r="I139" s="99"/>
      <c r="J139" s="116">
        <f t="shared" ref="J139:J170" si="113">+((E139-E139*0.05)*0.03191)-(((E139-E139*0.05)*0.03191)*AU139)+AP139+(((E139-E139*0.05)*0.03191)-(((E139-E139*0.05)*0.03191)*AU139)+AP139)*0.18+3</f>
        <v>54024.762911800004</v>
      </c>
      <c r="K139" s="108">
        <f t="shared" ref="K139:K170" si="114">+((E139-E139*0.05)*0.03283)-(((E139-E139*0.05)*0.03283)*AU139)+AP139+(((E139-E139*0.05)*0.03283)-(((E139-E139*0.05)*0.03283)*AU139)+AP139)*0.18+3</f>
        <v>55158.5754934</v>
      </c>
      <c r="L139" s="108">
        <f t="shared" si="88"/>
        <v>8567.6731999999993</v>
      </c>
      <c r="M139" s="108">
        <f t="shared" si="89"/>
        <v>10621.681499999999</v>
      </c>
      <c r="N139" s="116">
        <f t="shared" si="90"/>
        <v>12675.6898</v>
      </c>
      <c r="O139" s="116">
        <f t="shared" si="107"/>
        <v>5135.0207499999997</v>
      </c>
      <c r="P139" s="121">
        <f t="shared" si="85"/>
        <v>190580</v>
      </c>
      <c r="Q139" s="122">
        <f t="shared" si="110"/>
        <v>196810</v>
      </c>
      <c r="R139" s="98"/>
      <c r="S139" s="98"/>
      <c r="T139" s="93">
        <v>10040</v>
      </c>
      <c r="U139" s="107"/>
      <c r="V139" s="98">
        <f t="shared" si="108"/>
        <v>30538.333333333332</v>
      </c>
      <c r="W139" s="93">
        <v>10500</v>
      </c>
      <c r="X139" s="109" t="s">
        <v>282</v>
      </c>
      <c r="Y139" s="98"/>
      <c r="Z139" s="107"/>
      <c r="AA139" s="107"/>
      <c r="AB139" s="98"/>
      <c r="AC139" s="98"/>
      <c r="AD139" s="98">
        <v>2136</v>
      </c>
      <c r="AE139" s="97">
        <v>10442</v>
      </c>
      <c r="AF139" s="98">
        <v>17250</v>
      </c>
      <c r="AG139" s="98">
        <v>23442</v>
      </c>
      <c r="AH139" s="97">
        <v>30305</v>
      </c>
      <c r="AI139" s="111" t="s">
        <v>16</v>
      </c>
      <c r="AJ139" s="111">
        <v>5</v>
      </c>
      <c r="AK139" s="111">
        <v>10640</v>
      </c>
      <c r="AL139" s="111">
        <v>914</v>
      </c>
      <c r="AM139" s="111">
        <v>150</v>
      </c>
      <c r="AN139" s="111">
        <f t="shared" ref="AN139:AN170" si="115">AJ139*150</f>
        <v>750</v>
      </c>
      <c r="AO139" s="111"/>
      <c r="AP139" s="111">
        <f t="shared" ref="AP139:AP170" si="116">SUM(AK139:AN139)</f>
        <v>12454</v>
      </c>
      <c r="AQ139" s="111" t="s">
        <v>281</v>
      </c>
      <c r="AR139" s="111"/>
      <c r="AS139" s="111"/>
      <c r="AT139" s="111"/>
      <c r="AU139" s="97">
        <v>0.4</v>
      </c>
    </row>
    <row r="140" spans="1:47" ht="14.4" x14ac:dyDescent="0.3">
      <c r="A140" s="87">
        <v>138</v>
      </c>
      <c r="B140" s="87" t="s">
        <v>325</v>
      </c>
      <c r="C140" s="87" t="s">
        <v>751</v>
      </c>
      <c r="D140" s="88" t="str">
        <f t="shared" si="109"/>
        <v>Creta N Line N8 1.5 Turbo DCT RGM</v>
      </c>
      <c r="E140" s="90">
        <v>1837300</v>
      </c>
      <c r="F140" s="107">
        <f t="shared" si="87"/>
        <v>18373</v>
      </c>
      <c r="G140" s="119">
        <f t="shared" si="111"/>
        <v>67276.528322400001</v>
      </c>
      <c r="H140" s="119">
        <f t="shared" si="112"/>
        <v>68792.403711199993</v>
      </c>
      <c r="I140" s="99"/>
      <c r="J140" s="116">
        <f t="shared" si="113"/>
        <v>54132.076241799994</v>
      </c>
      <c r="K140" s="108">
        <f t="shared" si="114"/>
        <v>55268.982783399995</v>
      </c>
      <c r="L140" s="108">
        <f t="shared" si="88"/>
        <v>8590.0931999999993</v>
      </c>
      <c r="M140" s="108">
        <f t="shared" si="89"/>
        <v>10649.706499999998</v>
      </c>
      <c r="N140" s="116">
        <f t="shared" si="90"/>
        <v>12709.319800000001</v>
      </c>
      <c r="O140" s="116">
        <f t="shared" si="107"/>
        <v>5149.0332499999995</v>
      </c>
      <c r="P140" s="121">
        <f t="shared" si="85"/>
        <v>191080</v>
      </c>
      <c r="Q140" s="122">
        <f t="shared" si="110"/>
        <v>197310</v>
      </c>
      <c r="R140" s="98"/>
      <c r="S140" s="98"/>
      <c r="T140" s="93">
        <v>10040</v>
      </c>
      <c r="U140" s="107"/>
      <c r="V140" s="98">
        <f t="shared" si="108"/>
        <v>30621.666666666668</v>
      </c>
      <c r="W140" s="93">
        <v>10500</v>
      </c>
      <c r="X140" s="109" t="s">
        <v>282</v>
      </c>
      <c r="Y140" s="98"/>
      <c r="Z140" s="107"/>
      <c r="AA140" s="107"/>
      <c r="AB140" s="98"/>
      <c r="AC140" s="98"/>
      <c r="AD140" s="98">
        <v>2136</v>
      </c>
      <c r="AE140" s="97">
        <v>10442</v>
      </c>
      <c r="AF140" s="98">
        <v>17250</v>
      </c>
      <c r="AG140" s="98">
        <v>23442</v>
      </c>
      <c r="AH140" s="97">
        <v>30305</v>
      </c>
      <c r="AI140" s="111" t="s">
        <v>16</v>
      </c>
      <c r="AJ140" s="111">
        <v>5</v>
      </c>
      <c r="AK140" s="111">
        <v>10640</v>
      </c>
      <c r="AL140" s="111">
        <v>914</v>
      </c>
      <c r="AM140" s="111">
        <v>150</v>
      </c>
      <c r="AN140" s="111">
        <f t="shared" si="115"/>
        <v>750</v>
      </c>
      <c r="AO140" s="111"/>
      <c r="AP140" s="111">
        <f t="shared" si="116"/>
        <v>12454</v>
      </c>
      <c r="AQ140" s="111" t="s">
        <v>281</v>
      </c>
      <c r="AR140" s="111"/>
      <c r="AS140" s="111"/>
      <c r="AT140" s="111"/>
      <c r="AU140" s="97">
        <v>0.4</v>
      </c>
    </row>
    <row r="141" spans="1:47" ht="14.4" x14ac:dyDescent="0.3">
      <c r="A141" s="15">
        <v>139</v>
      </c>
      <c r="B141" s="15" t="s">
        <v>325</v>
      </c>
      <c r="C141" s="15" t="s">
        <v>752</v>
      </c>
      <c r="D141" s="88" t="str">
        <f t="shared" si="109"/>
        <v>Creta N Line N8 1.5 Turbo DCT DT</v>
      </c>
      <c r="E141" s="90">
        <v>1847300</v>
      </c>
      <c r="F141" s="107">
        <f t="shared" si="87"/>
        <v>18473</v>
      </c>
      <c r="G141" s="119">
        <f t="shared" si="111"/>
        <v>67562.697202399999</v>
      </c>
      <c r="H141" s="119">
        <f t="shared" si="112"/>
        <v>69086.823151200006</v>
      </c>
      <c r="I141" s="99"/>
      <c r="J141" s="116">
        <f t="shared" si="113"/>
        <v>54346.702901799996</v>
      </c>
      <c r="K141" s="108">
        <f t="shared" si="114"/>
        <v>55489.797363399994</v>
      </c>
      <c r="L141" s="108">
        <f t="shared" si="88"/>
        <v>8634.9331999999995</v>
      </c>
      <c r="M141" s="108">
        <f t="shared" si="89"/>
        <v>10705.756500000001</v>
      </c>
      <c r="N141" s="116">
        <f t="shared" si="90"/>
        <v>12776.579800000001</v>
      </c>
      <c r="O141" s="116">
        <f t="shared" si="107"/>
        <v>5177.058250000001</v>
      </c>
      <c r="P141" s="121">
        <f t="shared" si="85"/>
        <v>192080</v>
      </c>
      <c r="Q141" s="122">
        <f t="shared" si="110"/>
        <v>198310</v>
      </c>
      <c r="R141" s="98"/>
      <c r="S141" s="98"/>
      <c r="T141" s="93">
        <v>10040</v>
      </c>
      <c r="U141" s="107"/>
      <c r="V141" s="98">
        <f t="shared" si="108"/>
        <v>30788.333333333332</v>
      </c>
      <c r="W141" s="93">
        <v>10500</v>
      </c>
      <c r="X141" s="109" t="s">
        <v>282</v>
      </c>
      <c r="Y141" s="98"/>
      <c r="Z141" s="107"/>
      <c r="AA141" s="107"/>
      <c r="AB141" s="98"/>
      <c r="AC141" s="98"/>
      <c r="AD141" s="98">
        <v>2136</v>
      </c>
      <c r="AE141" s="97">
        <v>10442</v>
      </c>
      <c r="AF141" s="98">
        <v>17250</v>
      </c>
      <c r="AG141" s="98">
        <v>23442</v>
      </c>
      <c r="AH141" s="97">
        <v>30305</v>
      </c>
      <c r="AI141" s="111" t="s">
        <v>16</v>
      </c>
      <c r="AJ141" s="111">
        <v>5</v>
      </c>
      <c r="AK141" s="111">
        <v>10640</v>
      </c>
      <c r="AL141" s="111">
        <v>914</v>
      </c>
      <c r="AM141" s="111">
        <v>150</v>
      </c>
      <c r="AN141" s="111">
        <f t="shared" si="115"/>
        <v>750</v>
      </c>
      <c r="AO141" s="111"/>
      <c r="AP141" s="111">
        <f t="shared" si="116"/>
        <v>12454</v>
      </c>
      <c r="AQ141" s="111" t="s">
        <v>281</v>
      </c>
      <c r="AR141" s="111"/>
      <c r="AS141" s="111"/>
      <c r="AT141" s="111"/>
      <c r="AU141" s="97">
        <v>0.4</v>
      </c>
    </row>
    <row r="142" spans="1:47" ht="14.4" x14ac:dyDescent="0.3">
      <c r="A142" s="15">
        <v>140</v>
      </c>
      <c r="B142" s="15" t="s">
        <v>325</v>
      </c>
      <c r="C142" s="15" t="s">
        <v>753</v>
      </c>
      <c r="D142" s="88" t="str">
        <f t="shared" si="109"/>
        <v>Creta N Line N10 1.5 Turbo MT</v>
      </c>
      <c r="E142" s="90">
        <v>1934300</v>
      </c>
      <c r="F142" s="107">
        <f t="shared" si="87"/>
        <v>19343</v>
      </c>
      <c r="G142" s="119">
        <f t="shared" si="111"/>
        <v>70052.366458399993</v>
      </c>
      <c r="H142" s="119">
        <f t="shared" si="112"/>
        <v>71648.272279199999</v>
      </c>
      <c r="I142" s="99"/>
      <c r="J142" s="116">
        <f t="shared" si="113"/>
        <v>56213.954843799991</v>
      </c>
      <c r="K142" s="108">
        <f t="shared" si="114"/>
        <v>57410.884209399999</v>
      </c>
      <c r="L142" s="108">
        <f t="shared" si="88"/>
        <v>9025.0411999999997</v>
      </c>
      <c r="M142" s="108">
        <f t="shared" si="89"/>
        <v>11193.391500000002</v>
      </c>
      <c r="N142" s="116">
        <f t="shared" si="90"/>
        <v>13361.7418</v>
      </c>
      <c r="O142" s="116">
        <f t="shared" si="107"/>
        <v>5420.8757500000011</v>
      </c>
      <c r="P142" s="121">
        <f t="shared" si="85"/>
        <v>200780</v>
      </c>
      <c r="Q142" s="122">
        <f t="shared" si="110"/>
        <v>207010</v>
      </c>
      <c r="R142" s="98"/>
      <c r="S142" s="98"/>
      <c r="T142" s="93">
        <v>10040</v>
      </c>
      <c r="U142" s="107"/>
      <c r="V142" s="98">
        <f t="shared" si="108"/>
        <v>32238.333333333332</v>
      </c>
      <c r="W142" s="93">
        <v>10500</v>
      </c>
      <c r="X142" s="109" t="s">
        <v>282</v>
      </c>
      <c r="Y142" s="98"/>
      <c r="Z142" s="107"/>
      <c r="AA142" s="107"/>
      <c r="AB142" s="98"/>
      <c r="AC142" s="98"/>
      <c r="AD142" s="98">
        <v>2136</v>
      </c>
      <c r="AE142" s="97">
        <v>10442</v>
      </c>
      <c r="AF142" s="98">
        <v>17250</v>
      </c>
      <c r="AG142" s="98">
        <v>23442</v>
      </c>
      <c r="AH142" s="97">
        <v>30305</v>
      </c>
      <c r="AI142" s="111" t="s">
        <v>16</v>
      </c>
      <c r="AJ142" s="111">
        <v>5</v>
      </c>
      <c r="AK142" s="111">
        <v>10640</v>
      </c>
      <c r="AL142" s="111">
        <v>914</v>
      </c>
      <c r="AM142" s="111">
        <v>150</v>
      </c>
      <c r="AN142" s="111">
        <f t="shared" si="115"/>
        <v>750</v>
      </c>
      <c r="AO142" s="111"/>
      <c r="AP142" s="111">
        <f t="shared" si="116"/>
        <v>12454</v>
      </c>
      <c r="AQ142" s="111" t="s">
        <v>281</v>
      </c>
      <c r="AR142" s="111"/>
      <c r="AS142" s="111"/>
      <c r="AT142" s="111"/>
      <c r="AU142" s="97">
        <v>0.4</v>
      </c>
    </row>
    <row r="143" spans="1:47" ht="14.4" x14ac:dyDescent="0.3">
      <c r="A143" s="87">
        <v>141</v>
      </c>
      <c r="B143" s="87" t="s">
        <v>325</v>
      </c>
      <c r="C143" s="87" t="s">
        <v>754</v>
      </c>
      <c r="D143" s="88" t="str">
        <f t="shared" si="109"/>
        <v>Creta N Line N10 1.5 Turbo MT RGM</v>
      </c>
      <c r="E143" s="90">
        <v>1939300</v>
      </c>
      <c r="F143" s="107">
        <f t="shared" ref="F143:F170" si="117">IF(E143&gt;999999,((E143*1)/100),"")</f>
        <v>19393</v>
      </c>
      <c r="G143" s="119">
        <f t="shared" si="111"/>
        <v>70195.450898399999</v>
      </c>
      <c r="H143" s="119">
        <f t="shared" si="112"/>
        <v>71795.481999199998</v>
      </c>
      <c r="I143" s="99"/>
      <c r="J143" s="116">
        <f t="shared" si="113"/>
        <v>56321.268173800003</v>
      </c>
      <c r="K143" s="108">
        <f t="shared" si="114"/>
        <v>57521.291499399995</v>
      </c>
      <c r="L143" s="108">
        <f t="shared" ref="L143:L170" si="118">(((E143*95%)*0.4%)+298)+((((E143*95%)*0.4%)+298)*18%)</f>
        <v>9047.4611999999997</v>
      </c>
      <c r="M143" s="108">
        <f t="shared" ref="M143:M170" si="119">(((E143*95%)*0.5%)+298)+((((E143*95%)*0.5%)+298)*18%)</f>
        <v>11221.416500000001</v>
      </c>
      <c r="N143" s="116">
        <f t="shared" ref="N143:N170" si="120">(((E143*95%)*0.6%)+298)+((((E143*95%)*0.6%)+298)*18%)</f>
        <v>13395.371800000001</v>
      </c>
      <c r="O143" s="116">
        <f t="shared" si="107"/>
        <v>5434.8882500000009</v>
      </c>
      <c r="P143" s="121">
        <f t="shared" si="85"/>
        <v>201280</v>
      </c>
      <c r="Q143" s="122">
        <f t="shared" si="110"/>
        <v>207510</v>
      </c>
      <c r="R143" s="98"/>
      <c r="S143" s="98"/>
      <c r="T143" s="93">
        <v>10040</v>
      </c>
      <c r="U143" s="107"/>
      <c r="V143" s="98">
        <f t="shared" si="108"/>
        <v>32321.666666666668</v>
      </c>
      <c r="W143" s="93">
        <v>10500</v>
      </c>
      <c r="X143" s="109" t="s">
        <v>282</v>
      </c>
      <c r="Y143" s="98"/>
      <c r="Z143" s="107"/>
      <c r="AA143" s="107"/>
      <c r="AB143" s="98"/>
      <c r="AC143" s="98"/>
      <c r="AD143" s="98">
        <v>2136</v>
      </c>
      <c r="AE143" s="97">
        <v>10442</v>
      </c>
      <c r="AF143" s="98">
        <v>17250</v>
      </c>
      <c r="AG143" s="98">
        <v>23442</v>
      </c>
      <c r="AH143" s="97">
        <v>30305</v>
      </c>
      <c r="AI143" s="111" t="s">
        <v>16</v>
      </c>
      <c r="AJ143" s="111">
        <v>5</v>
      </c>
      <c r="AK143" s="111">
        <v>10640</v>
      </c>
      <c r="AL143" s="111">
        <v>914</v>
      </c>
      <c r="AM143" s="111">
        <v>150</v>
      </c>
      <c r="AN143" s="111">
        <f t="shared" si="115"/>
        <v>750</v>
      </c>
      <c r="AO143" s="111"/>
      <c r="AP143" s="111">
        <f t="shared" si="116"/>
        <v>12454</v>
      </c>
      <c r="AQ143" s="111" t="s">
        <v>281</v>
      </c>
      <c r="AR143" s="111"/>
      <c r="AS143" s="111"/>
      <c r="AT143" s="111"/>
      <c r="AU143" s="97">
        <v>0.4</v>
      </c>
    </row>
    <row r="144" spans="1:47" ht="14.4" x14ac:dyDescent="0.3">
      <c r="A144" s="15">
        <v>142</v>
      </c>
      <c r="B144" s="15" t="s">
        <v>325</v>
      </c>
      <c r="C144" s="15" t="s">
        <v>755</v>
      </c>
      <c r="D144" s="88" t="str">
        <f t="shared" si="109"/>
        <v>Creta N Line N10 1.5 Turbo MT DT</v>
      </c>
      <c r="E144" s="90">
        <v>1949300</v>
      </c>
      <c r="F144" s="107">
        <f t="shared" si="117"/>
        <v>19493</v>
      </c>
      <c r="G144" s="119">
        <f t="shared" si="111"/>
        <v>70481.619778399996</v>
      </c>
      <c r="H144" s="119">
        <f t="shared" si="112"/>
        <v>72089.901439199995</v>
      </c>
      <c r="I144" s="99"/>
      <c r="J144" s="116">
        <f t="shared" si="113"/>
        <v>56535.894833799997</v>
      </c>
      <c r="K144" s="108">
        <f t="shared" si="114"/>
        <v>57742.106079399993</v>
      </c>
      <c r="L144" s="108">
        <f t="shared" si="118"/>
        <v>9092.3011999999999</v>
      </c>
      <c r="M144" s="108">
        <f t="shared" si="119"/>
        <v>11277.4665</v>
      </c>
      <c r="N144" s="116">
        <f t="shared" si="120"/>
        <v>13462.631799999999</v>
      </c>
      <c r="O144" s="116">
        <f t="shared" si="107"/>
        <v>5462.9132500000005</v>
      </c>
      <c r="P144" s="121">
        <f t="shared" si="85"/>
        <v>202280</v>
      </c>
      <c r="Q144" s="122">
        <f t="shared" si="110"/>
        <v>208510</v>
      </c>
      <c r="R144" s="98"/>
      <c r="S144" s="98"/>
      <c r="T144" s="93">
        <v>10040</v>
      </c>
      <c r="U144" s="107"/>
      <c r="V144" s="98">
        <f t="shared" si="108"/>
        <v>32488.333333333332</v>
      </c>
      <c r="W144" s="93">
        <v>10500</v>
      </c>
      <c r="X144" s="109" t="s">
        <v>282</v>
      </c>
      <c r="Y144" s="98"/>
      <c r="Z144" s="107"/>
      <c r="AA144" s="107"/>
      <c r="AB144" s="98"/>
      <c r="AC144" s="98"/>
      <c r="AD144" s="98">
        <v>2136</v>
      </c>
      <c r="AE144" s="97">
        <v>10442</v>
      </c>
      <c r="AF144" s="98">
        <v>17250</v>
      </c>
      <c r="AG144" s="98">
        <v>23442</v>
      </c>
      <c r="AH144" s="97">
        <v>30305</v>
      </c>
      <c r="AI144" s="111" t="s">
        <v>16</v>
      </c>
      <c r="AJ144" s="111">
        <v>5</v>
      </c>
      <c r="AK144" s="111">
        <v>10640</v>
      </c>
      <c r="AL144" s="111">
        <v>914</v>
      </c>
      <c r="AM144" s="111">
        <v>150</v>
      </c>
      <c r="AN144" s="111">
        <f t="shared" si="115"/>
        <v>750</v>
      </c>
      <c r="AO144" s="111"/>
      <c r="AP144" s="111">
        <f t="shared" si="116"/>
        <v>12454</v>
      </c>
      <c r="AQ144" s="111" t="s">
        <v>281</v>
      </c>
      <c r="AR144" s="111"/>
      <c r="AS144" s="111"/>
      <c r="AT144" s="111"/>
      <c r="AU144" s="97">
        <v>0.4</v>
      </c>
    </row>
    <row r="145" spans="1:47" ht="14.4" x14ac:dyDescent="0.3">
      <c r="A145" s="15">
        <v>143</v>
      </c>
      <c r="B145" s="15" t="s">
        <v>325</v>
      </c>
      <c r="C145" s="15" t="s">
        <v>756</v>
      </c>
      <c r="D145" s="88" t="str">
        <f t="shared" si="109"/>
        <v>Creta N Line N10 1.5 Turbo DCT</v>
      </c>
      <c r="E145" s="90">
        <v>2029900</v>
      </c>
      <c r="F145" s="107">
        <f t="shared" si="117"/>
        <v>20299</v>
      </c>
      <c r="G145" s="119">
        <f t="shared" si="111"/>
        <v>72788.140951199995</v>
      </c>
      <c r="H145" s="119">
        <f t="shared" si="112"/>
        <v>74462.922125600002</v>
      </c>
      <c r="I145" s="99"/>
      <c r="J145" s="116">
        <f t="shared" si="113"/>
        <v>58265.785713400001</v>
      </c>
      <c r="K145" s="108">
        <f t="shared" si="114"/>
        <v>59521.871594199998</v>
      </c>
      <c r="L145" s="108">
        <f t="shared" si="118"/>
        <v>9453.7116000000005</v>
      </c>
      <c r="M145" s="108">
        <f t="shared" si="119"/>
        <v>11729.229499999999</v>
      </c>
      <c r="N145" s="116">
        <f t="shared" si="120"/>
        <v>14004.7474</v>
      </c>
      <c r="O145" s="116">
        <f t="shared" si="107"/>
        <v>5688.79475</v>
      </c>
      <c r="P145" s="121">
        <f t="shared" si="85"/>
        <v>210340</v>
      </c>
      <c r="Q145" s="122">
        <f t="shared" si="110"/>
        <v>216570</v>
      </c>
      <c r="R145" s="98"/>
      <c r="S145" s="98"/>
      <c r="T145" s="93">
        <v>10040</v>
      </c>
      <c r="U145" s="107"/>
      <c r="V145" s="98">
        <f t="shared" si="108"/>
        <v>40598</v>
      </c>
      <c r="W145" s="93">
        <v>10500</v>
      </c>
      <c r="X145" s="109" t="s">
        <v>282</v>
      </c>
      <c r="Y145" s="98"/>
      <c r="Z145" s="107"/>
      <c r="AA145" s="107"/>
      <c r="AB145" s="98"/>
      <c r="AC145" s="98"/>
      <c r="AD145" s="98">
        <v>2136</v>
      </c>
      <c r="AE145" s="97">
        <v>10442</v>
      </c>
      <c r="AF145" s="98">
        <v>17250</v>
      </c>
      <c r="AG145" s="98">
        <v>23442</v>
      </c>
      <c r="AH145" s="97">
        <v>30305</v>
      </c>
      <c r="AI145" s="111" t="s">
        <v>16</v>
      </c>
      <c r="AJ145" s="111">
        <v>5</v>
      </c>
      <c r="AK145" s="111">
        <v>10640</v>
      </c>
      <c r="AL145" s="111">
        <v>914</v>
      </c>
      <c r="AM145" s="111">
        <v>150</v>
      </c>
      <c r="AN145" s="111">
        <f t="shared" si="115"/>
        <v>750</v>
      </c>
      <c r="AO145" s="111"/>
      <c r="AP145" s="111">
        <f t="shared" si="116"/>
        <v>12454</v>
      </c>
      <c r="AQ145" s="111" t="s">
        <v>281</v>
      </c>
      <c r="AR145" s="111"/>
      <c r="AS145" s="111"/>
      <c r="AT145" s="111"/>
      <c r="AU145" s="97">
        <v>0.4</v>
      </c>
    </row>
    <row r="146" spans="1:47" ht="14.4" x14ac:dyDescent="0.3">
      <c r="A146" s="87">
        <v>144</v>
      </c>
      <c r="B146" s="87" t="s">
        <v>325</v>
      </c>
      <c r="C146" s="87" t="s">
        <v>757</v>
      </c>
      <c r="D146" s="88" t="str">
        <f t="shared" si="109"/>
        <v>Creta N Line N10 1.5 Turbo DCT RGM</v>
      </c>
      <c r="E146" s="90">
        <v>2034900</v>
      </c>
      <c r="F146" s="107">
        <f t="shared" si="117"/>
        <v>20349</v>
      </c>
      <c r="G146" s="119">
        <f t="shared" si="111"/>
        <v>72931.225391200001</v>
      </c>
      <c r="H146" s="119">
        <f t="shared" si="112"/>
        <v>74610.131845600001</v>
      </c>
      <c r="I146" s="99"/>
      <c r="J146" s="116">
        <f t="shared" si="113"/>
        <v>58373.099043399998</v>
      </c>
      <c r="K146" s="108">
        <f t="shared" si="114"/>
        <v>59632.278884199994</v>
      </c>
      <c r="L146" s="108">
        <f t="shared" si="118"/>
        <v>9476.1316000000006</v>
      </c>
      <c r="M146" s="108">
        <f t="shared" si="119"/>
        <v>11757.254499999999</v>
      </c>
      <c r="N146" s="116">
        <f t="shared" si="120"/>
        <v>14038.377400000001</v>
      </c>
      <c r="O146" s="116">
        <f t="shared" si="107"/>
        <v>5702.8072499999998</v>
      </c>
      <c r="P146" s="121">
        <f t="shared" si="85"/>
        <v>210840</v>
      </c>
      <c r="Q146" s="122">
        <f t="shared" si="110"/>
        <v>217070</v>
      </c>
      <c r="R146" s="98"/>
      <c r="S146" s="98"/>
      <c r="T146" s="93">
        <v>10040</v>
      </c>
      <c r="U146" s="107"/>
      <c r="V146" s="98">
        <f t="shared" si="108"/>
        <v>40698</v>
      </c>
      <c r="W146" s="93">
        <v>10500</v>
      </c>
      <c r="X146" s="109" t="s">
        <v>282</v>
      </c>
      <c r="Y146" s="98"/>
      <c r="Z146" s="107"/>
      <c r="AA146" s="107"/>
      <c r="AB146" s="98"/>
      <c r="AC146" s="98"/>
      <c r="AD146" s="98">
        <v>2136</v>
      </c>
      <c r="AE146" s="97">
        <v>10442</v>
      </c>
      <c r="AF146" s="98">
        <v>17250</v>
      </c>
      <c r="AG146" s="98">
        <v>23442</v>
      </c>
      <c r="AH146" s="97">
        <v>30305</v>
      </c>
      <c r="AI146" s="111" t="s">
        <v>16</v>
      </c>
      <c r="AJ146" s="111">
        <v>5</v>
      </c>
      <c r="AK146" s="111">
        <v>10640</v>
      </c>
      <c r="AL146" s="111">
        <v>914</v>
      </c>
      <c r="AM146" s="111">
        <v>150</v>
      </c>
      <c r="AN146" s="111">
        <f t="shared" si="115"/>
        <v>750</v>
      </c>
      <c r="AO146" s="111"/>
      <c r="AP146" s="111">
        <f t="shared" si="116"/>
        <v>12454</v>
      </c>
      <c r="AQ146" s="111" t="s">
        <v>281</v>
      </c>
      <c r="AR146" s="111"/>
      <c r="AS146" s="111"/>
      <c r="AT146" s="111"/>
      <c r="AU146" s="97">
        <v>0.4</v>
      </c>
    </row>
    <row r="147" spans="1:47" ht="14.4" x14ac:dyDescent="0.3">
      <c r="A147" s="15">
        <v>145</v>
      </c>
      <c r="B147" s="15" t="s">
        <v>325</v>
      </c>
      <c r="C147" s="15" t="s">
        <v>758</v>
      </c>
      <c r="D147" s="88" t="str">
        <f t="shared" si="109"/>
        <v>Creta N Line N10 1.5 Turbo DCT DT</v>
      </c>
      <c r="E147" s="90">
        <v>2044900</v>
      </c>
      <c r="F147" s="107">
        <f t="shared" si="117"/>
        <v>20449</v>
      </c>
      <c r="G147" s="119">
        <f t="shared" si="111"/>
        <v>73217.394271199999</v>
      </c>
      <c r="H147" s="119">
        <f t="shared" si="112"/>
        <v>74904.551285599999</v>
      </c>
      <c r="I147" s="99"/>
      <c r="J147" s="116">
        <f t="shared" si="113"/>
        <v>58587.725703399992</v>
      </c>
      <c r="K147" s="108">
        <f t="shared" si="114"/>
        <v>59853.093464199992</v>
      </c>
      <c r="L147" s="108">
        <f t="shared" si="118"/>
        <v>9520.9716000000008</v>
      </c>
      <c r="M147" s="108">
        <f t="shared" si="119"/>
        <v>11813.3045</v>
      </c>
      <c r="N147" s="116">
        <f t="shared" si="120"/>
        <v>14105.6374</v>
      </c>
      <c r="O147" s="116">
        <f t="shared" si="107"/>
        <v>5730.8322499999995</v>
      </c>
      <c r="P147" s="121">
        <f t="shared" si="85"/>
        <v>211840</v>
      </c>
      <c r="Q147" s="122">
        <f t="shared" si="110"/>
        <v>218070</v>
      </c>
      <c r="R147" s="98"/>
      <c r="S147" s="98"/>
      <c r="T147" s="93">
        <v>10040</v>
      </c>
      <c r="U147" s="107"/>
      <c r="V147" s="98">
        <f t="shared" si="108"/>
        <v>40898</v>
      </c>
      <c r="W147" s="93">
        <v>10500</v>
      </c>
      <c r="X147" s="109" t="s">
        <v>282</v>
      </c>
      <c r="Y147" s="98"/>
      <c r="Z147" s="107"/>
      <c r="AA147" s="107"/>
      <c r="AB147" s="98"/>
      <c r="AC147" s="98"/>
      <c r="AD147" s="98">
        <v>2136</v>
      </c>
      <c r="AE147" s="97">
        <v>10442</v>
      </c>
      <c r="AF147" s="98">
        <v>17250</v>
      </c>
      <c r="AG147" s="98">
        <v>23442</v>
      </c>
      <c r="AH147" s="97">
        <v>30305</v>
      </c>
      <c r="AI147" s="111" t="s">
        <v>16</v>
      </c>
      <c r="AJ147" s="111">
        <v>5</v>
      </c>
      <c r="AK147" s="111">
        <v>10640</v>
      </c>
      <c r="AL147" s="111">
        <v>914</v>
      </c>
      <c r="AM147" s="111">
        <v>150</v>
      </c>
      <c r="AN147" s="111">
        <f t="shared" si="115"/>
        <v>750</v>
      </c>
      <c r="AO147" s="111"/>
      <c r="AP147" s="111">
        <f t="shared" si="116"/>
        <v>12454</v>
      </c>
      <c r="AQ147" s="111" t="s">
        <v>281</v>
      </c>
      <c r="AR147" s="111"/>
      <c r="AS147" s="111"/>
      <c r="AT147" s="111"/>
      <c r="AU147" s="97">
        <v>0.4</v>
      </c>
    </row>
    <row r="148" spans="1:47" ht="14.4" customHeight="1" x14ac:dyDescent="0.3">
      <c r="A148" s="88">
        <v>146</v>
      </c>
      <c r="B148" s="88" t="s">
        <v>369</v>
      </c>
      <c r="C148" s="88" t="s">
        <v>642</v>
      </c>
      <c r="D148" s="88" t="str">
        <f>CONCATENATE(C148)</f>
        <v xml:space="preserve">Alcazar Petrol Prestige  7STR   </v>
      </c>
      <c r="E148" s="18">
        <v>1677500</v>
      </c>
      <c r="F148" s="107">
        <f t="shared" si="117"/>
        <v>16775</v>
      </c>
      <c r="G148" s="119">
        <f t="shared" si="111"/>
        <v>62703.549620000005</v>
      </c>
      <c r="H148" s="119">
        <f t="shared" si="112"/>
        <v>64087.581059999997</v>
      </c>
      <c r="I148" s="99"/>
      <c r="J148" s="116">
        <f t="shared" si="113"/>
        <v>50702.342214999997</v>
      </c>
      <c r="K148" s="108">
        <f t="shared" si="114"/>
        <v>51740.365794999998</v>
      </c>
      <c r="L148" s="108">
        <f t="shared" si="118"/>
        <v>7873.55</v>
      </c>
      <c r="M148" s="108">
        <f t="shared" si="119"/>
        <v>9754.0275000000001</v>
      </c>
      <c r="N148" s="116">
        <f t="shared" si="120"/>
        <v>11634.504999999999</v>
      </c>
      <c r="O148" s="116">
        <f t="shared" si="107"/>
        <v>4701.1937500000004</v>
      </c>
      <c r="P148" s="118">
        <f t="shared" ref="P148:P178" si="121">IF(E148&lt;1000000,E148*8%,IF(E148&gt;=1000000,E148*10%))+600+1500+750+4500</f>
        <v>175100</v>
      </c>
      <c r="Q148" s="118">
        <f t="shared" ref="Q148:Q157" si="122">IF(E148&lt;600000,E148*4%,IF(E148&lt;1000000,E148*7%,IF(E148&gt;=1000000,E148*10%)))+600+1500+230+4000+2000+4500+750</f>
        <v>181330</v>
      </c>
      <c r="R148" s="98"/>
      <c r="S148" s="98"/>
      <c r="T148" s="18">
        <v>9922</v>
      </c>
      <c r="U148" s="158">
        <v>18761</v>
      </c>
      <c r="V148" s="98">
        <f t="shared" si="108"/>
        <v>27958.333333333332</v>
      </c>
      <c r="W148" s="18">
        <v>12000</v>
      </c>
      <c r="X148" s="109" t="s">
        <v>765</v>
      </c>
      <c r="Y148" s="98"/>
      <c r="Z148" s="107"/>
      <c r="AA148" s="107"/>
      <c r="AB148" s="109" t="s">
        <v>16</v>
      </c>
      <c r="AC148" s="158">
        <v>22301</v>
      </c>
      <c r="AD148" s="98">
        <v>2136</v>
      </c>
      <c r="AE148" s="97">
        <v>10442</v>
      </c>
      <c r="AF148" s="98">
        <v>17250</v>
      </c>
      <c r="AG148" s="98">
        <v>23442</v>
      </c>
      <c r="AH148" s="97">
        <v>30305</v>
      </c>
      <c r="AI148" s="158">
        <v>48379</v>
      </c>
      <c r="AJ148" s="111">
        <v>5</v>
      </c>
      <c r="AK148" s="111">
        <v>10640</v>
      </c>
      <c r="AL148" s="111">
        <v>914</v>
      </c>
      <c r="AM148" s="111">
        <v>150</v>
      </c>
      <c r="AN148" s="111">
        <f t="shared" si="115"/>
        <v>750</v>
      </c>
      <c r="AO148" s="111"/>
      <c r="AP148" s="111">
        <f t="shared" si="116"/>
        <v>12454</v>
      </c>
      <c r="AQ148" s="111" t="s">
        <v>281</v>
      </c>
      <c r="AR148" s="158">
        <v>11327</v>
      </c>
      <c r="AS148" s="158">
        <v>12271</v>
      </c>
      <c r="AT148" s="111"/>
      <c r="AU148" s="97">
        <v>0.4</v>
      </c>
    </row>
    <row r="149" spans="1:47" ht="14.4" x14ac:dyDescent="0.3">
      <c r="A149" s="88">
        <v>147</v>
      </c>
      <c r="B149" s="88" t="s">
        <v>369</v>
      </c>
      <c r="C149" s="88" t="s">
        <v>636</v>
      </c>
      <c r="D149" s="88" t="str">
        <f t="shared" ref="D149:D170" si="123">CONCATENATE(C149)</f>
        <v xml:space="preserve">Alcazar Petrol Platinum  7STR   </v>
      </c>
      <c r="E149" s="18">
        <v>1867700</v>
      </c>
      <c r="F149" s="107">
        <f t="shared" si="117"/>
        <v>18677</v>
      </c>
      <c r="G149" s="119">
        <f t="shared" si="111"/>
        <v>68146.481717600007</v>
      </c>
      <c r="H149" s="119">
        <f t="shared" si="112"/>
        <v>69687.438808799998</v>
      </c>
      <c r="I149" s="99"/>
      <c r="J149" s="116">
        <f t="shared" si="113"/>
        <v>54784.541288200002</v>
      </c>
      <c r="K149" s="108">
        <f t="shared" si="114"/>
        <v>55940.259106599995</v>
      </c>
      <c r="L149" s="108">
        <f t="shared" si="118"/>
        <v>8726.4068000000007</v>
      </c>
      <c r="M149" s="108">
        <f t="shared" si="119"/>
        <v>10820.0985</v>
      </c>
      <c r="N149" s="116">
        <f t="shared" si="120"/>
        <v>12913.790199999999</v>
      </c>
      <c r="O149" s="116">
        <f t="shared" si="107"/>
        <v>5234.2292500000003</v>
      </c>
      <c r="P149" s="118">
        <f t="shared" si="121"/>
        <v>194120</v>
      </c>
      <c r="Q149" s="118">
        <f t="shared" si="122"/>
        <v>200350</v>
      </c>
      <c r="R149" s="98"/>
      <c r="S149" s="98"/>
      <c r="T149" s="18">
        <v>9922</v>
      </c>
      <c r="U149" s="158">
        <v>18761</v>
      </c>
      <c r="V149" s="98">
        <f t="shared" si="108"/>
        <v>31128.333333333332</v>
      </c>
      <c r="W149" s="18">
        <v>12000</v>
      </c>
      <c r="X149" s="109" t="s">
        <v>765</v>
      </c>
      <c r="Y149" s="98"/>
      <c r="Z149" s="107"/>
      <c r="AA149" s="107"/>
      <c r="AB149" s="109" t="s">
        <v>16</v>
      </c>
      <c r="AC149" s="158">
        <v>22301</v>
      </c>
      <c r="AD149" s="98">
        <v>2136</v>
      </c>
      <c r="AE149" s="97">
        <v>10442</v>
      </c>
      <c r="AF149" s="98">
        <v>17250</v>
      </c>
      <c r="AG149" s="98">
        <v>23442</v>
      </c>
      <c r="AH149" s="97">
        <v>30305</v>
      </c>
      <c r="AI149" s="158">
        <v>48379</v>
      </c>
      <c r="AJ149" s="111">
        <v>5</v>
      </c>
      <c r="AK149" s="111">
        <v>10640</v>
      </c>
      <c r="AL149" s="111">
        <v>914</v>
      </c>
      <c r="AM149" s="111">
        <v>150</v>
      </c>
      <c r="AN149" s="111">
        <f t="shared" si="115"/>
        <v>750</v>
      </c>
      <c r="AO149" s="111"/>
      <c r="AP149" s="111">
        <f t="shared" si="116"/>
        <v>12454</v>
      </c>
      <c r="AQ149" s="111" t="s">
        <v>281</v>
      </c>
      <c r="AR149" s="158">
        <v>11327</v>
      </c>
      <c r="AS149" s="158">
        <v>12271</v>
      </c>
      <c r="AT149" s="111"/>
      <c r="AU149" s="97">
        <v>0.4</v>
      </c>
    </row>
    <row r="150" spans="1:47" ht="14.4" x14ac:dyDescent="0.3">
      <c r="A150" s="88">
        <v>148</v>
      </c>
      <c r="B150" s="88" t="s">
        <v>369</v>
      </c>
      <c r="C150" s="88" t="s">
        <v>615</v>
      </c>
      <c r="D150" s="88" t="str">
        <f t="shared" si="123"/>
        <v>Alcazar Petrol Platinum AE 7STR</v>
      </c>
      <c r="E150" s="18">
        <v>1903600</v>
      </c>
      <c r="F150" s="107">
        <f t="shared" si="117"/>
        <v>19036</v>
      </c>
      <c r="G150" s="119">
        <f t="shared" si="111"/>
        <v>69173.827996799999</v>
      </c>
      <c r="H150" s="119">
        <f t="shared" si="112"/>
        <v>70744.404598399997</v>
      </c>
      <c r="I150" s="99"/>
      <c r="J150" s="116">
        <f t="shared" si="113"/>
        <v>55555.050997599996</v>
      </c>
      <c r="K150" s="108">
        <f t="shared" si="114"/>
        <v>56732.983448799991</v>
      </c>
      <c r="L150" s="108">
        <f t="shared" si="118"/>
        <v>8887.3824000000004</v>
      </c>
      <c r="M150" s="108">
        <f t="shared" si="119"/>
        <v>11021.318000000001</v>
      </c>
      <c r="N150" s="116">
        <f t="shared" si="120"/>
        <v>13155.2536</v>
      </c>
      <c r="O150" s="116">
        <f t="shared" si="107"/>
        <v>5334.8389999999999</v>
      </c>
      <c r="P150" s="118">
        <f t="shared" si="121"/>
        <v>197710</v>
      </c>
      <c r="Q150" s="118">
        <f t="shared" si="122"/>
        <v>203940</v>
      </c>
      <c r="R150" s="98"/>
      <c r="S150" s="98"/>
      <c r="T150" s="18">
        <v>9922</v>
      </c>
      <c r="U150" s="158">
        <v>18761</v>
      </c>
      <c r="V150" s="98">
        <f t="shared" si="108"/>
        <v>31726.666666666668</v>
      </c>
      <c r="W150" s="18">
        <v>12000</v>
      </c>
      <c r="X150" s="109" t="s">
        <v>765</v>
      </c>
      <c r="Y150" s="98"/>
      <c r="Z150" s="107"/>
      <c r="AA150" s="107"/>
      <c r="AB150" s="109" t="s">
        <v>16</v>
      </c>
      <c r="AC150" s="158">
        <v>22301</v>
      </c>
      <c r="AD150" s="98">
        <v>2136</v>
      </c>
      <c r="AE150" s="97">
        <v>10442</v>
      </c>
      <c r="AF150" s="98">
        <v>17250</v>
      </c>
      <c r="AG150" s="98">
        <v>23442</v>
      </c>
      <c r="AH150" s="97">
        <v>30305</v>
      </c>
      <c r="AI150" s="158">
        <v>48379</v>
      </c>
      <c r="AJ150" s="111">
        <v>5</v>
      </c>
      <c r="AK150" s="111">
        <v>10640</v>
      </c>
      <c r="AL150" s="111">
        <v>914</v>
      </c>
      <c r="AM150" s="111">
        <v>150</v>
      </c>
      <c r="AN150" s="111">
        <f t="shared" si="115"/>
        <v>750</v>
      </c>
      <c r="AO150" s="111"/>
      <c r="AP150" s="111">
        <f t="shared" si="116"/>
        <v>12454</v>
      </c>
      <c r="AQ150" s="111" t="s">
        <v>281</v>
      </c>
      <c r="AR150" s="158">
        <v>11327</v>
      </c>
      <c r="AS150" s="158">
        <v>12271</v>
      </c>
      <c r="AT150" s="111"/>
      <c r="AU150" s="97">
        <v>0.4</v>
      </c>
    </row>
    <row r="151" spans="1:47" ht="14.4" x14ac:dyDescent="0.3">
      <c r="A151" s="88">
        <v>149</v>
      </c>
      <c r="B151" s="88" t="s">
        <v>369</v>
      </c>
      <c r="C151" s="88" t="s">
        <v>638</v>
      </c>
      <c r="D151" s="88" t="str">
        <f t="shared" si="123"/>
        <v xml:space="preserve">Alcazar Petrol Platinum  O DCT 6STR </v>
      </c>
      <c r="E151" s="18">
        <v>1998600</v>
      </c>
      <c r="F151" s="107">
        <f t="shared" si="117"/>
        <v>19986</v>
      </c>
      <c r="G151" s="119">
        <f t="shared" si="111"/>
        <v>71892.432356800011</v>
      </c>
      <c r="H151" s="119">
        <f t="shared" si="112"/>
        <v>73541.389278399991</v>
      </c>
      <c r="I151" s="99"/>
      <c r="J151" s="116">
        <f t="shared" si="113"/>
        <v>57594.004267600001</v>
      </c>
      <c r="K151" s="108">
        <f t="shared" si="114"/>
        <v>58830.721958799993</v>
      </c>
      <c r="L151" s="108">
        <f t="shared" si="118"/>
        <v>9313.3624</v>
      </c>
      <c r="M151" s="108">
        <f t="shared" si="119"/>
        <v>11553.793</v>
      </c>
      <c r="N151" s="116">
        <f t="shared" si="120"/>
        <v>13794.223600000001</v>
      </c>
      <c r="O151" s="116">
        <f t="shared" si="107"/>
        <v>5601.0765000000001</v>
      </c>
      <c r="P151" s="118">
        <f t="shared" si="121"/>
        <v>207210</v>
      </c>
      <c r="Q151" s="118">
        <f t="shared" si="122"/>
        <v>213440</v>
      </c>
      <c r="R151" s="98"/>
      <c r="S151" s="98"/>
      <c r="T151" s="18">
        <v>9922</v>
      </c>
      <c r="U151" s="158">
        <v>20649</v>
      </c>
      <c r="V151" s="98">
        <f t="shared" si="108"/>
        <v>33310</v>
      </c>
      <c r="W151" s="18">
        <v>12000</v>
      </c>
      <c r="X151" s="109" t="s">
        <v>764</v>
      </c>
      <c r="Y151" s="98"/>
      <c r="Z151" s="107"/>
      <c r="AA151" s="107"/>
      <c r="AB151" s="109" t="s">
        <v>16</v>
      </c>
      <c r="AC151" s="158">
        <v>24543</v>
      </c>
      <c r="AD151" s="98">
        <v>2136</v>
      </c>
      <c r="AE151" s="97">
        <v>10442</v>
      </c>
      <c r="AF151" s="98">
        <v>17250</v>
      </c>
      <c r="AG151" s="98">
        <v>23442</v>
      </c>
      <c r="AH151" s="97">
        <v>30305</v>
      </c>
      <c r="AI151" s="158">
        <v>53217</v>
      </c>
      <c r="AJ151" s="111">
        <v>5</v>
      </c>
      <c r="AK151" s="111">
        <v>10640</v>
      </c>
      <c r="AL151" s="111">
        <v>914</v>
      </c>
      <c r="AM151" s="111">
        <v>150</v>
      </c>
      <c r="AN151" s="111">
        <f t="shared" si="115"/>
        <v>750</v>
      </c>
      <c r="AO151" s="111"/>
      <c r="AP151" s="111">
        <f t="shared" si="116"/>
        <v>12454</v>
      </c>
      <c r="AQ151" s="111" t="s">
        <v>281</v>
      </c>
      <c r="AR151" s="158">
        <v>12507</v>
      </c>
      <c r="AS151" s="158">
        <v>13569</v>
      </c>
      <c r="AT151" s="111"/>
      <c r="AU151" s="97">
        <v>0.4</v>
      </c>
    </row>
    <row r="152" spans="1:47" ht="14.4" x14ac:dyDescent="0.3">
      <c r="A152" s="88">
        <v>150</v>
      </c>
      <c r="B152" s="88" t="s">
        <v>369</v>
      </c>
      <c r="C152" s="88" t="s">
        <v>640</v>
      </c>
      <c r="D152" s="88" t="str">
        <f t="shared" si="123"/>
        <v xml:space="preserve">Alcazar Petrol Platinum  O DCT 7STR </v>
      </c>
      <c r="E152" s="18">
        <v>1998600</v>
      </c>
      <c r="F152" s="107">
        <f t="shared" si="117"/>
        <v>19986</v>
      </c>
      <c r="G152" s="119">
        <f t="shared" si="111"/>
        <v>71892.432356800011</v>
      </c>
      <c r="H152" s="119">
        <f t="shared" si="112"/>
        <v>73541.389278399991</v>
      </c>
      <c r="I152" s="99"/>
      <c r="J152" s="116">
        <f t="shared" si="113"/>
        <v>57594.004267600001</v>
      </c>
      <c r="K152" s="108">
        <f t="shared" si="114"/>
        <v>58830.721958799993</v>
      </c>
      <c r="L152" s="108">
        <f t="shared" si="118"/>
        <v>9313.3624</v>
      </c>
      <c r="M152" s="108">
        <f t="shared" si="119"/>
        <v>11553.793</v>
      </c>
      <c r="N152" s="116">
        <f t="shared" si="120"/>
        <v>13794.223600000001</v>
      </c>
      <c r="O152" s="116">
        <f t="shared" si="107"/>
        <v>5601.0765000000001</v>
      </c>
      <c r="P152" s="118">
        <f t="shared" si="121"/>
        <v>207210</v>
      </c>
      <c r="Q152" s="118">
        <f t="shared" si="122"/>
        <v>213440</v>
      </c>
      <c r="R152" s="98"/>
      <c r="S152" s="98"/>
      <c r="T152" s="18">
        <v>9922</v>
      </c>
      <c r="U152" s="158">
        <v>20649</v>
      </c>
      <c r="V152" s="98">
        <f t="shared" si="108"/>
        <v>33310</v>
      </c>
      <c r="W152" s="18">
        <v>12000</v>
      </c>
      <c r="X152" s="109" t="s">
        <v>764</v>
      </c>
      <c r="Y152" s="98"/>
      <c r="Z152" s="107"/>
      <c r="AA152" s="107"/>
      <c r="AB152" s="109" t="s">
        <v>16</v>
      </c>
      <c r="AC152" s="158">
        <v>24543</v>
      </c>
      <c r="AD152" s="98">
        <v>2136</v>
      </c>
      <c r="AE152" s="97">
        <v>10442</v>
      </c>
      <c r="AF152" s="98">
        <v>17250</v>
      </c>
      <c r="AG152" s="98">
        <v>23442</v>
      </c>
      <c r="AH152" s="97">
        <v>30305</v>
      </c>
      <c r="AI152" s="158">
        <v>53217</v>
      </c>
      <c r="AJ152" s="111">
        <v>5</v>
      </c>
      <c r="AK152" s="111">
        <v>10640</v>
      </c>
      <c r="AL152" s="111">
        <v>914</v>
      </c>
      <c r="AM152" s="111">
        <v>150</v>
      </c>
      <c r="AN152" s="111">
        <f t="shared" si="115"/>
        <v>750</v>
      </c>
      <c r="AO152" s="111"/>
      <c r="AP152" s="111">
        <f t="shared" si="116"/>
        <v>12454</v>
      </c>
      <c r="AQ152" s="111" t="s">
        <v>281</v>
      </c>
      <c r="AR152" s="158">
        <v>12507</v>
      </c>
      <c r="AS152" s="158">
        <v>13569</v>
      </c>
      <c r="AT152" s="111"/>
      <c r="AU152" s="97">
        <v>0.4</v>
      </c>
    </row>
    <row r="153" spans="1:47" ht="14.4" x14ac:dyDescent="0.3">
      <c r="A153" s="88">
        <v>151</v>
      </c>
      <c r="B153" s="88" t="s">
        <v>369</v>
      </c>
      <c r="C153" s="88" t="s">
        <v>644</v>
      </c>
      <c r="D153" s="88" t="str">
        <f t="shared" si="123"/>
        <v xml:space="preserve">Alcazar Petrol Signature  O DCT 6STR </v>
      </c>
      <c r="E153" s="18">
        <v>2027700</v>
      </c>
      <c r="F153" s="107">
        <f t="shared" si="117"/>
        <v>20277</v>
      </c>
      <c r="G153" s="119">
        <f t="shared" si="111"/>
        <v>72725.18379760001</v>
      </c>
      <c r="H153" s="119">
        <f t="shared" si="112"/>
        <v>74398.149848799992</v>
      </c>
      <c r="I153" s="99"/>
      <c r="J153" s="116">
        <f t="shared" si="113"/>
        <v>58218.5678482</v>
      </c>
      <c r="K153" s="108">
        <f t="shared" si="114"/>
        <v>59473.292386599998</v>
      </c>
      <c r="L153" s="108">
        <f t="shared" si="118"/>
        <v>9443.8467999999993</v>
      </c>
      <c r="M153" s="108">
        <f t="shared" si="119"/>
        <v>11716.898500000001</v>
      </c>
      <c r="N153" s="116">
        <f t="shared" si="120"/>
        <v>13989.950199999999</v>
      </c>
      <c r="O153" s="116">
        <f t="shared" si="107"/>
        <v>5682.62925</v>
      </c>
      <c r="P153" s="118">
        <f t="shared" si="121"/>
        <v>210120</v>
      </c>
      <c r="Q153" s="118">
        <f t="shared" si="122"/>
        <v>216350</v>
      </c>
      <c r="R153" s="98"/>
      <c r="S153" s="98"/>
      <c r="T153" s="18">
        <v>9922</v>
      </c>
      <c r="U153" s="158">
        <v>20649</v>
      </c>
      <c r="V153" s="98">
        <f t="shared" si="108"/>
        <v>40554</v>
      </c>
      <c r="W153" s="18">
        <v>12000</v>
      </c>
      <c r="X153" s="109" t="s">
        <v>764</v>
      </c>
      <c r="Y153" s="98"/>
      <c r="Z153" s="107"/>
      <c r="AA153" s="107"/>
      <c r="AB153" s="109" t="s">
        <v>16</v>
      </c>
      <c r="AC153" s="158">
        <v>24543</v>
      </c>
      <c r="AD153" s="98">
        <v>2136</v>
      </c>
      <c r="AE153" s="97">
        <v>10442</v>
      </c>
      <c r="AF153" s="98">
        <v>17250</v>
      </c>
      <c r="AG153" s="98">
        <v>23442</v>
      </c>
      <c r="AH153" s="97">
        <v>30305</v>
      </c>
      <c r="AI153" s="158">
        <v>53217</v>
      </c>
      <c r="AJ153" s="111">
        <v>5</v>
      </c>
      <c r="AK153" s="111">
        <v>10640</v>
      </c>
      <c r="AL153" s="111">
        <v>914</v>
      </c>
      <c r="AM153" s="111">
        <v>150</v>
      </c>
      <c r="AN153" s="111">
        <f t="shared" si="115"/>
        <v>750</v>
      </c>
      <c r="AO153" s="111"/>
      <c r="AP153" s="111">
        <f t="shared" si="116"/>
        <v>12454</v>
      </c>
      <c r="AQ153" s="111" t="s">
        <v>281</v>
      </c>
      <c r="AR153" s="158">
        <v>12507</v>
      </c>
      <c r="AS153" s="158">
        <v>13569</v>
      </c>
      <c r="AT153" s="111"/>
      <c r="AU153" s="97">
        <v>0.4</v>
      </c>
    </row>
    <row r="154" spans="1:47" ht="14.4" x14ac:dyDescent="0.3">
      <c r="A154" s="88">
        <v>152</v>
      </c>
      <c r="B154" s="88" t="s">
        <v>369</v>
      </c>
      <c r="C154" s="88" t="s">
        <v>646</v>
      </c>
      <c r="D154" s="88" t="str">
        <f t="shared" si="123"/>
        <v xml:space="preserve">Alcazar Petrol Signature  O DCT 7STR </v>
      </c>
      <c r="E154" s="18">
        <v>2027700</v>
      </c>
      <c r="F154" s="107">
        <f t="shared" si="117"/>
        <v>20277</v>
      </c>
      <c r="G154" s="119">
        <f t="shared" si="111"/>
        <v>72725.18379760001</v>
      </c>
      <c r="H154" s="119">
        <f t="shared" si="112"/>
        <v>74398.149848799992</v>
      </c>
      <c r="I154" s="99"/>
      <c r="J154" s="116">
        <f t="shared" si="113"/>
        <v>58218.5678482</v>
      </c>
      <c r="K154" s="108">
        <f t="shared" si="114"/>
        <v>59473.292386599998</v>
      </c>
      <c r="L154" s="108">
        <f t="shared" si="118"/>
        <v>9443.8467999999993</v>
      </c>
      <c r="M154" s="108">
        <f t="shared" si="119"/>
        <v>11716.898500000001</v>
      </c>
      <c r="N154" s="116">
        <f t="shared" si="120"/>
        <v>13989.950199999999</v>
      </c>
      <c r="O154" s="116">
        <f t="shared" si="107"/>
        <v>5682.62925</v>
      </c>
      <c r="P154" s="118">
        <f t="shared" si="121"/>
        <v>210120</v>
      </c>
      <c r="Q154" s="118">
        <f t="shared" si="122"/>
        <v>216350</v>
      </c>
      <c r="R154" s="98"/>
      <c r="S154" s="98"/>
      <c r="T154" s="18">
        <v>9922</v>
      </c>
      <c r="U154" s="158">
        <v>20649</v>
      </c>
      <c r="V154" s="98">
        <f t="shared" si="108"/>
        <v>40554</v>
      </c>
      <c r="W154" s="18">
        <v>12000</v>
      </c>
      <c r="X154" s="109" t="s">
        <v>764</v>
      </c>
      <c r="Y154" s="98"/>
      <c r="Z154" s="107"/>
      <c r="AA154" s="107"/>
      <c r="AB154" s="109" t="s">
        <v>16</v>
      </c>
      <c r="AC154" s="158">
        <v>24543</v>
      </c>
      <c r="AD154" s="98">
        <v>2136</v>
      </c>
      <c r="AE154" s="97">
        <v>10442</v>
      </c>
      <c r="AF154" s="98">
        <v>17250</v>
      </c>
      <c r="AG154" s="98">
        <v>23442</v>
      </c>
      <c r="AH154" s="97">
        <v>30305</v>
      </c>
      <c r="AI154" s="158">
        <v>53217</v>
      </c>
      <c r="AJ154" s="111">
        <v>5</v>
      </c>
      <c r="AK154" s="111">
        <v>10640</v>
      </c>
      <c r="AL154" s="111">
        <v>914</v>
      </c>
      <c r="AM154" s="111">
        <v>150</v>
      </c>
      <c r="AN154" s="111">
        <f t="shared" si="115"/>
        <v>750</v>
      </c>
      <c r="AO154" s="111"/>
      <c r="AP154" s="111">
        <f t="shared" si="116"/>
        <v>12454</v>
      </c>
      <c r="AQ154" s="111" t="s">
        <v>281</v>
      </c>
      <c r="AR154" s="158">
        <v>12507</v>
      </c>
      <c r="AS154" s="158">
        <v>13569</v>
      </c>
      <c r="AT154" s="111"/>
      <c r="AU154" s="97">
        <v>0.4</v>
      </c>
    </row>
    <row r="155" spans="1:47" ht="14.4" x14ac:dyDescent="0.3">
      <c r="A155" s="88">
        <v>153</v>
      </c>
      <c r="B155" s="88" t="s">
        <v>369</v>
      </c>
      <c r="C155" s="88" t="s">
        <v>652</v>
      </c>
      <c r="D155" s="88" t="str">
        <f t="shared" si="123"/>
        <v>Alcazar Petrol Signature  O DCT 6STR DT</v>
      </c>
      <c r="E155" s="18">
        <v>2032600</v>
      </c>
      <c r="F155" s="107">
        <f t="shared" si="117"/>
        <v>20326</v>
      </c>
      <c r="G155" s="119">
        <f t="shared" si="111"/>
        <v>72865.406548800005</v>
      </c>
      <c r="H155" s="119">
        <f t="shared" si="112"/>
        <v>74542.415374399992</v>
      </c>
      <c r="I155" s="99"/>
      <c r="J155" s="116">
        <f t="shared" si="113"/>
        <v>58323.734911599997</v>
      </c>
      <c r="K155" s="108">
        <f t="shared" si="114"/>
        <v>59581.491530799991</v>
      </c>
      <c r="L155" s="108">
        <f t="shared" si="118"/>
        <v>9465.8184000000001</v>
      </c>
      <c r="M155" s="108">
        <f t="shared" si="119"/>
        <v>11744.363000000001</v>
      </c>
      <c r="N155" s="116">
        <f t="shared" si="120"/>
        <v>14022.907599999999</v>
      </c>
      <c r="O155" s="116">
        <f t="shared" si="107"/>
        <v>5696.3615</v>
      </c>
      <c r="P155" s="118">
        <f t="shared" si="121"/>
        <v>210610</v>
      </c>
      <c r="Q155" s="118">
        <f t="shared" si="122"/>
        <v>216840</v>
      </c>
      <c r="R155" s="98"/>
      <c r="S155" s="98"/>
      <c r="T155" s="18">
        <v>9922</v>
      </c>
      <c r="U155" s="158">
        <v>20649</v>
      </c>
      <c r="V155" s="98">
        <f t="shared" si="108"/>
        <v>40652</v>
      </c>
      <c r="W155" s="18">
        <v>12000</v>
      </c>
      <c r="X155" s="109" t="s">
        <v>764</v>
      </c>
      <c r="Y155" s="98"/>
      <c r="Z155" s="107"/>
      <c r="AA155" s="107"/>
      <c r="AB155" s="109" t="s">
        <v>16</v>
      </c>
      <c r="AC155" s="158">
        <v>24543</v>
      </c>
      <c r="AD155" s="98">
        <v>2136</v>
      </c>
      <c r="AE155" s="97">
        <v>10442</v>
      </c>
      <c r="AF155" s="98">
        <v>17250</v>
      </c>
      <c r="AG155" s="98">
        <v>23442</v>
      </c>
      <c r="AH155" s="97">
        <v>30305</v>
      </c>
      <c r="AI155" s="158">
        <v>53217</v>
      </c>
      <c r="AJ155" s="111">
        <v>5</v>
      </c>
      <c r="AK155" s="111">
        <v>10640</v>
      </c>
      <c r="AL155" s="111">
        <v>914</v>
      </c>
      <c r="AM155" s="111">
        <v>150</v>
      </c>
      <c r="AN155" s="111">
        <f t="shared" si="115"/>
        <v>750</v>
      </c>
      <c r="AO155" s="111"/>
      <c r="AP155" s="111">
        <f t="shared" si="116"/>
        <v>12454</v>
      </c>
      <c r="AQ155" s="111" t="s">
        <v>281</v>
      </c>
      <c r="AR155" s="158">
        <v>12507</v>
      </c>
      <c r="AS155" s="158">
        <v>13569</v>
      </c>
      <c r="AT155" s="111"/>
      <c r="AU155" s="97">
        <v>0.4</v>
      </c>
    </row>
    <row r="156" spans="1:47" ht="14.4" x14ac:dyDescent="0.3">
      <c r="A156" s="88">
        <v>154</v>
      </c>
      <c r="B156" s="88" t="s">
        <v>369</v>
      </c>
      <c r="C156" s="88" t="s">
        <v>616</v>
      </c>
      <c r="D156" s="88" t="str">
        <f t="shared" si="123"/>
        <v>Alcazar Petrol Signature O DCT AE 7STR</v>
      </c>
      <c r="E156" s="18">
        <v>2063600</v>
      </c>
      <c r="F156" s="107">
        <f t="shared" si="117"/>
        <v>20636</v>
      </c>
      <c r="G156" s="119">
        <f t="shared" si="111"/>
        <v>73752.530076800002</v>
      </c>
      <c r="H156" s="119">
        <f t="shared" si="112"/>
        <v>75455.115638399991</v>
      </c>
      <c r="I156" s="99"/>
      <c r="J156" s="116">
        <f t="shared" si="113"/>
        <v>58989.077557600001</v>
      </c>
      <c r="K156" s="108">
        <f t="shared" si="114"/>
        <v>60266.016728799994</v>
      </c>
      <c r="L156" s="108">
        <f t="shared" si="118"/>
        <v>9604.8224000000009</v>
      </c>
      <c r="M156" s="108">
        <f t="shared" si="119"/>
        <v>11918.118</v>
      </c>
      <c r="N156" s="116">
        <f t="shared" si="120"/>
        <v>14231.4136</v>
      </c>
      <c r="O156" s="116">
        <f t="shared" si="107"/>
        <v>5783.2390000000005</v>
      </c>
      <c r="P156" s="118">
        <f t="shared" si="121"/>
        <v>213710</v>
      </c>
      <c r="Q156" s="118">
        <f t="shared" si="122"/>
        <v>219940</v>
      </c>
      <c r="R156" s="98"/>
      <c r="S156" s="98"/>
      <c r="T156" s="18">
        <v>9922</v>
      </c>
      <c r="U156" s="158">
        <v>20649</v>
      </c>
      <c r="V156" s="98">
        <f t="shared" si="108"/>
        <v>41272</v>
      </c>
      <c r="W156" s="18">
        <v>12000</v>
      </c>
      <c r="X156" s="109" t="s">
        <v>764</v>
      </c>
      <c r="Y156" s="98"/>
      <c r="Z156" s="107"/>
      <c r="AA156" s="107"/>
      <c r="AB156" s="109" t="s">
        <v>16</v>
      </c>
      <c r="AC156" s="158">
        <v>24543</v>
      </c>
      <c r="AD156" s="98">
        <v>2136</v>
      </c>
      <c r="AE156" s="97">
        <v>10442</v>
      </c>
      <c r="AF156" s="98">
        <v>17250</v>
      </c>
      <c r="AG156" s="98">
        <v>23442</v>
      </c>
      <c r="AH156" s="97">
        <v>30305</v>
      </c>
      <c r="AI156" s="158">
        <v>53217</v>
      </c>
      <c r="AJ156" s="111">
        <v>5</v>
      </c>
      <c r="AK156" s="111">
        <v>10640</v>
      </c>
      <c r="AL156" s="111">
        <v>914</v>
      </c>
      <c r="AM156" s="111">
        <v>150</v>
      </c>
      <c r="AN156" s="111">
        <f t="shared" si="115"/>
        <v>750</v>
      </c>
      <c r="AO156" s="111"/>
      <c r="AP156" s="111">
        <f t="shared" si="116"/>
        <v>12454</v>
      </c>
      <c r="AQ156" s="111" t="s">
        <v>281</v>
      </c>
      <c r="AR156" s="158">
        <v>12507</v>
      </c>
      <c r="AS156" s="158">
        <v>13569</v>
      </c>
      <c r="AT156" s="111"/>
      <c r="AU156" s="97">
        <v>0.4</v>
      </c>
    </row>
    <row r="157" spans="1:47" ht="14.4" x14ac:dyDescent="0.3">
      <c r="A157" s="88">
        <v>155</v>
      </c>
      <c r="B157" s="88" t="s">
        <v>369</v>
      </c>
      <c r="C157" s="88" t="s">
        <v>618</v>
      </c>
      <c r="D157" s="88" t="str">
        <f t="shared" si="123"/>
        <v>Alcazar Petrol Signature O DCT AE 7STR DT</v>
      </c>
      <c r="E157" s="18">
        <v>2063600</v>
      </c>
      <c r="F157" s="107">
        <f t="shared" si="117"/>
        <v>20636</v>
      </c>
      <c r="G157" s="119">
        <f t="shared" si="111"/>
        <v>73752.530076800002</v>
      </c>
      <c r="H157" s="119">
        <f t="shared" si="112"/>
        <v>75455.115638399991</v>
      </c>
      <c r="I157" s="99"/>
      <c r="J157" s="116">
        <f t="shared" si="113"/>
        <v>58989.077557600001</v>
      </c>
      <c r="K157" s="108">
        <f t="shared" si="114"/>
        <v>60266.016728799994</v>
      </c>
      <c r="L157" s="108">
        <f t="shared" si="118"/>
        <v>9604.8224000000009</v>
      </c>
      <c r="M157" s="108">
        <f t="shared" si="119"/>
        <v>11918.118</v>
      </c>
      <c r="N157" s="116">
        <f t="shared" si="120"/>
        <v>14231.4136</v>
      </c>
      <c r="O157" s="116">
        <f t="shared" si="107"/>
        <v>5783.2390000000005</v>
      </c>
      <c r="P157" s="118">
        <f t="shared" si="121"/>
        <v>213710</v>
      </c>
      <c r="Q157" s="118">
        <f t="shared" si="122"/>
        <v>219940</v>
      </c>
      <c r="R157" s="98"/>
      <c r="S157" s="98"/>
      <c r="T157" s="18">
        <v>9922</v>
      </c>
      <c r="U157" s="158">
        <v>20649</v>
      </c>
      <c r="V157" s="98">
        <f t="shared" si="108"/>
        <v>41272</v>
      </c>
      <c r="W157" s="18">
        <v>12000</v>
      </c>
      <c r="X157" s="109" t="s">
        <v>764</v>
      </c>
      <c r="Y157" s="98"/>
      <c r="Z157" s="107"/>
      <c r="AA157" s="107"/>
      <c r="AB157" s="109" t="s">
        <v>16</v>
      </c>
      <c r="AC157" s="158">
        <v>24543</v>
      </c>
      <c r="AD157" s="98">
        <v>2136</v>
      </c>
      <c r="AE157" s="97">
        <v>10442</v>
      </c>
      <c r="AF157" s="98">
        <v>17250</v>
      </c>
      <c r="AG157" s="98">
        <v>23442</v>
      </c>
      <c r="AH157" s="97">
        <v>30305</v>
      </c>
      <c r="AI157" s="158">
        <v>53217</v>
      </c>
      <c r="AJ157" s="111">
        <v>5</v>
      </c>
      <c r="AK157" s="111">
        <v>10640</v>
      </c>
      <c r="AL157" s="111">
        <v>914</v>
      </c>
      <c r="AM157" s="111">
        <v>150</v>
      </c>
      <c r="AN157" s="111">
        <f t="shared" si="115"/>
        <v>750</v>
      </c>
      <c r="AO157" s="111"/>
      <c r="AP157" s="111">
        <f t="shared" si="116"/>
        <v>12454</v>
      </c>
      <c r="AQ157" s="111" t="s">
        <v>281</v>
      </c>
      <c r="AR157" s="158">
        <v>12507</v>
      </c>
      <c r="AS157" s="158">
        <v>13569</v>
      </c>
      <c r="AT157" s="111"/>
      <c r="AU157" s="97">
        <v>0.4</v>
      </c>
    </row>
    <row r="158" spans="1:47" ht="14.4" customHeight="1" x14ac:dyDescent="0.3">
      <c r="A158" s="13">
        <v>156</v>
      </c>
      <c r="B158" s="13" t="s">
        <v>370</v>
      </c>
      <c r="C158" s="13" t="s">
        <v>626</v>
      </c>
      <c r="D158" s="88" t="str">
        <f t="shared" si="123"/>
        <v xml:space="preserve">Alcazar Diesel Prestige  7STR   </v>
      </c>
      <c r="E158" s="18">
        <v>1778200</v>
      </c>
      <c r="F158" s="107">
        <f t="shared" si="117"/>
        <v>17782</v>
      </c>
      <c r="G158" s="119">
        <f t="shared" si="111"/>
        <v>65585.27024160001</v>
      </c>
      <c r="H158" s="119">
        <f t="shared" si="112"/>
        <v>67052.384820799998</v>
      </c>
      <c r="I158" s="99"/>
      <c r="J158" s="116">
        <f t="shared" si="113"/>
        <v>52863.632681199997</v>
      </c>
      <c r="K158" s="108">
        <f t="shared" si="114"/>
        <v>53963.968615599995</v>
      </c>
      <c r="L158" s="108">
        <f t="shared" si="118"/>
        <v>8325.0887999999995</v>
      </c>
      <c r="M158" s="108">
        <f t="shared" si="119"/>
        <v>10318.451000000001</v>
      </c>
      <c r="N158" s="116">
        <f t="shared" si="120"/>
        <v>12311.813200000001</v>
      </c>
      <c r="O158" s="116">
        <f t="shared" si="107"/>
        <v>4983.4055000000008</v>
      </c>
      <c r="P158" s="118">
        <f t="shared" si="121"/>
        <v>185170</v>
      </c>
      <c r="Q158" s="118">
        <f t="shared" ref="Q158:Q170" si="124">IF(E158&lt;600000,E158*5%,IF(E158&lt;1000000,E158*8.75%,IF(E158&gt;=1000000,E158*12.5%)))+600+1500+230+4000+2000+4500+750</f>
        <v>235855</v>
      </c>
      <c r="R158" s="98"/>
      <c r="S158" s="98"/>
      <c r="T158" s="18">
        <v>9922</v>
      </c>
      <c r="U158" s="158">
        <v>24779</v>
      </c>
      <c r="V158" s="98">
        <f t="shared" si="108"/>
        <v>29636.666666666668</v>
      </c>
      <c r="W158" s="18">
        <v>12000</v>
      </c>
      <c r="X158" s="112" t="s">
        <v>762</v>
      </c>
      <c r="Y158" s="98"/>
      <c r="Z158" s="107"/>
      <c r="AA158" s="107"/>
      <c r="AB158" s="162" t="s">
        <v>16</v>
      </c>
      <c r="AC158" s="158">
        <v>29617</v>
      </c>
      <c r="AD158" s="98">
        <v>2136</v>
      </c>
      <c r="AE158" s="97">
        <v>10442</v>
      </c>
      <c r="AF158" s="98">
        <v>17250</v>
      </c>
      <c r="AG158" s="98">
        <v>23442</v>
      </c>
      <c r="AH158" s="97">
        <v>30305</v>
      </c>
      <c r="AI158" s="159" t="s">
        <v>16</v>
      </c>
      <c r="AJ158" s="111">
        <v>5</v>
      </c>
      <c r="AK158" s="111">
        <v>10640</v>
      </c>
      <c r="AL158" s="111">
        <v>914</v>
      </c>
      <c r="AM158" s="111">
        <v>150</v>
      </c>
      <c r="AN158" s="111">
        <f t="shared" si="115"/>
        <v>750</v>
      </c>
      <c r="AO158" s="111"/>
      <c r="AP158" s="111">
        <f t="shared" si="116"/>
        <v>12454</v>
      </c>
      <c r="AQ158" s="111" t="s">
        <v>281</v>
      </c>
      <c r="AR158" s="158">
        <v>15339</v>
      </c>
      <c r="AS158" s="158">
        <v>16755</v>
      </c>
      <c r="AT158" s="111"/>
      <c r="AU158" s="97">
        <v>0.4</v>
      </c>
    </row>
    <row r="159" spans="1:47" ht="14.4" x14ac:dyDescent="0.3">
      <c r="A159" s="13">
        <v>157</v>
      </c>
      <c r="B159" s="13" t="s">
        <v>370</v>
      </c>
      <c r="C159" s="13" t="s">
        <v>628</v>
      </c>
      <c r="D159" s="88" t="str">
        <f t="shared" si="123"/>
        <v xml:space="preserve">Alcazar Diesel Prestige  O AT 7STR </v>
      </c>
      <c r="E159" s="18">
        <v>1924900</v>
      </c>
      <c r="F159" s="107">
        <f t="shared" si="117"/>
        <v>19249</v>
      </c>
      <c r="G159" s="119">
        <f t="shared" si="111"/>
        <v>69783.3677112</v>
      </c>
      <c r="H159" s="119">
        <f t="shared" si="112"/>
        <v>71371.518005599995</v>
      </c>
      <c r="I159" s="99"/>
      <c r="J159" s="116">
        <f t="shared" si="113"/>
        <v>56012.205783400001</v>
      </c>
      <c r="K159" s="108">
        <f t="shared" si="114"/>
        <v>57203.318504199997</v>
      </c>
      <c r="L159" s="108">
        <f t="shared" si="118"/>
        <v>8982.891599999999</v>
      </c>
      <c r="M159" s="108">
        <f t="shared" si="119"/>
        <v>11140.7045</v>
      </c>
      <c r="N159" s="116">
        <f t="shared" si="120"/>
        <v>13298.517400000001</v>
      </c>
      <c r="O159" s="116">
        <f t="shared" si="107"/>
        <v>5394.5322500000002</v>
      </c>
      <c r="P159" s="118">
        <f t="shared" si="121"/>
        <v>199840</v>
      </c>
      <c r="Q159" s="118">
        <f t="shared" si="124"/>
        <v>254192.5</v>
      </c>
      <c r="R159" s="98"/>
      <c r="S159" s="98"/>
      <c r="T159" s="18">
        <v>9922</v>
      </c>
      <c r="U159" s="158">
        <v>24779</v>
      </c>
      <c r="V159" s="98">
        <f t="shared" si="108"/>
        <v>32081.666666666668</v>
      </c>
      <c r="W159" s="18">
        <v>12000</v>
      </c>
      <c r="X159" s="112" t="s">
        <v>761</v>
      </c>
      <c r="Y159" s="98"/>
      <c r="Z159" s="107"/>
      <c r="AA159" s="107"/>
      <c r="AB159" s="162" t="s">
        <v>16</v>
      </c>
      <c r="AC159" s="158">
        <v>29617</v>
      </c>
      <c r="AD159" s="98">
        <v>2136</v>
      </c>
      <c r="AE159" s="97">
        <v>10442</v>
      </c>
      <c r="AF159" s="98">
        <v>17250</v>
      </c>
      <c r="AG159" s="98">
        <v>23442</v>
      </c>
      <c r="AH159" s="97">
        <v>30305</v>
      </c>
      <c r="AI159" s="159" t="s">
        <v>16</v>
      </c>
      <c r="AJ159" s="111">
        <v>5</v>
      </c>
      <c r="AK159" s="111">
        <v>10640</v>
      </c>
      <c r="AL159" s="111">
        <v>914</v>
      </c>
      <c r="AM159" s="111">
        <v>150</v>
      </c>
      <c r="AN159" s="111">
        <f t="shared" si="115"/>
        <v>750</v>
      </c>
      <c r="AO159" s="111"/>
      <c r="AP159" s="111">
        <f t="shared" si="116"/>
        <v>12454</v>
      </c>
      <c r="AQ159" s="111" t="s">
        <v>281</v>
      </c>
      <c r="AR159" s="158">
        <v>15339</v>
      </c>
      <c r="AS159" s="158">
        <v>16755</v>
      </c>
      <c r="AT159" s="111"/>
      <c r="AU159" s="97">
        <v>0.4</v>
      </c>
    </row>
    <row r="160" spans="1:47" ht="14.4" x14ac:dyDescent="0.3">
      <c r="A160" s="13">
        <v>158</v>
      </c>
      <c r="B160" s="13" t="s">
        <v>370</v>
      </c>
      <c r="C160" s="13" t="s">
        <v>620</v>
      </c>
      <c r="D160" s="88" t="str">
        <f t="shared" si="123"/>
        <v xml:space="preserve">Alcazar Diesel Platinum  7STR   </v>
      </c>
      <c r="E160" s="18">
        <v>1968800</v>
      </c>
      <c r="F160" s="107">
        <f t="shared" si="117"/>
        <v>19688</v>
      </c>
      <c r="G160" s="119">
        <f t="shared" si="111"/>
        <v>71039.649094399996</v>
      </c>
      <c r="H160" s="119">
        <f t="shared" si="112"/>
        <v>72664.019347199996</v>
      </c>
      <c r="I160" s="99"/>
      <c r="J160" s="116">
        <f t="shared" si="113"/>
        <v>56954.416820799997</v>
      </c>
      <c r="K160" s="108">
        <f t="shared" si="114"/>
        <v>58172.694510400004</v>
      </c>
      <c r="L160" s="108">
        <f t="shared" si="118"/>
        <v>9179.7392</v>
      </c>
      <c r="M160" s="108">
        <f t="shared" si="119"/>
        <v>11386.764000000001</v>
      </c>
      <c r="N160" s="116">
        <f t="shared" si="120"/>
        <v>13593.7888</v>
      </c>
      <c r="O160" s="116">
        <f t="shared" si="107"/>
        <v>5517.5620000000008</v>
      </c>
      <c r="P160" s="118">
        <f t="shared" si="121"/>
        <v>204230</v>
      </c>
      <c r="Q160" s="118">
        <f t="shared" si="124"/>
        <v>259680</v>
      </c>
      <c r="R160" s="98"/>
      <c r="S160" s="98"/>
      <c r="T160" s="18">
        <v>9922</v>
      </c>
      <c r="U160" s="158">
        <v>24779</v>
      </c>
      <c r="V160" s="98">
        <f t="shared" si="108"/>
        <v>32813.333333333336</v>
      </c>
      <c r="W160" s="18">
        <v>12000</v>
      </c>
      <c r="X160" s="112" t="s">
        <v>762</v>
      </c>
      <c r="Y160" s="98"/>
      <c r="Z160" s="107"/>
      <c r="AA160" s="107"/>
      <c r="AB160" s="162" t="s">
        <v>16</v>
      </c>
      <c r="AC160" s="158">
        <v>29617</v>
      </c>
      <c r="AD160" s="98">
        <v>2136</v>
      </c>
      <c r="AE160" s="97">
        <v>10442</v>
      </c>
      <c r="AF160" s="98">
        <v>17250</v>
      </c>
      <c r="AG160" s="98">
        <v>23442</v>
      </c>
      <c r="AH160" s="97">
        <v>30305</v>
      </c>
      <c r="AI160" s="159" t="s">
        <v>16</v>
      </c>
      <c r="AJ160" s="111">
        <v>5</v>
      </c>
      <c r="AK160" s="111">
        <v>10640</v>
      </c>
      <c r="AL160" s="111">
        <v>914</v>
      </c>
      <c r="AM160" s="111">
        <v>150</v>
      </c>
      <c r="AN160" s="111">
        <f t="shared" si="115"/>
        <v>750</v>
      </c>
      <c r="AO160" s="111"/>
      <c r="AP160" s="111">
        <f t="shared" si="116"/>
        <v>12454</v>
      </c>
      <c r="AQ160" s="111" t="s">
        <v>281</v>
      </c>
      <c r="AR160" s="158">
        <v>15339</v>
      </c>
      <c r="AS160" s="158">
        <v>16755</v>
      </c>
      <c r="AT160" s="111"/>
      <c r="AU160" s="97">
        <v>0.4</v>
      </c>
    </row>
    <row r="161" spans="1:47" ht="14.4" x14ac:dyDescent="0.3">
      <c r="A161" s="13">
        <v>159</v>
      </c>
      <c r="B161" s="13" t="s">
        <v>370</v>
      </c>
      <c r="C161" s="13" t="s">
        <v>613</v>
      </c>
      <c r="D161" s="88" t="str">
        <f t="shared" si="123"/>
        <v>Alcazar Diesel Platinum AE 7STR</v>
      </c>
      <c r="E161" s="18">
        <v>2004700</v>
      </c>
      <c r="F161" s="107">
        <f t="shared" si="117"/>
        <v>20047</v>
      </c>
      <c r="G161" s="119">
        <f t="shared" si="111"/>
        <v>72066.995373600002</v>
      </c>
      <c r="H161" s="119">
        <f t="shared" si="112"/>
        <v>73720.985136799995</v>
      </c>
      <c r="I161" s="99"/>
      <c r="J161" s="116">
        <f t="shared" si="113"/>
        <v>57724.926530199999</v>
      </c>
      <c r="K161" s="108">
        <f t="shared" si="114"/>
        <v>58965.418852599993</v>
      </c>
      <c r="L161" s="108">
        <f t="shared" si="118"/>
        <v>9340.7148000000016</v>
      </c>
      <c r="M161" s="108">
        <f t="shared" si="119"/>
        <v>11587.9835</v>
      </c>
      <c r="N161" s="116">
        <f t="shared" si="120"/>
        <v>13835.252200000001</v>
      </c>
      <c r="O161" s="116">
        <f t="shared" si="107"/>
        <v>5618.1717500000004</v>
      </c>
      <c r="P161" s="118">
        <f t="shared" si="121"/>
        <v>207820</v>
      </c>
      <c r="Q161" s="118">
        <f t="shared" si="124"/>
        <v>264167.5</v>
      </c>
      <c r="R161" s="98"/>
      <c r="S161" s="98"/>
      <c r="T161" s="18">
        <v>9922</v>
      </c>
      <c r="U161" s="158">
        <v>24779</v>
      </c>
      <c r="V161" s="98">
        <f t="shared" si="108"/>
        <v>40094</v>
      </c>
      <c r="W161" s="18">
        <v>12000</v>
      </c>
      <c r="X161" s="112" t="s">
        <v>762</v>
      </c>
      <c r="Y161" s="98"/>
      <c r="Z161" s="107"/>
      <c r="AA161" s="107"/>
      <c r="AB161" s="162" t="s">
        <v>16</v>
      </c>
      <c r="AC161" s="158">
        <v>29617</v>
      </c>
      <c r="AD161" s="98">
        <v>2136</v>
      </c>
      <c r="AE161" s="97">
        <v>10442</v>
      </c>
      <c r="AF161" s="98">
        <v>17250</v>
      </c>
      <c r="AG161" s="98">
        <v>23442</v>
      </c>
      <c r="AH161" s="97">
        <v>30305</v>
      </c>
      <c r="AI161" s="159" t="s">
        <v>16</v>
      </c>
      <c r="AJ161" s="111">
        <v>5</v>
      </c>
      <c r="AK161" s="111">
        <v>10640</v>
      </c>
      <c r="AL161" s="111">
        <v>914</v>
      </c>
      <c r="AM161" s="111">
        <v>150</v>
      </c>
      <c r="AN161" s="111">
        <f t="shared" si="115"/>
        <v>750</v>
      </c>
      <c r="AO161" s="111"/>
      <c r="AP161" s="111">
        <f t="shared" si="116"/>
        <v>12454</v>
      </c>
      <c r="AQ161" s="111" t="s">
        <v>281</v>
      </c>
      <c r="AR161" s="158">
        <v>15339</v>
      </c>
      <c r="AS161" s="158">
        <v>16755</v>
      </c>
      <c r="AT161" s="111"/>
      <c r="AU161" s="97">
        <v>0.4</v>
      </c>
    </row>
    <row r="162" spans="1:47" ht="14.4" x14ac:dyDescent="0.3">
      <c r="A162" s="13">
        <v>160</v>
      </c>
      <c r="B162" s="13" t="s">
        <v>370</v>
      </c>
      <c r="C162" s="13" t="s">
        <v>630</v>
      </c>
      <c r="D162" s="88" t="str">
        <f t="shared" si="123"/>
        <v xml:space="preserve">Alcazar Diesel Signature  6STR   </v>
      </c>
      <c r="E162" s="18">
        <v>2017700</v>
      </c>
      <c r="F162" s="107">
        <f t="shared" si="117"/>
        <v>20177</v>
      </c>
      <c r="G162" s="119">
        <f t="shared" si="111"/>
        <v>72439.014917599998</v>
      </c>
      <c r="H162" s="119">
        <f t="shared" si="112"/>
        <v>74103.730408800009</v>
      </c>
      <c r="I162" s="99"/>
      <c r="J162" s="116">
        <f t="shared" si="113"/>
        <v>58003.941188199999</v>
      </c>
      <c r="K162" s="108">
        <f t="shared" si="114"/>
        <v>59252.4778066</v>
      </c>
      <c r="L162" s="108">
        <f t="shared" si="118"/>
        <v>9399.0067999999992</v>
      </c>
      <c r="M162" s="108">
        <f t="shared" si="119"/>
        <v>11660.8485</v>
      </c>
      <c r="N162" s="116">
        <f t="shared" si="120"/>
        <v>13922.690199999999</v>
      </c>
      <c r="O162" s="116">
        <f t="shared" si="107"/>
        <v>5654.6042500000003</v>
      </c>
      <c r="P162" s="118">
        <f t="shared" si="121"/>
        <v>209120</v>
      </c>
      <c r="Q162" s="118">
        <f t="shared" si="124"/>
        <v>265792.5</v>
      </c>
      <c r="R162" s="98"/>
      <c r="S162" s="98"/>
      <c r="T162" s="18">
        <v>9922</v>
      </c>
      <c r="U162" s="158">
        <v>24779</v>
      </c>
      <c r="V162" s="98">
        <f t="shared" si="108"/>
        <v>40354</v>
      </c>
      <c r="W162" s="18">
        <v>12000</v>
      </c>
      <c r="X162" s="112" t="s">
        <v>762</v>
      </c>
      <c r="Y162" s="98"/>
      <c r="Z162" s="107"/>
      <c r="AA162" s="107"/>
      <c r="AB162" s="162" t="s">
        <v>16</v>
      </c>
      <c r="AC162" s="158">
        <v>29617</v>
      </c>
      <c r="AD162" s="98">
        <v>2136</v>
      </c>
      <c r="AE162" s="97">
        <v>10442</v>
      </c>
      <c r="AF162" s="98">
        <v>17250</v>
      </c>
      <c r="AG162" s="98">
        <v>23442</v>
      </c>
      <c r="AH162" s="97">
        <v>30305</v>
      </c>
      <c r="AI162" s="159" t="s">
        <v>16</v>
      </c>
      <c r="AJ162" s="111">
        <v>5</v>
      </c>
      <c r="AK162" s="111">
        <v>10640</v>
      </c>
      <c r="AL162" s="111">
        <v>914</v>
      </c>
      <c r="AM162" s="111">
        <v>150</v>
      </c>
      <c r="AN162" s="111">
        <f t="shared" si="115"/>
        <v>750</v>
      </c>
      <c r="AO162" s="111"/>
      <c r="AP162" s="111">
        <f t="shared" si="116"/>
        <v>12454</v>
      </c>
      <c r="AQ162" s="111" t="s">
        <v>281</v>
      </c>
      <c r="AR162" s="158">
        <v>15339</v>
      </c>
      <c r="AS162" s="158">
        <v>16755</v>
      </c>
      <c r="AT162" s="111"/>
      <c r="AU162" s="97">
        <v>0.4</v>
      </c>
    </row>
    <row r="163" spans="1:47" ht="14.4" x14ac:dyDescent="0.3">
      <c r="A163" s="13">
        <v>161</v>
      </c>
      <c r="B163" s="13" t="s">
        <v>370</v>
      </c>
      <c r="C163" s="13" t="s">
        <v>622</v>
      </c>
      <c r="D163" s="88" t="str">
        <f t="shared" si="123"/>
        <v xml:space="preserve">Alcazar Diesel Platinum  O AT 6STR </v>
      </c>
      <c r="E163" s="18">
        <v>2081300</v>
      </c>
      <c r="F163" s="107">
        <f t="shared" si="117"/>
        <v>20813</v>
      </c>
      <c r="G163" s="119">
        <f t="shared" si="111"/>
        <v>74259.0489944</v>
      </c>
      <c r="H163" s="119">
        <f t="shared" si="112"/>
        <v>75976.238047199993</v>
      </c>
      <c r="I163" s="99"/>
      <c r="J163" s="116">
        <f t="shared" si="113"/>
        <v>59368.966745799997</v>
      </c>
      <c r="K163" s="108">
        <f t="shared" si="114"/>
        <v>60656.858535399995</v>
      </c>
      <c r="L163" s="108">
        <f t="shared" si="118"/>
        <v>9684.1892000000007</v>
      </c>
      <c r="M163" s="108">
        <f t="shared" si="119"/>
        <v>12017.326500000001</v>
      </c>
      <c r="N163" s="116">
        <f t="shared" si="120"/>
        <v>14350.4638</v>
      </c>
      <c r="O163" s="116">
        <f t="shared" ref="O163:O170" si="125">(((E163*95%)*0.25%))+((((E163*95%)*0.25%))*18%)</f>
        <v>5832.8432500000008</v>
      </c>
      <c r="P163" s="118">
        <f t="shared" si="121"/>
        <v>215480</v>
      </c>
      <c r="Q163" s="118">
        <f t="shared" si="124"/>
        <v>273742.5</v>
      </c>
      <c r="R163" s="98"/>
      <c r="S163" s="98"/>
      <c r="T163" s="18">
        <v>9922</v>
      </c>
      <c r="U163" s="158">
        <v>24779</v>
      </c>
      <c r="V163" s="98">
        <f t="shared" ref="V163:V178" si="126">((IF(E163&lt;1000000,E163*8%,IF(AND(E163&gt;=1000000,E163&lt;2000000),E163*10%,IF(E163&gt;=2000000,E163*12%,0)))*1.25*2)/15)</f>
        <v>41626</v>
      </c>
      <c r="W163" s="18">
        <v>12000</v>
      </c>
      <c r="X163" s="112" t="s">
        <v>761</v>
      </c>
      <c r="Y163" s="98"/>
      <c r="Z163" s="107"/>
      <c r="AA163" s="107"/>
      <c r="AB163" s="162" t="s">
        <v>16</v>
      </c>
      <c r="AC163" s="158">
        <v>29617</v>
      </c>
      <c r="AD163" s="98">
        <v>2136</v>
      </c>
      <c r="AE163" s="97">
        <v>10442</v>
      </c>
      <c r="AF163" s="98">
        <v>17250</v>
      </c>
      <c r="AG163" s="98">
        <v>23442</v>
      </c>
      <c r="AH163" s="97">
        <v>30305</v>
      </c>
      <c r="AI163" s="159" t="s">
        <v>16</v>
      </c>
      <c r="AJ163" s="111">
        <v>5</v>
      </c>
      <c r="AK163" s="111">
        <v>10640</v>
      </c>
      <c r="AL163" s="111">
        <v>914</v>
      </c>
      <c r="AM163" s="111">
        <v>150</v>
      </c>
      <c r="AN163" s="111">
        <f t="shared" si="115"/>
        <v>750</v>
      </c>
      <c r="AO163" s="111"/>
      <c r="AP163" s="111">
        <f t="shared" si="116"/>
        <v>12454</v>
      </c>
      <c r="AQ163" s="111" t="s">
        <v>281</v>
      </c>
      <c r="AR163" s="158">
        <v>15339</v>
      </c>
      <c r="AS163" s="158">
        <v>16755</v>
      </c>
      <c r="AT163" s="111"/>
      <c r="AU163" s="97">
        <v>0.4</v>
      </c>
    </row>
    <row r="164" spans="1:47" ht="14.4" x14ac:dyDescent="0.3">
      <c r="A164" s="13">
        <v>162</v>
      </c>
      <c r="B164" s="13" t="s">
        <v>370</v>
      </c>
      <c r="C164" s="13" t="s">
        <v>624</v>
      </c>
      <c r="D164" s="88" t="str">
        <f t="shared" si="123"/>
        <v xml:space="preserve">Alcazar Diesel Platinum  O AT 7STR </v>
      </c>
      <c r="E164" s="18">
        <v>2081300</v>
      </c>
      <c r="F164" s="107">
        <f t="shared" si="117"/>
        <v>20813</v>
      </c>
      <c r="G164" s="119">
        <f t="shared" si="111"/>
        <v>74259.0489944</v>
      </c>
      <c r="H164" s="119">
        <f t="shared" si="112"/>
        <v>75976.238047199993</v>
      </c>
      <c r="I164" s="99"/>
      <c r="J164" s="116">
        <f t="shared" si="113"/>
        <v>59368.966745799997</v>
      </c>
      <c r="K164" s="108">
        <f t="shared" si="114"/>
        <v>60656.858535399995</v>
      </c>
      <c r="L164" s="108">
        <f t="shared" si="118"/>
        <v>9684.1892000000007</v>
      </c>
      <c r="M164" s="108">
        <f t="shared" si="119"/>
        <v>12017.326500000001</v>
      </c>
      <c r="N164" s="116">
        <f t="shared" si="120"/>
        <v>14350.4638</v>
      </c>
      <c r="O164" s="116">
        <f t="shared" si="125"/>
        <v>5832.8432500000008</v>
      </c>
      <c r="P164" s="118">
        <f t="shared" si="121"/>
        <v>215480</v>
      </c>
      <c r="Q164" s="118">
        <f t="shared" si="124"/>
        <v>273742.5</v>
      </c>
      <c r="R164" s="98"/>
      <c r="S164" s="98"/>
      <c r="T164" s="18">
        <v>9922</v>
      </c>
      <c r="U164" s="158">
        <v>24779</v>
      </c>
      <c r="V164" s="98">
        <f t="shared" si="126"/>
        <v>41626</v>
      </c>
      <c r="W164" s="18">
        <v>12000</v>
      </c>
      <c r="X164" s="112" t="s">
        <v>761</v>
      </c>
      <c r="Y164" s="98"/>
      <c r="Z164" s="107"/>
      <c r="AA164" s="107"/>
      <c r="AB164" s="162" t="s">
        <v>16</v>
      </c>
      <c r="AC164" s="158">
        <v>29617</v>
      </c>
      <c r="AD164" s="98">
        <v>2136</v>
      </c>
      <c r="AE164" s="97">
        <v>10442</v>
      </c>
      <c r="AF164" s="98">
        <v>17250</v>
      </c>
      <c r="AG164" s="98">
        <v>23442</v>
      </c>
      <c r="AH164" s="97">
        <v>30305</v>
      </c>
      <c r="AI164" s="159" t="s">
        <v>16</v>
      </c>
      <c r="AJ164" s="111">
        <v>5</v>
      </c>
      <c r="AK164" s="111">
        <v>10640</v>
      </c>
      <c r="AL164" s="111">
        <v>914</v>
      </c>
      <c r="AM164" s="111">
        <v>150</v>
      </c>
      <c r="AN164" s="111">
        <f t="shared" si="115"/>
        <v>750</v>
      </c>
      <c r="AO164" s="111"/>
      <c r="AP164" s="111">
        <f t="shared" si="116"/>
        <v>12454</v>
      </c>
      <c r="AQ164" s="111" t="s">
        <v>281</v>
      </c>
      <c r="AR164" s="158">
        <v>15339</v>
      </c>
      <c r="AS164" s="158">
        <v>16755</v>
      </c>
      <c r="AT164" s="111"/>
      <c r="AU164" s="97">
        <v>0.4</v>
      </c>
    </row>
    <row r="165" spans="1:47" ht="14.4" x14ac:dyDescent="0.3">
      <c r="A165" s="13">
        <v>163</v>
      </c>
      <c r="B165" s="13" t="s">
        <v>370</v>
      </c>
      <c r="C165" s="13" t="s">
        <v>634</v>
      </c>
      <c r="D165" s="88" t="str">
        <f t="shared" si="123"/>
        <v xml:space="preserve">Alcazar Diesel Signature  O AT 7STR </v>
      </c>
      <c r="E165" s="18">
        <v>2092500</v>
      </c>
      <c r="F165" s="107">
        <f t="shared" si="117"/>
        <v>20925</v>
      </c>
      <c r="G165" s="119">
        <f t="shared" si="111"/>
        <v>74579.558140000008</v>
      </c>
      <c r="H165" s="119">
        <f t="shared" si="112"/>
        <v>76305.987819999995</v>
      </c>
      <c r="I165" s="99"/>
      <c r="J165" s="116">
        <f t="shared" si="113"/>
        <v>59609.348604999999</v>
      </c>
      <c r="K165" s="108">
        <f t="shared" si="114"/>
        <v>60904.170865</v>
      </c>
      <c r="L165" s="108">
        <f t="shared" si="118"/>
        <v>9734.41</v>
      </c>
      <c r="M165" s="108">
        <f t="shared" si="119"/>
        <v>12080.102500000001</v>
      </c>
      <c r="N165" s="116">
        <f t="shared" si="120"/>
        <v>14425.795</v>
      </c>
      <c r="O165" s="116">
        <f t="shared" si="125"/>
        <v>5864.2312499999998</v>
      </c>
      <c r="P165" s="118">
        <f t="shared" si="121"/>
        <v>216600</v>
      </c>
      <c r="Q165" s="118">
        <f t="shared" si="124"/>
        <v>275142.5</v>
      </c>
      <c r="R165" s="98"/>
      <c r="S165" s="98"/>
      <c r="T165" s="18">
        <v>9922</v>
      </c>
      <c r="U165" s="158">
        <v>24779</v>
      </c>
      <c r="V165" s="98">
        <f t="shared" si="126"/>
        <v>41850</v>
      </c>
      <c r="W165" s="18">
        <v>12000</v>
      </c>
      <c r="X165" s="112" t="s">
        <v>761</v>
      </c>
      <c r="Y165" s="98"/>
      <c r="Z165" s="107"/>
      <c r="AA165" s="107"/>
      <c r="AB165" s="162" t="s">
        <v>16</v>
      </c>
      <c r="AC165" s="158">
        <v>29617</v>
      </c>
      <c r="AD165" s="98">
        <v>2136</v>
      </c>
      <c r="AE165" s="97">
        <v>10442</v>
      </c>
      <c r="AF165" s="98">
        <v>17250</v>
      </c>
      <c r="AG165" s="98">
        <v>23442</v>
      </c>
      <c r="AH165" s="97">
        <v>30305</v>
      </c>
      <c r="AI165" s="159" t="s">
        <v>16</v>
      </c>
      <c r="AJ165" s="111">
        <v>5</v>
      </c>
      <c r="AK165" s="111">
        <v>10640</v>
      </c>
      <c r="AL165" s="111">
        <v>914</v>
      </c>
      <c r="AM165" s="111">
        <v>150</v>
      </c>
      <c r="AN165" s="111">
        <f t="shared" si="115"/>
        <v>750</v>
      </c>
      <c r="AO165" s="111"/>
      <c r="AP165" s="111">
        <f t="shared" si="116"/>
        <v>12454</v>
      </c>
      <c r="AQ165" s="111" t="s">
        <v>281</v>
      </c>
      <c r="AR165" s="158">
        <v>15339</v>
      </c>
      <c r="AS165" s="158">
        <v>16755</v>
      </c>
      <c r="AT165" s="111"/>
      <c r="AU165" s="97">
        <v>0.4</v>
      </c>
    </row>
    <row r="166" spans="1:47" ht="14.4" x14ac:dyDescent="0.3">
      <c r="A166" s="13">
        <v>164</v>
      </c>
      <c r="B166" s="13" t="s">
        <v>370</v>
      </c>
      <c r="C166" s="13" t="s">
        <v>632</v>
      </c>
      <c r="D166" s="88" t="str">
        <f t="shared" si="123"/>
        <v xml:space="preserve">Alcazar Diesel Signature  O AT 6STR </v>
      </c>
      <c r="E166" s="18">
        <v>2092500</v>
      </c>
      <c r="F166" s="107">
        <f t="shared" si="117"/>
        <v>20925</v>
      </c>
      <c r="G166" s="119">
        <f t="shared" si="111"/>
        <v>74579.558140000008</v>
      </c>
      <c r="H166" s="119">
        <f t="shared" si="112"/>
        <v>76305.987819999995</v>
      </c>
      <c r="I166" s="99"/>
      <c r="J166" s="116">
        <f t="shared" si="113"/>
        <v>59609.348604999999</v>
      </c>
      <c r="K166" s="108">
        <f t="shared" si="114"/>
        <v>60904.170865</v>
      </c>
      <c r="L166" s="108">
        <f t="shared" si="118"/>
        <v>9734.41</v>
      </c>
      <c r="M166" s="108">
        <f t="shared" si="119"/>
        <v>12080.102500000001</v>
      </c>
      <c r="N166" s="116">
        <f t="shared" si="120"/>
        <v>14425.795</v>
      </c>
      <c r="O166" s="116">
        <f t="shared" si="125"/>
        <v>5864.2312499999998</v>
      </c>
      <c r="P166" s="118">
        <f t="shared" si="121"/>
        <v>216600</v>
      </c>
      <c r="Q166" s="118">
        <f t="shared" si="124"/>
        <v>275142.5</v>
      </c>
      <c r="R166" s="98"/>
      <c r="S166" s="98"/>
      <c r="T166" s="18">
        <v>9922</v>
      </c>
      <c r="U166" s="158">
        <v>24779</v>
      </c>
      <c r="V166" s="98">
        <f t="shared" si="126"/>
        <v>41850</v>
      </c>
      <c r="W166" s="18">
        <v>12000</v>
      </c>
      <c r="X166" s="112" t="s">
        <v>761</v>
      </c>
      <c r="Y166" s="98"/>
      <c r="Z166" s="107"/>
      <c r="AA166" s="107"/>
      <c r="AB166" s="162" t="s">
        <v>16</v>
      </c>
      <c r="AC166" s="158">
        <v>29617</v>
      </c>
      <c r="AD166" s="98">
        <v>2136</v>
      </c>
      <c r="AE166" s="97">
        <v>10442</v>
      </c>
      <c r="AF166" s="98">
        <v>17250</v>
      </c>
      <c r="AG166" s="98">
        <v>23442</v>
      </c>
      <c r="AH166" s="97">
        <v>30305</v>
      </c>
      <c r="AI166" s="159" t="s">
        <v>16</v>
      </c>
      <c r="AJ166" s="111">
        <v>5</v>
      </c>
      <c r="AK166" s="111">
        <v>10640</v>
      </c>
      <c r="AL166" s="111">
        <v>914</v>
      </c>
      <c r="AM166" s="111">
        <v>150</v>
      </c>
      <c r="AN166" s="111">
        <f t="shared" si="115"/>
        <v>750</v>
      </c>
      <c r="AO166" s="111"/>
      <c r="AP166" s="111">
        <f t="shared" si="116"/>
        <v>12454</v>
      </c>
      <c r="AQ166" s="111" t="s">
        <v>281</v>
      </c>
      <c r="AR166" s="158">
        <v>15339</v>
      </c>
      <c r="AS166" s="158">
        <v>16755</v>
      </c>
      <c r="AT166" s="111"/>
      <c r="AU166" s="97">
        <v>0.4</v>
      </c>
    </row>
    <row r="167" spans="1:47" ht="14.4" x14ac:dyDescent="0.3">
      <c r="A167" s="13">
        <v>165</v>
      </c>
      <c r="B167" s="13" t="s">
        <v>370</v>
      </c>
      <c r="C167" s="13" t="s">
        <v>648</v>
      </c>
      <c r="D167" s="88" t="str">
        <f t="shared" si="123"/>
        <v xml:space="preserve">Alcazar Diesel Signature  6STR DT  </v>
      </c>
      <c r="E167" s="18">
        <v>2032700</v>
      </c>
      <c r="F167" s="107">
        <f t="shared" si="117"/>
        <v>20327</v>
      </c>
      <c r="G167" s="119">
        <f t="shared" si="111"/>
        <v>72868.268237600001</v>
      </c>
      <c r="H167" s="119">
        <f t="shared" si="112"/>
        <v>74545.359568799991</v>
      </c>
      <c r="I167" s="99"/>
      <c r="J167" s="116">
        <f t="shared" si="113"/>
        <v>58325.881178199998</v>
      </c>
      <c r="K167" s="108">
        <f t="shared" si="114"/>
        <v>59583.699676599994</v>
      </c>
      <c r="L167" s="108">
        <f t="shared" si="118"/>
        <v>9466.2667999999994</v>
      </c>
      <c r="M167" s="108">
        <f t="shared" si="119"/>
        <v>11744.923500000001</v>
      </c>
      <c r="N167" s="116">
        <f t="shared" si="120"/>
        <v>14023.5802</v>
      </c>
      <c r="O167" s="116">
        <f t="shared" si="125"/>
        <v>5696.6417500000007</v>
      </c>
      <c r="P167" s="118">
        <f t="shared" si="121"/>
        <v>210620</v>
      </c>
      <c r="Q167" s="118">
        <f t="shared" si="124"/>
        <v>267667.5</v>
      </c>
      <c r="R167" s="98"/>
      <c r="S167" s="98"/>
      <c r="T167" s="18">
        <v>9922</v>
      </c>
      <c r="U167" s="158">
        <v>24779</v>
      </c>
      <c r="V167" s="98">
        <f t="shared" si="126"/>
        <v>40654</v>
      </c>
      <c r="W167" s="18">
        <v>12000</v>
      </c>
      <c r="X167" s="112" t="s">
        <v>762</v>
      </c>
      <c r="Y167" s="98"/>
      <c r="Z167" s="107"/>
      <c r="AA167" s="107"/>
      <c r="AB167" s="162" t="s">
        <v>16</v>
      </c>
      <c r="AC167" s="158">
        <v>29617</v>
      </c>
      <c r="AD167" s="98">
        <v>2136</v>
      </c>
      <c r="AE167" s="97">
        <v>10442</v>
      </c>
      <c r="AF167" s="98">
        <v>17250</v>
      </c>
      <c r="AG167" s="98">
        <v>23442</v>
      </c>
      <c r="AH167" s="97">
        <v>30305</v>
      </c>
      <c r="AI167" s="159" t="s">
        <v>16</v>
      </c>
      <c r="AJ167" s="111">
        <v>5</v>
      </c>
      <c r="AK167" s="111">
        <v>10640</v>
      </c>
      <c r="AL167" s="111">
        <v>914</v>
      </c>
      <c r="AM167" s="111">
        <v>150</v>
      </c>
      <c r="AN167" s="111">
        <f t="shared" si="115"/>
        <v>750</v>
      </c>
      <c r="AO167" s="111"/>
      <c r="AP167" s="111">
        <f t="shared" si="116"/>
        <v>12454</v>
      </c>
      <c r="AQ167" s="111" t="s">
        <v>281</v>
      </c>
      <c r="AR167" s="158">
        <v>15339</v>
      </c>
      <c r="AS167" s="158">
        <v>16755</v>
      </c>
      <c r="AT167" s="111"/>
      <c r="AU167" s="97">
        <v>0.4</v>
      </c>
    </row>
    <row r="168" spans="1:47" ht="14.4" x14ac:dyDescent="0.3">
      <c r="A168" s="13">
        <v>166</v>
      </c>
      <c r="B168" s="13" t="s">
        <v>370</v>
      </c>
      <c r="C168" s="13" t="s">
        <v>650</v>
      </c>
      <c r="D168" s="88" t="str">
        <f t="shared" si="123"/>
        <v>Alcazar Diesel Signature  O AT 6STR DT</v>
      </c>
      <c r="E168" s="18">
        <v>2117500</v>
      </c>
      <c r="F168" s="107">
        <f t="shared" si="117"/>
        <v>21175</v>
      </c>
      <c r="G168" s="119">
        <f t="shared" si="111"/>
        <v>75294.980339999995</v>
      </c>
      <c r="H168" s="119">
        <f t="shared" si="112"/>
        <v>77042.036419999989</v>
      </c>
      <c r="I168" s="99"/>
      <c r="J168" s="116">
        <f t="shared" si="113"/>
        <v>60145.915255</v>
      </c>
      <c r="K168" s="108">
        <f t="shared" si="114"/>
        <v>61456.207315</v>
      </c>
      <c r="L168" s="108">
        <f t="shared" si="118"/>
        <v>9846.51</v>
      </c>
      <c r="M168" s="108">
        <f t="shared" si="119"/>
        <v>12220.227500000001</v>
      </c>
      <c r="N168" s="116">
        <f t="shared" si="120"/>
        <v>14593.945</v>
      </c>
      <c r="O168" s="116">
        <f t="shared" si="125"/>
        <v>5934.2937499999998</v>
      </c>
      <c r="P168" s="118">
        <f t="shared" si="121"/>
        <v>219100</v>
      </c>
      <c r="Q168" s="118">
        <f t="shared" si="124"/>
        <v>278267.5</v>
      </c>
      <c r="R168" s="98"/>
      <c r="S168" s="98"/>
      <c r="T168" s="18">
        <v>9922</v>
      </c>
      <c r="U168" s="158">
        <v>24779</v>
      </c>
      <c r="V168" s="98">
        <f t="shared" si="126"/>
        <v>42350</v>
      </c>
      <c r="W168" s="18">
        <v>12000</v>
      </c>
      <c r="X168" s="112" t="s">
        <v>761</v>
      </c>
      <c r="Y168" s="98"/>
      <c r="Z168" s="107"/>
      <c r="AA168" s="107"/>
      <c r="AB168" s="162" t="s">
        <v>16</v>
      </c>
      <c r="AC168" s="158">
        <v>29617</v>
      </c>
      <c r="AD168" s="98">
        <v>2136</v>
      </c>
      <c r="AE168" s="97">
        <v>10442</v>
      </c>
      <c r="AF168" s="98">
        <v>17250</v>
      </c>
      <c r="AG168" s="98">
        <v>23442</v>
      </c>
      <c r="AH168" s="97">
        <v>30305</v>
      </c>
      <c r="AI168" s="159" t="s">
        <v>16</v>
      </c>
      <c r="AJ168" s="111">
        <v>5</v>
      </c>
      <c r="AK168" s="111">
        <v>10640</v>
      </c>
      <c r="AL168" s="111">
        <v>914</v>
      </c>
      <c r="AM168" s="111">
        <v>150</v>
      </c>
      <c r="AN168" s="111">
        <f t="shared" si="115"/>
        <v>750</v>
      </c>
      <c r="AO168" s="111"/>
      <c r="AP168" s="111">
        <f t="shared" si="116"/>
        <v>12454</v>
      </c>
      <c r="AQ168" s="111" t="s">
        <v>281</v>
      </c>
      <c r="AR168" s="158">
        <v>15339</v>
      </c>
      <c r="AS168" s="158">
        <v>16755</v>
      </c>
      <c r="AT168" s="111"/>
      <c r="AU168" s="97">
        <v>0.4</v>
      </c>
    </row>
    <row r="169" spans="1:47" ht="14.4" x14ac:dyDescent="0.3">
      <c r="A169" s="13">
        <v>167</v>
      </c>
      <c r="B169" s="13" t="s">
        <v>370</v>
      </c>
      <c r="C169" s="13" t="s">
        <v>614</v>
      </c>
      <c r="D169" s="88" t="str">
        <f t="shared" si="123"/>
        <v>Alcazar Diesel Signature O AT AE 7STR</v>
      </c>
      <c r="E169" s="91">
        <v>2128400</v>
      </c>
      <c r="F169" s="107">
        <f t="shared" si="117"/>
        <v>21284</v>
      </c>
      <c r="G169" s="119">
        <f t="shared" si="111"/>
        <v>75606.9044192</v>
      </c>
      <c r="H169" s="119">
        <f t="shared" si="112"/>
        <v>77362.953609599994</v>
      </c>
      <c r="I169" s="99"/>
      <c r="J169" s="116">
        <f t="shared" si="113"/>
        <v>60379.858314399993</v>
      </c>
      <c r="K169" s="108">
        <f t="shared" si="114"/>
        <v>61696.895207199996</v>
      </c>
      <c r="L169" s="108">
        <f t="shared" si="118"/>
        <v>9895.3855999999996</v>
      </c>
      <c r="M169" s="108">
        <f t="shared" si="119"/>
        <v>12281.322</v>
      </c>
      <c r="N169" s="116">
        <f t="shared" si="120"/>
        <v>14667.258400000001</v>
      </c>
      <c r="O169" s="116">
        <f t="shared" si="125"/>
        <v>5964.8409999999994</v>
      </c>
      <c r="P169" s="118">
        <f t="shared" si="121"/>
        <v>220190</v>
      </c>
      <c r="Q169" s="118">
        <f t="shared" si="124"/>
        <v>279630</v>
      </c>
      <c r="R169" s="98"/>
      <c r="S169" s="98"/>
      <c r="T169" s="18">
        <v>9922</v>
      </c>
      <c r="U169" s="158">
        <v>24779</v>
      </c>
      <c r="V169" s="98">
        <f t="shared" si="126"/>
        <v>42568</v>
      </c>
      <c r="W169" s="18">
        <v>12000</v>
      </c>
      <c r="X169" s="112" t="s">
        <v>761</v>
      </c>
      <c r="Y169" s="98"/>
      <c r="Z169" s="107"/>
      <c r="AA169" s="107"/>
      <c r="AB169" s="162" t="s">
        <v>16</v>
      </c>
      <c r="AC169" s="158">
        <v>29617</v>
      </c>
      <c r="AD169" s="98">
        <v>2136</v>
      </c>
      <c r="AE169" s="97">
        <v>10442</v>
      </c>
      <c r="AF169" s="98">
        <v>17250</v>
      </c>
      <c r="AG169" s="98">
        <v>23442</v>
      </c>
      <c r="AH169" s="97">
        <v>30305</v>
      </c>
      <c r="AI169" s="159" t="s">
        <v>16</v>
      </c>
      <c r="AJ169" s="111">
        <v>5</v>
      </c>
      <c r="AK169" s="111">
        <v>10640</v>
      </c>
      <c r="AL169" s="111">
        <v>914</v>
      </c>
      <c r="AM169" s="111">
        <v>150</v>
      </c>
      <c r="AN169" s="111">
        <f t="shared" si="115"/>
        <v>750</v>
      </c>
      <c r="AO169" s="111"/>
      <c r="AP169" s="111">
        <f t="shared" si="116"/>
        <v>12454</v>
      </c>
      <c r="AQ169" s="111" t="s">
        <v>281</v>
      </c>
      <c r="AR169" s="158">
        <v>15339</v>
      </c>
      <c r="AS169" s="158">
        <v>16755</v>
      </c>
      <c r="AT169" s="111"/>
      <c r="AU169" s="97">
        <v>0.4</v>
      </c>
    </row>
    <row r="170" spans="1:47" ht="14.4" x14ac:dyDescent="0.3">
      <c r="A170" s="13">
        <v>168</v>
      </c>
      <c r="B170" s="13" t="s">
        <v>370</v>
      </c>
      <c r="C170" s="13" t="s">
        <v>617</v>
      </c>
      <c r="D170" s="88" t="str">
        <f t="shared" si="123"/>
        <v>Alcazar Diesel Signature O AT AE 7STR DT</v>
      </c>
      <c r="E170" s="18">
        <v>2128400</v>
      </c>
      <c r="F170" s="107">
        <f t="shared" si="117"/>
        <v>21284</v>
      </c>
      <c r="G170" s="119">
        <f t="shared" si="111"/>
        <v>75606.9044192</v>
      </c>
      <c r="H170" s="119">
        <f t="shared" si="112"/>
        <v>77362.953609599994</v>
      </c>
      <c r="I170" s="99"/>
      <c r="J170" s="116">
        <f t="shared" si="113"/>
        <v>60379.858314399993</v>
      </c>
      <c r="K170" s="108">
        <f t="shared" si="114"/>
        <v>61696.895207199996</v>
      </c>
      <c r="L170" s="108">
        <f t="shared" si="118"/>
        <v>9895.3855999999996</v>
      </c>
      <c r="M170" s="108">
        <f t="shared" si="119"/>
        <v>12281.322</v>
      </c>
      <c r="N170" s="116">
        <f t="shared" si="120"/>
        <v>14667.258400000001</v>
      </c>
      <c r="O170" s="116">
        <f t="shared" si="125"/>
        <v>5964.8409999999994</v>
      </c>
      <c r="P170" s="118">
        <f t="shared" si="121"/>
        <v>220190</v>
      </c>
      <c r="Q170" s="118">
        <f t="shared" si="124"/>
        <v>279630</v>
      </c>
      <c r="R170" s="98"/>
      <c r="S170" s="98"/>
      <c r="T170" s="18">
        <v>9922</v>
      </c>
      <c r="U170" s="158">
        <v>24779</v>
      </c>
      <c r="V170" s="98">
        <f t="shared" si="126"/>
        <v>42568</v>
      </c>
      <c r="W170" s="18">
        <v>12000</v>
      </c>
      <c r="X170" s="112" t="s">
        <v>761</v>
      </c>
      <c r="Y170" s="98"/>
      <c r="Z170" s="107"/>
      <c r="AA170" s="107"/>
      <c r="AB170" s="162" t="s">
        <v>16</v>
      </c>
      <c r="AC170" s="158">
        <v>29617</v>
      </c>
      <c r="AD170" s="98">
        <v>2136</v>
      </c>
      <c r="AE170" s="97">
        <v>10442</v>
      </c>
      <c r="AF170" s="98">
        <v>17250</v>
      </c>
      <c r="AG170" s="98">
        <v>23442</v>
      </c>
      <c r="AH170" s="97">
        <v>30305</v>
      </c>
      <c r="AI170" s="159" t="s">
        <v>16</v>
      </c>
      <c r="AJ170" s="111">
        <v>5</v>
      </c>
      <c r="AK170" s="111">
        <v>10640</v>
      </c>
      <c r="AL170" s="111">
        <v>914</v>
      </c>
      <c r="AM170" s="111">
        <v>150</v>
      </c>
      <c r="AN170" s="111">
        <f t="shared" si="115"/>
        <v>750</v>
      </c>
      <c r="AO170" s="111"/>
      <c r="AP170" s="111">
        <f t="shared" si="116"/>
        <v>12454</v>
      </c>
      <c r="AQ170" s="111" t="s">
        <v>281</v>
      </c>
      <c r="AR170" s="158">
        <v>15339</v>
      </c>
      <c r="AS170" s="158">
        <v>16755</v>
      </c>
      <c r="AT170" s="111"/>
      <c r="AU170" s="97">
        <v>0.4</v>
      </c>
    </row>
    <row r="171" spans="1:47" ht="14.4" x14ac:dyDescent="0.3">
      <c r="A171" s="88">
        <v>169</v>
      </c>
      <c r="B171" s="88" t="s">
        <v>672</v>
      </c>
      <c r="C171" s="20" t="s">
        <v>659</v>
      </c>
      <c r="D171" s="88" t="str">
        <f t="shared" si="109"/>
        <v>Tucson Petrol Tucson Petrol Platinum 2.0 AT</v>
      </c>
      <c r="E171" s="14">
        <v>2901800</v>
      </c>
      <c r="F171" s="111"/>
      <c r="G171" s="99"/>
      <c r="H171" s="99"/>
      <c r="I171" s="99"/>
      <c r="J171" s="99"/>
      <c r="K171" s="99"/>
      <c r="L171" s="99"/>
      <c r="M171" s="99"/>
      <c r="N171" s="99"/>
      <c r="O171" s="99"/>
      <c r="P171" s="118">
        <f t="shared" si="121"/>
        <v>297530</v>
      </c>
      <c r="Q171" s="118">
        <f>IF(E171&lt;600000,E171*4%,IF(E171&lt;1000000,E171*7%,IF(E171&gt;=1000000,E171*10%)))+600+1500+230+4000+2000+4500+750</f>
        <v>303760</v>
      </c>
      <c r="R171" s="111"/>
      <c r="S171" s="111"/>
      <c r="T171" s="18">
        <v>10396</v>
      </c>
      <c r="U171" s="111"/>
      <c r="V171" s="98">
        <f t="shared" si="126"/>
        <v>58036</v>
      </c>
      <c r="W171" s="18">
        <v>16500</v>
      </c>
      <c r="X171" s="109" t="s">
        <v>282</v>
      </c>
      <c r="Y171" s="111"/>
      <c r="Z171" s="111"/>
      <c r="AA171" s="111"/>
      <c r="AB171" s="111"/>
      <c r="AC171" s="111"/>
      <c r="AD171" s="111"/>
      <c r="AE171" s="97"/>
      <c r="AF171" s="97"/>
      <c r="AG171" s="97"/>
      <c r="AH171" s="97"/>
      <c r="AI171" s="111" t="s">
        <v>16</v>
      </c>
      <c r="AJ171" s="111"/>
      <c r="AK171" s="111"/>
      <c r="AL171" s="111"/>
      <c r="AM171" s="111"/>
      <c r="AN171" s="111"/>
      <c r="AO171" s="111"/>
      <c r="AP171" s="111"/>
      <c r="AQ171" s="111"/>
      <c r="AR171" s="111"/>
      <c r="AS171" s="111"/>
      <c r="AT171" s="111"/>
      <c r="AU171" s="111"/>
    </row>
    <row r="172" spans="1:47" ht="14.4" x14ac:dyDescent="0.3">
      <c r="A172" s="88">
        <v>170</v>
      </c>
      <c r="B172" s="88" t="s">
        <v>672</v>
      </c>
      <c r="C172" s="20" t="s">
        <v>660</v>
      </c>
      <c r="D172" s="88" t="str">
        <f t="shared" si="109"/>
        <v>Tucson Petrol Tucson Petrol Signature2.0 AT</v>
      </c>
      <c r="E172" s="14">
        <v>3152100</v>
      </c>
      <c r="F172" s="111"/>
      <c r="G172" s="99"/>
      <c r="H172" s="99"/>
      <c r="I172" s="99"/>
      <c r="J172" s="99"/>
      <c r="K172" s="99"/>
      <c r="L172" s="99"/>
      <c r="M172" s="99"/>
      <c r="N172" s="99"/>
      <c r="O172" s="99"/>
      <c r="P172" s="118">
        <f t="shared" si="121"/>
        <v>322560</v>
      </c>
      <c r="Q172" s="118">
        <f>IF(E172&lt;600000,E172*4%,IF(E172&lt;1000000,E172*7%,IF(E172&gt;=1000000,E172*10%)))+600+1500+230+4000+2000+4500+750</f>
        <v>328790</v>
      </c>
      <c r="R172" s="111"/>
      <c r="S172" s="111"/>
      <c r="T172" s="18">
        <v>10396</v>
      </c>
      <c r="U172" s="111"/>
      <c r="V172" s="98">
        <f t="shared" si="126"/>
        <v>63042</v>
      </c>
      <c r="W172" s="18">
        <v>16500</v>
      </c>
      <c r="X172" s="109" t="s">
        <v>282</v>
      </c>
      <c r="Y172" s="111"/>
      <c r="Z172" s="111"/>
      <c r="AA172" s="111"/>
      <c r="AB172" s="111"/>
      <c r="AC172" s="111"/>
      <c r="AD172" s="111"/>
      <c r="AE172" s="97"/>
      <c r="AF172" s="97"/>
      <c r="AG172" s="97"/>
      <c r="AH172" s="97"/>
      <c r="AI172" s="111" t="s">
        <v>16</v>
      </c>
      <c r="AJ172" s="111"/>
      <c r="AK172" s="111"/>
      <c r="AL172" s="111"/>
      <c r="AM172" s="111"/>
      <c r="AN172" s="111"/>
      <c r="AO172" s="111"/>
      <c r="AP172" s="111"/>
      <c r="AQ172" s="111"/>
      <c r="AR172" s="111"/>
      <c r="AS172" s="111"/>
      <c r="AT172" s="111"/>
      <c r="AU172" s="111"/>
    </row>
    <row r="173" spans="1:47" ht="14.4" x14ac:dyDescent="0.3">
      <c r="A173" s="88">
        <v>171</v>
      </c>
      <c r="B173" s="88" t="s">
        <v>672</v>
      </c>
      <c r="C173" s="20" t="s">
        <v>653</v>
      </c>
      <c r="D173" s="88" t="str">
        <f t="shared" si="109"/>
        <v>Tucson Petrol Tucson Petrol Signature DT 2.0 AT</v>
      </c>
      <c r="E173" s="14">
        <v>3167100</v>
      </c>
      <c r="F173" s="111"/>
      <c r="G173" s="99"/>
      <c r="H173" s="99"/>
      <c r="I173" s="99"/>
      <c r="J173" s="99"/>
      <c r="K173" s="99"/>
      <c r="L173" s="99"/>
      <c r="M173" s="99"/>
      <c r="N173" s="99"/>
      <c r="O173" s="99"/>
      <c r="P173" s="118">
        <f t="shared" si="121"/>
        <v>324060</v>
      </c>
      <c r="Q173" s="118">
        <f>IF(E173&lt;600000,E173*4%,IF(E173&lt;1000000,E173*7%,IF(E173&gt;=1000000,E173*10%)))+600+1500+230+4000+2000+4500+750</f>
        <v>330290</v>
      </c>
      <c r="R173" s="111"/>
      <c r="S173" s="111"/>
      <c r="T173" s="18">
        <v>10396</v>
      </c>
      <c r="U173" s="111"/>
      <c r="V173" s="98">
        <f t="shared" si="126"/>
        <v>63342</v>
      </c>
      <c r="W173" s="18">
        <v>16500</v>
      </c>
      <c r="X173" s="109" t="s">
        <v>282</v>
      </c>
      <c r="Y173" s="111"/>
      <c r="Z173" s="111"/>
      <c r="AA173" s="111"/>
      <c r="AB173" s="111"/>
      <c r="AC173" s="111"/>
      <c r="AD173" s="111"/>
      <c r="AE173" s="97"/>
      <c r="AF173" s="97"/>
      <c r="AG173" s="97"/>
      <c r="AH173" s="97"/>
      <c r="AI173" s="111" t="s">
        <v>16</v>
      </c>
      <c r="AJ173" s="111"/>
      <c r="AK173" s="111"/>
      <c r="AL173" s="111"/>
      <c r="AM173" s="111"/>
      <c r="AN173" s="111"/>
      <c r="AO173" s="111"/>
      <c r="AP173" s="111"/>
      <c r="AQ173" s="111"/>
      <c r="AR173" s="111"/>
      <c r="AS173" s="111"/>
      <c r="AT173" s="111"/>
      <c r="AU173" s="111"/>
    </row>
    <row r="174" spans="1:47" ht="14.4" x14ac:dyDescent="0.3">
      <c r="A174" s="89">
        <v>172</v>
      </c>
      <c r="B174" s="89" t="s">
        <v>673</v>
      </c>
      <c r="C174" s="89" t="s">
        <v>656</v>
      </c>
      <c r="D174" s="88" t="str">
        <f t="shared" si="109"/>
        <v>Tucson Diesel Tucson Diesel Platinum 2.0 AT</v>
      </c>
      <c r="E174" s="92">
        <v>3154800</v>
      </c>
      <c r="F174" s="111"/>
      <c r="G174" s="99"/>
      <c r="H174" s="99"/>
      <c r="I174" s="99"/>
      <c r="J174" s="99"/>
      <c r="K174" s="99"/>
      <c r="L174" s="99"/>
      <c r="M174" s="99"/>
      <c r="N174" s="99"/>
      <c r="O174" s="99"/>
      <c r="P174" s="123">
        <f t="shared" si="121"/>
        <v>322830</v>
      </c>
      <c r="Q174" s="123">
        <f>IF(E174&lt;600000,E174*5%,IF(E174&lt;1000000,E174*8.75%,IF(E174&gt;=1000000,E174*12.5%)))+600+1500+230+4000+2000+4500+750</f>
        <v>407930</v>
      </c>
      <c r="R174" s="111"/>
      <c r="S174" s="111"/>
      <c r="T174" s="94">
        <v>10396</v>
      </c>
      <c r="U174" s="111"/>
      <c r="V174" s="98">
        <f t="shared" si="126"/>
        <v>63096</v>
      </c>
      <c r="W174" s="94">
        <v>16500</v>
      </c>
      <c r="X174" s="112" t="s">
        <v>280</v>
      </c>
      <c r="Y174" s="111"/>
      <c r="Z174" s="111"/>
      <c r="AA174" s="111"/>
      <c r="AB174" s="111"/>
      <c r="AC174" s="111"/>
      <c r="AD174" s="111"/>
      <c r="AE174" s="97"/>
      <c r="AF174" s="97"/>
      <c r="AG174" s="97"/>
      <c r="AH174" s="97"/>
      <c r="AI174" s="111" t="s">
        <v>16</v>
      </c>
      <c r="AJ174" s="111"/>
      <c r="AK174" s="111"/>
      <c r="AL174" s="111"/>
      <c r="AM174" s="111"/>
      <c r="AN174" s="111"/>
      <c r="AO174" s="111"/>
      <c r="AP174" s="111"/>
      <c r="AQ174" s="111"/>
      <c r="AR174" s="111"/>
      <c r="AS174" s="111"/>
      <c r="AT174" s="111"/>
      <c r="AU174" s="111"/>
    </row>
    <row r="175" spans="1:47" ht="14.4" x14ac:dyDescent="0.3">
      <c r="A175" s="89">
        <v>173</v>
      </c>
      <c r="B175" s="89" t="s">
        <v>673</v>
      </c>
      <c r="C175" s="89" t="s">
        <v>657</v>
      </c>
      <c r="D175" s="88" t="str">
        <f t="shared" si="109"/>
        <v>Tucson Diesel Tucson Diesel Signature 2.0 AT</v>
      </c>
      <c r="E175" s="92">
        <v>3425300</v>
      </c>
      <c r="F175" s="111"/>
      <c r="G175" s="99"/>
      <c r="H175" s="99"/>
      <c r="I175" s="99"/>
      <c r="J175" s="99"/>
      <c r="K175" s="99"/>
      <c r="L175" s="99"/>
      <c r="M175" s="99"/>
      <c r="N175" s="99"/>
      <c r="O175" s="99"/>
      <c r="P175" s="123">
        <f t="shared" si="121"/>
        <v>349880</v>
      </c>
      <c r="Q175" s="123">
        <f>IF(E175&lt;600000,E175*5%,IF(E175&lt;1000000,E175*8.75%,IF(E175&gt;=1000000,E175*12.5%)))+600+1500+230+4000+2000+4500+750</f>
        <v>441742.5</v>
      </c>
      <c r="R175" s="111"/>
      <c r="S175" s="111"/>
      <c r="T175" s="94">
        <v>10396</v>
      </c>
      <c r="U175" s="111"/>
      <c r="V175" s="98">
        <f t="shared" si="126"/>
        <v>68506</v>
      </c>
      <c r="W175" s="94">
        <v>16500</v>
      </c>
      <c r="X175" s="112" t="s">
        <v>280</v>
      </c>
      <c r="Y175" s="111"/>
      <c r="Z175" s="111"/>
      <c r="AA175" s="111"/>
      <c r="AB175" s="111"/>
      <c r="AC175" s="111"/>
      <c r="AD175" s="111"/>
      <c r="AE175" s="97"/>
      <c r="AF175" s="97"/>
      <c r="AG175" s="97"/>
      <c r="AH175" s="97"/>
      <c r="AI175" s="111" t="s">
        <v>16</v>
      </c>
      <c r="AJ175" s="111"/>
      <c r="AK175" s="111"/>
      <c r="AL175" s="111"/>
      <c r="AM175" s="111"/>
      <c r="AN175" s="111"/>
      <c r="AO175" s="111"/>
      <c r="AP175" s="111"/>
      <c r="AQ175" s="111"/>
      <c r="AR175" s="111"/>
      <c r="AS175" s="111"/>
      <c r="AT175" s="111"/>
      <c r="AU175" s="111"/>
    </row>
    <row r="176" spans="1:47" ht="14.4" x14ac:dyDescent="0.3">
      <c r="A176" s="89">
        <v>174</v>
      </c>
      <c r="B176" s="89" t="s">
        <v>673</v>
      </c>
      <c r="C176" s="89" t="s">
        <v>654</v>
      </c>
      <c r="D176" s="88" t="str">
        <f t="shared" si="109"/>
        <v>Tucson Diesel Tucson Diesel Signature DT 2.0 AT</v>
      </c>
      <c r="E176" s="92">
        <v>3440300</v>
      </c>
      <c r="F176" s="111"/>
      <c r="G176" s="99"/>
      <c r="H176" s="99"/>
      <c r="I176" s="99"/>
      <c r="J176" s="99"/>
      <c r="K176" s="99"/>
      <c r="L176" s="99"/>
      <c r="M176" s="99"/>
      <c r="N176" s="99"/>
      <c r="O176" s="99"/>
      <c r="P176" s="123">
        <f t="shared" si="121"/>
        <v>351380</v>
      </c>
      <c r="Q176" s="123">
        <f>IF(E176&lt;600000,E176*5%,IF(E176&lt;1000000,E176*8.75%,IF(E176&gt;=1000000,E176*12.5%)))+600+1500+230+4000+2000+4500+750</f>
        <v>443617.5</v>
      </c>
      <c r="R176" s="111"/>
      <c r="S176" s="111"/>
      <c r="T176" s="94">
        <v>10396</v>
      </c>
      <c r="U176" s="111"/>
      <c r="V176" s="98">
        <f t="shared" si="126"/>
        <v>68806</v>
      </c>
      <c r="W176" s="94">
        <v>16500</v>
      </c>
      <c r="X176" s="112" t="s">
        <v>280</v>
      </c>
      <c r="Y176" s="111"/>
      <c r="Z176" s="111"/>
      <c r="AA176" s="111"/>
      <c r="AB176" s="111"/>
      <c r="AC176" s="111"/>
      <c r="AD176" s="111"/>
      <c r="AE176" s="97"/>
      <c r="AF176" s="97"/>
      <c r="AG176" s="97"/>
      <c r="AH176" s="97"/>
      <c r="AI176" s="111" t="s">
        <v>16</v>
      </c>
      <c r="AJ176" s="111"/>
      <c r="AK176" s="111"/>
      <c r="AL176" s="111"/>
      <c r="AM176" s="111"/>
      <c r="AN176" s="111"/>
      <c r="AO176" s="111"/>
      <c r="AP176" s="111"/>
      <c r="AQ176" s="111"/>
      <c r="AR176" s="111"/>
      <c r="AS176" s="111"/>
      <c r="AT176" s="111"/>
      <c r="AU176" s="111"/>
    </row>
    <row r="177" spans="1:47" ht="14.4" x14ac:dyDescent="0.3">
      <c r="A177" s="89">
        <v>175</v>
      </c>
      <c r="B177" s="89" t="s">
        <v>673</v>
      </c>
      <c r="C177" s="89" t="s">
        <v>658</v>
      </c>
      <c r="D177" s="88" t="str">
        <f t="shared" si="109"/>
        <v>Tucson Diesel Tucson Diesel Signature 2.0 AT 4WD</v>
      </c>
      <c r="E177" s="92">
        <v>3579200</v>
      </c>
      <c r="F177" s="111"/>
      <c r="G177" s="99"/>
      <c r="H177" s="99"/>
      <c r="I177" s="99"/>
      <c r="J177" s="99"/>
      <c r="K177" s="99"/>
      <c r="L177" s="99"/>
      <c r="M177" s="99"/>
      <c r="N177" s="99"/>
      <c r="O177" s="99"/>
      <c r="P177" s="123">
        <f t="shared" si="121"/>
        <v>365270</v>
      </c>
      <c r="Q177" s="123">
        <f>IF(E177&lt;600000,E177*5%,IF(E177&lt;1000000,E177*8.75%,IF(E177&gt;=1000000,E177*12.5%)))+600+1500+230+4000+2000+4500+750</f>
        <v>460980</v>
      </c>
      <c r="R177" s="111"/>
      <c r="S177" s="111"/>
      <c r="T177" s="94">
        <v>10396</v>
      </c>
      <c r="U177" s="111"/>
      <c r="V177" s="98">
        <f t="shared" si="126"/>
        <v>71584</v>
      </c>
      <c r="W177" s="94">
        <v>16500</v>
      </c>
      <c r="X177" s="112" t="s">
        <v>280</v>
      </c>
      <c r="Y177" s="111"/>
      <c r="Z177" s="111"/>
      <c r="AA177" s="111"/>
      <c r="AB177" s="111"/>
      <c r="AC177" s="111"/>
      <c r="AD177" s="111"/>
      <c r="AE177" s="97"/>
      <c r="AF177" s="97"/>
      <c r="AG177" s="97"/>
      <c r="AH177" s="97"/>
      <c r="AI177" s="111" t="s">
        <v>16</v>
      </c>
      <c r="AJ177" s="111"/>
      <c r="AK177" s="111"/>
      <c r="AL177" s="111"/>
      <c r="AM177" s="111"/>
      <c r="AN177" s="111"/>
      <c r="AO177" s="111"/>
      <c r="AP177" s="111"/>
      <c r="AQ177" s="111"/>
      <c r="AR177" s="111"/>
      <c r="AS177" s="111"/>
      <c r="AT177" s="111"/>
      <c r="AU177" s="111"/>
    </row>
    <row r="178" spans="1:47" ht="14.4" x14ac:dyDescent="0.3">
      <c r="A178" s="89">
        <v>176</v>
      </c>
      <c r="B178" s="89" t="s">
        <v>673</v>
      </c>
      <c r="C178" s="89" t="s">
        <v>655</v>
      </c>
      <c r="D178" s="88" t="str">
        <f t="shared" si="109"/>
        <v>Tucson Diesel Tucson Diesel Signature DT 2.0 AT 4WD</v>
      </c>
      <c r="E178" s="92">
        <v>3594200</v>
      </c>
      <c r="F178" s="111"/>
      <c r="G178" s="99"/>
      <c r="H178" s="99"/>
      <c r="I178" s="99"/>
      <c r="J178" s="99"/>
      <c r="K178" s="99"/>
      <c r="L178" s="99"/>
      <c r="M178" s="99"/>
      <c r="N178" s="99"/>
      <c r="O178" s="99"/>
      <c r="P178" s="123">
        <f t="shared" si="121"/>
        <v>366770</v>
      </c>
      <c r="Q178" s="123">
        <f>IF(E178&lt;600000,E178*5%,IF(E178&lt;1000000,E178*8.75%,IF(E178&gt;=1000000,E178*12.5%)))+600+1500+230+4000+2000+4500+750</f>
        <v>462855</v>
      </c>
      <c r="R178" s="111"/>
      <c r="S178" s="111"/>
      <c r="T178" s="94">
        <v>10396</v>
      </c>
      <c r="U178" s="111"/>
      <c r="V178" s="98">
        <f t="shared" si="126"/>
        <v>71884</v>
      </c>
      <c r="W178" s="94">
        <v>16500</v>
      </c>
      <c r="X178" s="112" t="s">
        <v>280</v>
      </c>
      <c r="Y178" s="111"/>
      <c r="Z178" s="111"/>
      <c r="AA178" s="111"/>
      <c r="AB178" s="111"/>
      <c r="AC178" s="111"/>
      <c r="AD178" s="111"/>
      <c r="AE178" s="97"/>
      <c r="AF178" s="97"/>
      <c r="AG178" s="97"/>
      <c r="AH178" s="97"/>
      <c r="AI178" s="111" t="s">
        <v>16</v>
      </c>
      <c r="AJ178" s="111"/>
      <c r="AK178" s="111"/>
      <c r="AL178" s="111"/>
      <c r="AM178" s="111"/>
      <c r="AN178" s="111"/>
      <c r="AO178" s="111"/>
      <c r="AP178" s="111"/>
      <c r="AQ178" s="111"/>
      <c r="AR178" s="111"/>
      <c r="AS178" s="111"/>
      <c r="AT178" s="111"/>
      <c r="AU178" s="111"/>
    </row>
  </sheetData>
  <autoFilter ref="A2:AU178" xr:uid="{82E442BB-83DD-4F02-A456-EA053E3B86E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197</vt:i4>
      </vt:variant>
    </vt:vector>
  </HeadingPairs>
  <TitlesOfParts>
    <vt:vector size="200" baseType="lpstr">
      <vt:lpstr>Proforma Invoice</vt:lpstr>
      <vt:lpstr>Data</vt:lpstr>
      <vt:lpstr>Prices</vt:lpstr>
      <vt:lpstr>Alcazar</vt:lpstr>
      <vt:lpstr>AlcazarDieselPlatinum7STRc</vt:lpstr>
      <vt:lpstr>AlcazarDieselPlatinumAE7STRc</vt:lpstr>
      <vt:lpstr>AlcazarDieselPlatinumOAT6STRc</vt:lpstr>
      <vt:lpstr>AlcazarDieselPlatinumOAT7STRc</vt:lpstr>
      <vt:lpstr>AlcazarDieselPrestige7STRc</vt:lpstr>
      <vt:lpstr>AlcazarDieselPrestigeOAT7STRc</vt:lpstr>
      <vt:lpstr>AlcazarDieselSignature6STRc</vt:lpstr>
      <vt:lpstr>AlcazarDieselSignature6STRDTc</vt:lpstr>
      <vt:lpstr>AlcazarDieselSignatureOAT6STRc</vt:lpstr>
      <vt:lpstr>AlcazarDieselSignatureOAT6STRDTc</vt:lpstr>
      <vt:lpstr>AlcazarDieselSignatureOAT7STRc</vt:lpstr>
      <vt:lpstr>AlcazarDieselSignatureOATAE7STRc</vt:lpstr>
      <vt:lpstr>AlcazarDieselSignatureOATAE7STRDTc</vt:lpstr>
      <vt:lpstr>AlcazarPetrolPlatinum7STRc</vt:lpstr>
      <vt:lpstr>AlcazarPetrolPlatinumAE7STRc</vt:lpstr>
      <vt:lpstr>AlcazarPetrolPlatinumODCT6STRc</vt:lpstr>
      <vt:lpstr>AlcazarPetrolPlatinumODCT7STRc</vt:lpstr>
      <vt:lpstr>AlcazarPetrolPrestige7STRc</vt:lpstr>
      <vt:lpstr>AlcazarPetrolSignatureODCT6STRc</vt:lpstr>
      <vt:lpstr>AlcazarPetrolSignatureODCT6STRDTc</vt:lpstr>
      <vt:lpstr>AlcazarPetrolSignatureODCT7STRc</vt:lpstr>
      <vt:lpstr>AlcazarPetrolSignatureODCTAE7STRc</vt:lpstr>
      <vt:lpstr>AlcazarPetrolSignatureODCTAE7STRDTc</vt:lpstr>
      <vt:lpstr>Aura</vt:lpstr>
      <vt:lpstr>AuraEc</vt:lpstr>
      <vt:lpstr>AuraSc</vt:lpstr>
      <vt:lpstr>AuraSCNGc</vt:lpstr>
      <vt:lpstr>AuraSXc</vt:lpstr>
      <vt:lpstr>AuraSXCNGc</vt:lpstr>
      <vt:lpstr>AuraSXOc</vt:lpstr>
      <vt:lpstr>AuraSXPlusAMTc</vt:lpstr>
      <vt:lpstr>BG_NAMES</vt:lpstr>
      <vt:lpstr>Creta</vt:lpstr>
      <vt:lpstr>Creta1.5CRDiATSOc</vt:lpstr>
      <vt:lpstr>Creta1.5CRDiATSXOc</vt:lpstr>
      <vt:lpstr>Creta1.5CRDiATSXODTc</vt:lpstr>
      <vt:lpstr>Creta1.5CRDiMTEc</vt:lpstr>
      <vt:lpstr>Creta1.5CRDiMTEXc</vt:lpstr>
      <vt:lpstr>Creta1.5CRDiMTSc</vt:lpstr>
      <vt:lpstr>Creta1.5CRDiMTSOc</vt:lpstr>
      <vt:lpstr>Creta1.5CRDiMTSXOc</vt:lpstr>
      <vt:lpstr>Creta1.5CRDiMTSXODTc</vt:lpstr>
      <vt:lpstr>Creta1.5CRDiMTSXTechc</vt:lpstr>
      <vt:lpstr>Creta1.5CRDiMTSXTechDTc</vt:lpstr>
      <vt:lpstr>Creta1.5MPiIVTSOc</vt:lpstr>
      <vt:lpstr>Creta1.5MPiIVTSXOc</vt:lpstr>
      <vt:lpstr>Creta1.5MPiIVTSXODTc</vt:lpstr>
      <vt:lpstr>Creta1.5MPiIVTSXTechc</vt:lpstr>
      <vt:lpstr>Creta1.5MPiIVTSXTechDTc</vt:lpstr>
      <vt:lpstr>Creta1.5MPiMTEc</vt:lpstr>
      <vt:lpstr>Creta1.5MPiMTEXc</vt:lpstr>
      <vt:lpstr>Creta1.5MPiMTSc</vt:lpstr>
      <vt:lpstr>Creta1.5MPiMTSOc</vt:lpstr>
      <vt:lpstr>Creta1.5MPiMTSXc</vt:lpstr>
      <vt:lpstr>Creta1.5MPiMTSXDTc</vt:lpstr>
      <vt:lpstr>Creta1.5MPiMTSXOc</vt:lpstr>
      <vt:lpstr>Creta1.5MPiMTSXODTc</vt:lpstr>
      <vt:lpstr>Creta1.5MPiMTSXTechc</vt:lpstr>
      <vt:lpstr>Creta1.5MPiMTSXTechDTc</vt:lpstr>
      <vt:lpstr>Creta1.5TurboDCTSXOc</vt:lpstr>
      <vt:lpstr>Creta1.5TurboDCTSXODTc</vt:lpstr>
      <vt:lpstr>CretaNLine</vt:lpstr>
      <vt:lpstr>CretaNLineN101.5TurboDCTc</vt:lpstr>
      <vt:lpstr>CretaNLineN101.5TurboDCTDTc</vt:lpstr>
      <vt:lpstr>CretaNLineN101.5TurboDCTRGMc</vt:lpstr>
      <vt:lpstr>CretaNLineN101.5TurboMTc</vt:lpstr>
      <vt:lpstr>CretaNLineN101.5TurboMTDTc</vt:lpstr>
      <vt:lpstr>CretaNLineN101.5TurboMTRGMc</vt:lpstr>
      <vt:lpstr>CretaNLineN81.5TurboDCTc</vt:lpstr>
      <vt:lpstr>CretaNLineN81.5TurboDCTDTc</vt:lpstr>
      <vt:lpstr>CretaNLineN81.5TurboDCTRGMc</vt:lpstr>
      <vt:lpstr>CretaNLineN81.5TurboMTc</vt:lpstr>
      <vt:lpstr>CretaNLineN81.5TurboMTDTc</vt:lpstr>
      <vt:lpstr>CretaNLineN81.5TurboMTRGMc</vt:lpstr>
      <vt:lpstr>CSD_Names</vt:lpstr>
      <vt:lpstr>EMP_NAMES</vt:lpstr>
      <vt:lpstr>EW</vt:lpstr>
      <vt:lpstr>EXTER</vt:lpstr>
      <vt:lpstr>EXTEREXc</vt:lpstr>
      <vt:lpstr>EXTEREXOc</vt:lpstr>
      <vt:lpstr>EXTERSAMTc</vt:lpstr>
      <vt:lpstr>EXTERSc</vt:lpstr>
      <vt:lpstr>EXTERSCNGc</vt:lpstr>
      <vt:lpstr>EXTERSOc</vt:lpstr>
      <vt:lpstr>EXTERSXAMTc</vt:lpstr>
      <vt:lpstr>EXTERSXAMTDTc</vt:lpstr>
      <vt:lpstr>EXTERSXc</vt:lpstr>
      <vt:lpstr>EXTERSXCNGc</vt:lpstr>
      <vt:lpstr>EXTERSXDTc</vt:lpstr>
      <vt:lpstr>EXTERSXOAMTc</vt:lpstr>
      <vt:lpstr>EXTERSXOc</vt:lpstr>
      <vt:lpstr>EXTERSXOCONNECTAMTc</vt:lpstr>
      <vt:lpstr>EXTERSXOCONNECTAMTDTc</vt:lpstr>
      <vt:lpstr>EXTERSXOCONNECTc</vt:lpstr>
      <vt:lpstr>EXTERSXOCONNECTDTc</vt:lpstr>
      <vt:lpstr>i20Nline</vt:lpstr>
      <vt:lpstr>i20NlineN6DCTc</vt:lpstr>
      <vt:lpstr>i20NlineN6DCTDTc</vt:lpstr>
      <vt:lpstr>i20NlineN6MTc</vt:lpstr>
      <vt:lpstr>i20NlineN6MTDTc</vt:lpstr>
      <vt:lpstr>i20NlineN8DCTc</vt:lpstr>
      <vt:lpstr>i20NlineN8DCTDTc</vt:lpstr>
      <vt:lpstr>i20NlineN8MTc</vt:lpstr>
      <vt:lpstr>i20NlineN8MTDTc</vt:lpstr>
      <vt:lpstr>Models</vt:lpstr>
      <vt:lpstr>Newi20</vt:lpstr>
      <vt:lpstr>Newi20AstaMTc</vt:lpstr>
      <vt:lpstr>Newi20AstaOiVTc</vt:lpstr>
      <vt:lpstr>Newi20AstaOiVTDTc</vt:lpstr>
      <vt:lpstr>Newi20AstaOMTc</vt:lpstr>
      <vt:lpstr>Newi20AstaOMTDTc</vt:lpstr>
      <vt:lpstr>Newi20EraMTc</vt:lpstr>
      <vt:lpstr>Newi20MagnaMTc</vt:lpstr>
      <vt:lpstr>Newi20SportziVTc</vt:lpstr>
      <vt:lpstr>Newi20SportzMTc</vt:lpstr>
      <vt:lpstr>Newi20SportzMTDTc</vt:lpstr>
      <vt:lpstr>Newi20SportzOiVTc</vt:lpstr>
      <vt:lpstr>Newi20SportzOMTc</vt:lpstr>
      <vt:lpstr>Newi20SportzOMTDTc</vt:lpstr>
      <vt:lpstr>NIOS</vt:lpstr>
      <vt:lpstr>NIOSAMTCorporatePetrolc</vt:lpstr>
      <vt:lpstr>NIOSAstaAMTc</vt:lpstr>
      <vt:lpstr>NIOSAstac</vt:lpstr>
      <vt:lpstr>NIOSCorporatePetrolc</vt:lpstr>
      <vt:lpstr>NIOSErac</vt:lpstr>
      <vt:lpstr>NIOSMagnaAMTc</vt:lpstr>
      <vt:lpstr>NIOSMagnac</vt:lpstr>
      <vt:lpstr>NIOSMagnaCNGc</vt:lpstr>
      <vt:lpstr>NIOSSportzAMTc</vt:lpstr>
      <vt:lpstr>NIOSSportzc</vt:lpstr>
      <vt:lpstr>NIOSSportzCNGc</vt:lpstr>
      <vt:lpstr>NIOSSportzDTc</vt:lpstr>
      <vt:lpstr>'Proforma Invoice'!Print_Area</vt:lpstr>
      <vt:lpstr>REGISTRATION</vt:lpstr>
      <vt:lpstr>SOT</vt:lpstr>
      <vt:lpstr>TentativeWaiting</vt:lpstr>
      <vt:lpstr>Tucson</vt:lpstr>
      <vt:lpstr>TucsonDieselPlatinum2.0ATc</vt:lpstr>
      <vt:lpstr>TucsonDieselSignature2.0AT4WDc</vt:lpstr>
      <vt:lpstr>TucsonDieselSignature2.0ATc</vt:lpstr>
      <vt:lpstr>TucsonDieselSignatureDT2.0AT4WDc</vt:lpstr>
      <vt:lpstr>TucsonDieselSignatureDT2.0ATc</vt:lpstr>
      <vt:lpstr>TucsonPetrolPlatinum2.0ATc</vt:lpstr>
      <vt:lpstr>TucsonPetrolSignature2.0ATc</vt:lpstr>
      <vt:lpstr>TucsonPetrolSignatureDT2.0ATc</vt:lpstr>
      <vt:lpstr>Venue</vt:lpstr>
      <vt:lpstr>Venue1.0SXODTKnightDCTc</vt:lpstr>
      <vt:lpstr>Venue1.0SXOKnightDCTc</vt:lpstr>
      <vt:lpstr>Venue1.0TSODCTc</vt:lpstr>
      <vt:lpstr>Venue1.0TSOMTc</vt:lpstr>
      <vt:lpstr>Venue1.0TSXODCTc</vt:lpstr>
      <vt:lpstr>Venue1.0TSXODTDCTc</vt:lpstr>
      <vt:lpstr>Venue1.0TSXODTKnightMTc</vt:lpstr>
      <vt:lpstr>Venue1.0TSXODTMTc</vt:lpstr>
      <vt:lpstr>Venue1.0TSXOKnightMTc</vt:lpstr>
      <vt:lpstr>Venue1.0TSXOMTc</vt:lpstr>
      <vt:lpstr>Venue1.0TurboMPiDCTSOc</vt:lpstr>
      <vt:lpstr>Venue1.0TurboMPiMTExecutivec</vt:lpstr>
      <vt:lpstr>Venue1.0TurboMPiMTSOc</vt:lpstr>
      <vt:lpstr>Venue1.2EMTc</vt:lpstr>
      <vt:lpstr>Venue1.2SMTc</vt:lpstr>
      <vt:lpstr>Venue1.2SOKnightMTc</vt:lpstr>
      <vt:lpstr>Venue1.2SOMTc</vt:lpstr>
      <vt:lpstr>Venue1.2SXDTKnightMTc</vt:lpstr>
      <vt:lpstr>Venue1.2SXDTMTc</vt:lpstr>
      <vt:lpstr>Venue1.2SXKnightMTc</vt:lpstr>
      <vt:lpstr>Venue1.2SXMTc</vt:lpstr>
      <vt:lpstr>Venue1.5S_DSLc</vt:lpstr>
      <vt:lpstr>Venue1.5SXDSLc</vt:lpstr>
      <vt:lpstr>Venue1.5SXDTDSLc</vt:lpstr>
      <vt:lpstr>Venue1.5SXODSLc</vt:lpstr>
      <vt:lpstr>Venue1.5SXODTDSLc</vt:lpstr>
      <vt:lpstr>VENUENline</vt:lpstr>
      <vt:lpstr>VENUENline1.0TN6DCTc</vt:lpstr>
      <vt:lpstr>VENUENline1.0TN6DTDCTc</vt:lpstr>
      <vt:lpstr>VENUENline1.0TN6DTMTc</vt:lpstr>
      <vt:lpstr>VENUENline1.0TN6MTc</vt:lpstr>
      <vt:lpstr>VENUENline1.0TN8DCTc</vt:lpstr>
      <vt:lpstr>VENUENline1.0TN8DTDCTc</vt:lpstr>
      <vt:lpstr>VENUENline1.0TN8DTMTc</vt:lpstr>
      <vt:lpstr>VENUENline1.0TN8MTc</vt:lpstr>
      <vt:lpstr>Verna</vt:lpstr>
      <vt:lpstr>Verna1.5MPiiVTSXc</vt:lpstr>
      <vt:lpstr>Verna1.5MPiiVTSXOc</vt:lpstr>
      <vt:lpstr>Verna1.5MPiMTEXc</vt:lpstr>
      <vt:lpstr>Verna1.5MPiMTSc</vt:lpstr>
      <vt:lpstr>Verna1.5MPiMTSXc</vt:lpstr>
      <vt:lpstr>Verna1.5MPiMTSXOc</vt:lpstr>
      <vt:lpstr>Verna1.5TurboGDiDCTSXc</vt:lpstr>
      <vt:lpstr>Verna1.5TurboGDiDCTSXDTc</vt:lpstr>
      <vt:lpstr>Verna1.5TurboGDiDCTSXOc</vt:lpstr>
      <vt:lpstr>Verna1.5TurboGDiDCTSXODTc</vt:lpstr>
      <vt:lpstr>Verna1.5TurboGDiMTSXc</vt:lpstr>
      <vt:lpstr>Verna1.5TurboGDiMTSXDTc</vt:lpstr>
      <vt:lpstr>Verna1.5TurboGDiMTSXOc</vt:lpstr>
      <vt:lpstr>Verna1.5TurboGDiMTSXODTc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Malhotra</dc:creator>
  <cp:lastModifiedBy>Amit Malhotra</cp:lastModifiedBy>
  <cp:lastPrinted>2024-05-04T21:17:53Z</cp:lastPrinted>
  <dcterms:created xsi:type="dcterms:W3CDTF">2024-05-04T20:38:50Z</dcterms:created>
  <dcterms:modified xsi:type="dcterms:W3CDTF">2024-05-22T18:26:32Z</dcterms:modified>
</cp:coreProperties>
</file>