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" i="1" l="1"/>
  <c r="E3" i="1"/>
  <c r="H14" i="1" s="1"/>
  <c r="E2" i="1"/>
  <c r="E5" i="1" l="1"/>
  <c r="H15" i="1"/>
  <c r="E7" i="1"/>
  <c r="E12" i="1" l="1"/>
  <c r="E13" i="1" s="1"/>
  <c r="E6" i="1"/>
  <c r="E8" i="1" s="1"/>
  <c r="E9" i="1" s="1"/>
  <c r="E15" i="1" l="1"/>
  <c r="E17" i="1"/>
  <c r="E22" i="1" s="1"/>
  <c r="E16" i="1"/>
  <c r="E18" i="1" s="1"/>
  <c r="H3" i="1" s="1"/>
  <c r="E21" i="1" l="1"/>
  <c r="H2" i="1" s="1"/>
  <c r="H4" i="1" s="1"/>
  <c r="H22" i="1" s="1"/>
  <c r="E23" i="1"/>
  <c r="H21" i="1" s="1"/>
  <c r="H12" i="1"/>
  <c r="H13" i="1" s="1"/>
  <c r="H5" i="1" l="1"/>
</calcChain>
</file>

<file path=xl/sharedStrings.xml><?xml version="1.0" encoding="utf-8"?>
<sst xmlns="http://schemas.openxmlformats.org/spreadsheetml/2006/main" count="56" uniqueCount="56">
  <si>
    <t>Design Inputs</t>
  </si>
  <si>
    <t>Initial Calculations</t>
  </si>
  <si>
    <t>N1/N2</t>
  </si>
  <si>
    <t>Core Specs</t>
  </si>
  <si>
    <t>Core Dependent Calculations</t>
  </si>
  <si>
    <t>N1</t>
  </si>
  <si>
    <t>N2</t>
  </si>
  <si>
    <t>FF</t>
  </si>
  <si>
    <t>CoreLoss(W/kg)</t>
  </si>
  <si>
    <t>Density(kg/dm3)</t>
  </si>
  <si>
    <t>J(A/mm2)</t>
  </si>
  <si>
    <t>Window Area(m2)</t>
  </si>
  <si>
    <t>Window Edge(m)</t>
  </si>
  <si>
    <t>S(VA)</t>
  </si>
  <si>
    <t>Vin(Vrms)</t>
  </si>
  <si>
    <t>Vo(Vrms)</t>
  </si>
  <si>
    <t>f(Hz)</t>
  </si>
  <si>
    <t>Temp Min(Celc)</t>
  </si>
  <si>
    <t>Temp Max(Celc)</t>
  </si>
  <si>
    <t>B(T)</t>
  </si>
  <si>
    <t>Relative Perm</t>
  </si>
  <si>
    <t>Lamination Thickness(m)</t>
  </si>
  <si>
    <t>CurrIn(Arms)</t>
  </si>
  <si>
    <t>CurrOut(Arms)</t>
  </si>
  <si>
    <t>Area(m2)</t>
  </si>
  <si>
    <t>H(A/m)</t>
  </si>
  <si>
    <t>OuterEdge(m)</t>
  </si>
  <si>
    <t>Middle Length(m)</t>
  </si>
  <si>
    <t>Winding Specs</t>
  </si>
  <si>
    <t>One Turn Length(m)</t>
  </si>
  <si>
    <t>Resistivity(ohm-m) @20C</t>
  </si>
  <si>
    <t>Temperature Coeff</t>
  </si>
  <si>
    <t>Winding Calculations</t>
  </si>
  <si>
    <t>Input Wind. Resist @50C</t>
  </si>
  <si>
    <t>Output Wind. Resist @50C</t>
  </si>
  <si>
    <t>Copper Mass(kg)</t>
  </si>
  <si>
    <t>Density(kg/m3)</t>
  </si>
  <si>
    <t>Edge(m)</t>
  </si>
  <si>
    <t>Losses</t>
  </si>
  <si>
    <t>Core Mass(kg)</t>
  </si>
  <si>
    <t>Efficiency(%)</t>
  </si>
  <si>
    <t>Copper Loss(W)</t>
  </si>
  <si>
    <t>Core Loss(W)</t>
  </si>
  <si>
    <t>Total Loss(W)</t>
  </si>
  <si>
    <t>N2*AreaCopperOut(mm2)</t>
  </si>
  <si>
    <t>N1*AreaCopperIn(mm2)</t>
  </si>
  <si>
    <t>Inductance Calculations</t>
  </si>
  <si>
    <t>Reluctance</t>
  </si>
  <si>
    <t>Mutual Inductance(H)</t>
  </si>
  <si>
    <t>Leakage Ind 1 (H)</t>
  </si>
  <si>
    <t>Leakage Ind 2 (H)</t>
  </si>
  <si>
    <t>Costs</t>
  </si>
  <si>
    <t>Material Cost</t>
  </si>
  <si>
    <t>Core Cost ($/kg)</t>
  </si>
  <si>
    <t>Winding Cost ($/kg)</t>
  </si>
  <si>
    <t>Energy Lost (0.07$/kwh)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</si>
</sst>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"/>
    <numFmt numFmtId="166" formatCode="0.00000"/>
    <numFmt numFmtId="167" formatCode="0.000000"/>
    <numFmt numFmtId="168" formatCode="_-[$$-409]* #,##0_ ;_-[$$-409]* \-#,##0\ ;_-[$$-409]* &quot;-&quot;_ ;_-@_ "/>
    <numFmt numFmtId="169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44" fontId="3" fillId="0" borderId="0" applyFont="0" applyFill="0" applyBorder="0" applyAlignment="0" applyProtection="0"/>
    <xf numFmtId="0" fontId="6" fillId="6" borderId="0" applyNumberFormat="0" applyBorder="0" applyAlignment="0" applyProtection="0"/>
  </cellStyleXfs>
  <cellXfs count="24">
    <xf numFmtId="0" fontId="0" fillId="0" borderId="0" xfId="0"/>
    <xf numFmtId="0" fontId="0" fillId="0" borderId="0" xfId="0" applyBorder="1" applyAlignment="1"/>
    <xf numFmtId="0" fontId="0" fillId="2" borderId="0" xfId="0" applyFill="1"/>
    <xf numFmtId="0" fontId="0" fillId="2" borderId="0" xfId="0" applyFill="1" applyBorder="1"/>
    <xf numFmtId="11" fontId="0" fillId="2" borderId="0" xfId="0" applyNumberFormat="1" applyFill="1"/>
    <xf numFmtId="0" fontId="2" fillId="0" borderId="0" xfId="0" applyFont="1"/>
    <xf numFmtId="43" fontId="5" fillId="5" borderId="0" xfId="4" applyNumberFormat="1"/>
    <xf numFmtId="43" fontId="5" fillId="4" borderId="0" xfId="3" applyNumberFormat="1"/>
    <xf numFmtId="43" fontId="5" fillId="4" borderId="0" xfId="1" applyFont="1" applyFill="1"/>
    <xf numFmtId="43" fontId="4" fillId="3" borderId="0" xfId="2" applyNumberFormat="1"/>
    <xf numFmtId="11" fontId="4" fillId="3" borderId="0" xfId="2" applyNumberFormat="1"/>
    <xf numFmtId="2" fontId="4" fillId="3" borderId="0" xfId="2" applyNumberFormat="1"/>
    <xf numFmtId="165" fontId="4" fillId="3" borderId="0" xfId="2" applyNumberFormat="1"/>
    <xf numFmtId="166" fontId="4" fillId="3" borderId="0" xfId="2" applyNumberFormat="1"/>
    <xf numFmtId="167" fontId="4" fillId="3" borderId="0" xfId="2" applyNumberFormat="1"/>
    <xf numFmtId="164" fontId="4" fillId="3" borderId="0" xfId="2" applyNumberFormat="1"/>
    <xf numFmtId="43" fontId="4" fillId="3" borderId="0" xfId="1" applyFont="1" applyFill="1"/>
    <xf numFmtId="1" fontId="4" fillId="3" borderId="0" xfId="2" applyNumberFormat="1"/>
    <xf numFmtId="1" fontId="4" fillId="3" borderId="0" xfId="5" applyNumberFormat="1" applyFont="1" applyFill="1"/>
    <xf numFmtId="168" fontId="6" fillId="6" borderId="0" xfId="6" applyNumberFormat="1"/>
    <xf numFmtId="169" fontId="6" fillId="6" borderId="0" xfId="6" applyNumberFormat="1"/>
    <xf numFmtId="1" fontId="0" fillId="2" borderId="0" xfId="0" applyNumberFormat="1" applyFill="1"/>
    <xf numFmtId="2" fontId="4" fillId="3" borderId="0" xfId="1" applyNumberFormat="1" applyFont="1" applyFill="1"/>
    <xf numFmtId="0" fontId="1" fillId="0" borderId="1" xfId="0" applyFont="1" applyBorder="1" applyAlignment="1">
      <alignment horizontal="center"/>
    </xf>
  </cellXfs>
  <cellStyles count="7">
    <cellStyle name="İyi" xfId="2" builtinId="26"/>
    <cellStyle name="Normal" xfId="0" builtinId="0"/>
    <cellStyle name="Nötr" xfId="6" builtinId="28"/>
    <cellStyle name="ParaBirimi" xfId="5" builtinId="4"/>
    <cellStyle name="Virgül" xfId="1" builtinId="3"/>
    <cellStyle name="Vurgu1" xfId="3" builtinId="29"/>
    <cellStyle name="Vurgu5" xfId="4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M22" sqref="M22"/>
    </sheetView>
  </sheetViews>
  <sheetFormatPr defaultRowHeight="15" x14ac:dyDescent="0.25"/>
  <cols>
    <col min="1" max="1" width="23.42578125" bestFit="1" customWidth="1"/>
    <col min="2" max="2" width="8.5703125" bestFit="1" customWidth="1"/>
    <col min="4" max="4" width="24.5703125" bestFit="1" customWidth="1"/>
    <col min="5" max="5" width="15.7109375" bestFit="1" customWidth="1"/>
    <col min="7" max="7" width="22" bestFit="1" customWidth="1"/>
    <col min="8" max="8" width="14.28515625" bestFit="1" customWidth="1"/>
  </cols>
  <sheetData>
    <row r="1" spans="1:8" x14ac:dyDescent="0.25">
      <c r="A1" s="23" t="s">
        <v>0</v>
      </c>
      <c r="B1" s="23"/>
      <c r="C1" s="1"/>
      <c r="D1" s="23" t="s">
        <v>1</v>
      </c>
      <c r="E1" s="23"/>
      <c r="G1" s="23" t="s">
        <v>38</v>
      </c>
      <c r="H1" s="23"/>
    </row>
    <row r="2" spans="1:8" x14ac:dyDescent="0.25">
      <c r="A2" s="2" t="s">
        <v>13</v>
      </c>
      <c r="B2" s="2">
        <v>500000</v>
      </c>
      <c r="D2" t="s">
        <v>2</v>
      </c>
      <c r="E2" s="11">
        <f>B3/B4</f>
        <v>1.38</v>
      </c>
      <c r="G2" t="s">
        <v>41</v>
      </c>
      <c r="H2" s="7">
        <f>E3*E3*E21+E4*E4*E22</f>
        <v>1173.6473261855806</v>
      </c>
    </row>
    <row r="3" spans="1:8" x14ac:dyDescent="0.25">
      <c r="A3" s="2" t="s">
        <v>14</v>
      </c>
      <c r="B3" s="2">
        <v>34500</v>
      </c>
      <c r="D3" t="s">
        <v>22</v>
      </c>
      <c r="E3" s="11">
        <f>B2/B3</f>
        <v>14.492753623188406</v>
      </c>
      <c r="G3" t="s">
        <v>42</v>
      </c>
      <c r="H3" s="8">
        <f>B14*E18</f>
        <v>11536.365774997474</v>
      </c>
    </row>
    <row r="4" spans="1:8" x14ac:dyDescent="0.25">
      <c r="A4" s="2" t="s">
        <v>15</v>
      </c>
      <c r="B4" s="2">
        <v>25000</v>
      </c>
      <c r="D4" t="s">
        <v>23</v>
      </c>
      <c r="E4" s="11">
        <f>B2/B4</f>
        <v>20</v>
      </c>
      <c r="G4" t="s">
        <v>43</v>
      </c>
      <c r="H4" s="6">
        <f>H2+H3</f>
        <v>12710.013101183054</v>
      </c>
    </row>
    <row r="5" spans="1:8" x14ac:dyDescent="0.25">
      <c r="A5" s="2" t="s">
        <v>16</v>
      </c>
      <c r="B5" s="2">
        <v>50</v>
      </c>
      <c r="D5" t="s">
        <v>5</v>
      </c>
      <c r="E5" s="17">
        <f>E2*B10</f>
        <v>345</v>
      </c>
      <c r="G5" t="s">
        <v>40</v>
      </c>
      <c r="H5" s="9">
        <f>100*B2/(B2+H4)</f>
        <v>97.521013286964077</v>
      </c>
    </row>
    <row r="6" spans="1:8" x14ac:dyDescent="0.25">
      <c r="A6" s="2" t="s">
        <v>17</v>
      </c>
      <c r="B6" s="2">
        <v>-30</v>
      </c>
      <c r="D6" t="s">
        <v>45</v>
      </c>
      <c r="E6" s="11">
        <f>E5*(E3/B9)</f>
        <v>1666.6666666666667</v>
      </c>
    </row>
    <row r="7" spans="1:8" x14ac:dyDescent="0.25">
      <c r="A7" s="2" t="s">
        <v>18</v>
      </c>
      <c r="B7" s="2">
        <v>50</v>
      </c>
      <c r="D7" t="s">
        <v>44</v>
      </c>
      <c r="E7" s="11">
        <f>B10*(E4/B9)</f>
        <v>1666.6666666666667</v>
      </c>
    </row>
    <row r="8" spans="1:8" x14ac:dyDescent="0.25">
      <c r="A8" s="2" t="s">
        <v>7</v>
      </c>
      <c r="B8" s="2">
        <v>0.3</v>
      </c>
      <c r="D8" t="s">
        <v>11</v>
      </c>
      <c r="E8" s="13">
        <f>(E6+E7)*0.000001/B8</f>
        <v>1.1111111111111112E-2</v>
      </c>
    </row>
    <row r="9" spans="1:8" x14ac:dyDescent="0.25">
      <c r="A9" s="2" t="s">
        <v>10</v>
      </c>
      <c r="B9" s="2">
        <v>3</v>
      </c>
      <c r="D9" t="s">
        <v>12</v>
      </c>
      <c r="E9" s="14">
        <f>SQRT(E8)</f>
        <v>0.10540925533894598</v>
      </c>
    </row>
    <row r="10" spans="1:8" x14ac:dyDescent="0.25">
      <c r="A10" s="2" t="s">
        <v>6</v>
      </c>
      <c r="B10" s="21">
        <v>250</v>
      </c>
    </row>
    <row r="11" spans="1:8" x14ac:dyDescent="0.25">
      <c r="A11" s="23" t="s">
        <v>3</v>
      </c>
      <c r="B11" s="23"/>
      <c r="D11" s="23" t="s">
        <v>4</v>
      </c>
      <c r="E11" s="23"/>
      <c r="G11" s="23" t="s">
        <v>46</v>
      </c>
      <c r="H11" s="23"/>
    </row>
    <row r="12" spans="1:8" x14ac:dyDescent="0.25">
      <c r="A12" s="2" t="s">
        <v>19</v>
      </c>
      <c r="B12" s="3">
        <v>1.2</v>
      </c>
      <c r="D12" t="s">
        <v>24</v>
      </c>
      <c r="E12" s="10">
        <f>B3/(4.44*B5*E5*B12)</f>
        <v>0.3753753753753753</v>
      </c>
      <c r="G12" t="s">
        <v>47</v>
      </c>
      <c r="H12" s="22">
        <f>E16/(E12*B13*4*PI()*0.0000001)</f>
        <v>12846.468022061199</v>
      </c>
    </row>
    <row r="13" spans="1:8" x14ac:dyDescent="0.25">
      <c r="A13" s="2" t="s">
        <v>20</v>
      </c>
      <c r="B13" s="2">
        <v>474</v>
      </c>
      <c r="D13" t="s">
        <v>37</v>
      </c>
      <c r="E13" s="11">
        <f>SQRT(E12)</f>
        <v>0.61267885174483971</v>
      </c>
      <c r="G13" t="s">
        <v>48</v>
      </c>
      <c r="H13" s="16">
        <f>E5*E5/H12</f>
        <v>9.2651925646487996</v>
      </c>
    </row>
    <row r="14" spans="1:8" x14ac:dyDescent="0.25">
      <c r="A14" s="2" t="s">
        <v>8</v>
      </c>
      <c r="B14" s="2">
        <v>1.363</v>
      </c>
      <c r="D14" t="s">
        <v>25</v>
      </c>
      <c r="E14" s="12">
        <f>B12/(B13*4*0.0000001*PI())</f>
        <v>2014.6195328088015</v>
      </c>
      <c r="G14" t="s">
        <v>49</v>
      </c>
      <c r="H14" s="15">
        <f>(B3/E3)*0.02/(2*PI()*B5)</f>
        <v>0.15154733681210272</v>
      </c>
    </row>
    <row r="15" spans="1:8" x14ac:dyDescent="0.25">
      <c r="A15" s="2" t="s">
        <v>21</v>
      </c>
      <c r="B15" s="4">
        <v>3.5E-4</v>
      </c>
      <c r="D15" t="s">
        <v>26</v>
      </c>
      <c r="E15" s="15">
        <f>E13*2+E9</f>
        <v>1.3307669588286255</v>
      </c>
      <c r="F15" s="5"/>
      <c r="G15" t="s">
        <v>50</v>
      </c>
      <c r="H15" s="15">
        <f>(B4/E4)*0.02/(2*PI()*B5)</f>
        <v>7.9577471545947673E-2</v>
      </c>
    </row>
    <row r="16" spans="1:8" x14ac:dyDescent="0.25">
      <c r="A16" s="2" t="s">
        <v>9</v>
      </c>
      <c r="B16" s="2">
        <v>7.85</v>
      </c>
      <c r="D16" t="s">
        <v>27</v>
      </c>
      <c r="E16" s="11">
        <f>(E9+E13)*4</f>
        <v>2.8723524283351427</v>
      </c>
    </row>
    <row r="17" spans="1:8" x14ac:dyDescent="0.25">
      <c r="A17" s="2" t="s">
        <v>53</v>
      </c>
      <c r="B17" s="2">
        <v>3</v>
      </c>
      <c r="D17" t="s">
        <v>29</v>
      </c>
      <c r="E17" s="15">
        <f>(E9/2+E13)*PI()</f>
        <v>2.0903638507480204</v>
      </c>
    </row>
    <row r="18" spans="1:8" x14ac:dyDescent="0.25">
      <c r="D18" t="s">
        <v>39</v>
      </c>
      <c r="E18" s="18">
        <f>E12*E16*B16*1000</f>
        <v>8463.9514123238987</v>
      </c>
    </row>
    <row r="20" spans="1:8" x14ac:dyDescent="0.25">
      <c r="A20" s="23" t="s">
        <v>28</v>
      </c>
      <c r="B20" s="23"/>
      <c r="D20" s="23" t="s">
        <v>32</v>
      </c>
      <c r="E20" s="23"/>
      <c r="G20" s="23" t="s">
        <v>51</v>
      </c>
      <c r="H20" s="23"/>
    </row>
    <row r="21" spans="1:8" x14ac:dyDescent="0.25">
      <c r="A21" s="2" t="s">
        <v>36</v>
      </c>
      <c r="B21" s="2">
        <v>8940</v>
      </c>
      <c r="D21" t="s">
        <v>33</v>
      </c>
      <c r="E21" s="11">
        <f>(B22*(B7-20)*B23 + B22)*E5*E17/(E6*0.000001/E5)</f>
        <v>2.7938674599847748</v>
      </c>
      <c r="G21" t="s">
        <v>52</v>
      </c>
      <c r="H21" s="19">
        <f>E23*B24 + E18*B17</f>
        <v>25890.196978990025</v>
      </c>
    </row>
    <row r="22" spans="1:8" x14ac:dyDescent="0.25">
      <c r="A22" s="2" t="s">
        <v>30</v>
      </c>
      <c r="B22" s="4">
        <v>1.6800000000000002E-8</v>
      </c>
      <c r="D22" t="s">
        <v>34</v>
      </c>
      <c r="E22" s="11">
        <f>(B22*(B7-20)*B23 + B22)*B10*E17/(E7*0.000001/B10)</f>
        <v>1.4670591577319758</v>
      </c>
      <c r="G22" t="s">
        <v>55</v>
      </c>
      <c r="H22" s="20">
        <f>(H4/1000)*20*365*24*0.07</f>
        <v>155875.600672909</v>
      </c>
    </row>
    <row r="23" spans="1:8" x14ac:dyDescent="0.25">
      <c r="A23" s="2" t="s">
        <v>31</v>
      </c>
      <c r="B23" s="2">
        <v>3.8E-3</v>
      </c>
      <c r="D23" t="s">
        <v>35</v>
      </c>
      <c r="E23" s="17">
        <f>(B21*E6*0.000001*E17)+(B21*E7*0.000001*E17)</f>
        <v>62.292842752291001</v>
      </c>
    </row>
    <row r="24" spans="1:8" x14ac:dyDescent="0.25">
      <c r="A24" s="2" t="s">
        <v>54</v>
      </c>
      <c r="B24" s="2">
        <v>8</v>
      </c>
    </row>
  </sheetData>
  <mergeCells count="9">
    <mergeCell ref="A20:B20"/>
    <mergeCell ref="D20:E20"/>
    <mergeCell ref="G11:H11"/>
    <mergeCell ref="G20:H20"/>
    <mergeCell ref="G1:H1"/>
    <mergeCell ref="A1:B1"/>
    <mergeCell ref="D1:E1"/>
    <mergeCell ref="A11:B11"/>
    <mergeCell ref="D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2018-03-27T08:03:48Z</dcterms:modified>
</cp:coreProperties>
</file>