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BuÇalışmaKitabı" defaultThemeVersion="164011"/>
  <bookViews>
    <workbookView xWindow="0" yWindow="0" windowWidth="22260" windowHeight="12645" activeTab="2"/>
  </bookViews>
  <sheets>
    <sheet name="Single Design" sheetId="13" r:id="rId1"/>
    <sheet name="Turn Number changes" sheetId="1" r:id="rId2"/>
    <sheet name="Core Changes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3" l="1"/>
  <c r="E14" i="13"/>
  <c r="E7" i="13"/>
  <c r="E4" i="13"/>
  <c r="H15" i="13" s="1"/>
  <c r="E3" i="13"/>
  <c r="E2" i="13"/>
  <c r="E5" i="13" s="1"/>
  <c r="B217" i="12"/>
  <c r="B214" i="12"/>
  <c r="B192" i="12"/>
  <c r="B189" i="12"/>
  <c r="B167" i="12"/>
  <c r="B164" i="12"/>
  <c r="B142" i="12"/>
  <c r="B139" i="12"/>
  <c r="B117" i="12"/>
  <c r="B114" i="12"/>
  <c r="B92" i="12"/>
  <c r="B89" i="12"/>
  <c r="B67" i="12"/>
  <c r="B64" i="12"/>
  <c r="B42" i="12"/>
  <c r="B39" i="12"/>
  <c r="H215" i="12"/>
  <c r="H214" i="12"/>
  <c r="E214" i="12"/>
  <c r="E207" i="12"/>
  <c r="E204" i="12"/>
  <c r="E203" i="12"/>
  <c r="E202" i="12"/>
  <c r="E205" i="12" s="1"/>
  <c r="H190" i="12"/>
  <c r="H189" i="12"/>
  <c r="E189" i="12"/>
  <c r="E182" i="12"/>
  <c r="E179" i="12"/>
  <c r="E178" i="12"/>
  <c r="E177" i="12"/>
  <c r="E180" i="12" s="1"/>
  <c r="H165" i="12"/>
  <c r="E164" i="12"/>
  <c r="E155" i="12"/>
  <c r="E154" i="12"/>
  <c r="E157" i="12" s="1"/>
  <c r="E153" i="12"/>
  <c r="H164" i="12" s="1"/>
  <c r="E152" i="12"/>
  <c r="E139" i="12"/>
  <c r="E129" i="12"/>
  <c r="E132" i="12" s="1"/>
  <c r="E128" i="12"/>
  <c r="H139" i="12" s="1"/>
  <c r="E127" i="12"/>
  <c r="E130" i="12" s="1"/>
  <c r="Q35" i="12"/>
  <c r="Q26" i="12"/>
  <c r="Q17" i="12"/>
  <c r="Q7" i="12"/>
  <c r="N45" i="12"/>
  <c r="N35" i="12"/>
  <c r="Q38" i="12"/>
  <c r="Q29" i="12"/>
  <c r="Q20" i="12"/>
  <c r="Q10" i="12"/>
  <c r="N48" i="12"/>
  <c r="N38" i="12"/>
  <c r="N29" i="12"/>
  <c r="N26" i="12"/>
  <c r="N20" i="12"/>
  <c r="N17" i="12"/>
  <c r="H115" i="12"/>
  <c r="E114" i="12"/>
  <c r="E105" i="12"/>
  <c r="E112" i="12" s="1"/>
  <c r="E113" i="12" s="1"/>
  <c r="E104" i="12"/>
  <c r="E107" i="12" s="1"/>
  <c r="E103" i="12"/>
  <c r="H114" i="12" s="1"/>
  <c r="E102" i="12"/>
  <c r="H90" i="12"/>
  <c r="H89" i="12"/>
  <c r="E89" i="12"/>
  <c r="E82" i="12"/>
  <c r="E79" i="12"/>
  <c r="E78" i="12"/>
  <c r="E77" i="12"/>
  <c r="E80" i="12" s="1"/>
  <c r="H65" i="12"/>
  <c r="E64" i="12"/>
  <c r="E55" i="12"/>
  <c r="E56" i="12" s="1"/>
  <c r="E54" i="12"/>
  <c r="E57" i="12" s="1"/>
  <c r="E53" i="12"/>
  <c r="H64" i="12" s="1"/>
  <c r="E52" i="12"/>
  <c r="H40" i="12"/>
  <c r="H39" i="12"/>
  <c r="E39" i="12"/>
  <c r="E32" i="12"/>
  <c r="E29" i="12"/>
  <c r="E28" i="12"/>
  <c r="E27" i="12"/>
  <c r="E30" i="12" s="1"/>
  <c r="H15" i="12"/>
  <c r="E14" i="12"/>
  <c r="E5" i="12"/>
  <c r="E12" i="12" s="1"/>
  <c r="E4" i="12"/>
  <c r="E7" i="12" s="1"/>
  <c r="E3" i="12"/>
  <c r="H14" i="12" s="1"/>
  <c r="E2" i="12"/>
  <c r="E239" i="1"/>
  <c r="E229" i="1"/>
  <c r="E232" i="1" s="1"/>
  <c r="E228" i="1"/>
  <c r="H239" i="1" s="1"/>
  <c r="E227" i="1"/>
  <c r="E230" i="1" s="1"/>
  <c r="E214" i="1"/>
  <c r="E204" i="1"/>
  <c r="H215" i="1" s="1"/>
  <c r="E203" i="1"/>
  <c r="H214" i="1" s="1"/>
  <c r="E202" i="1"/>
  <c r="E205" i="1" s="1"/>
  <c r="H190" i="1"/>
  <c r="E189" i="1"/>
  <c r="E180" i="1"/>
  <c r="E179" i="1"/>
  <c r="E182" i="1" s="1"/>
  <c r="E178" i="1"/>
  <c r="H189" i="1" s="1"/>
  <c r="E177" i="1"/>
  <c r="E164" i="1"/>
  <c r="E154" i="1"/>
  <c r="E157" i="1" s="1"/>
  <c r="E153" i="1"/>
  <c r="H164" i="1" s="1"/>
  <c r="E152" i="1"/>
  <c r="E155" i="1" s="1"/>
  <c r="H140" i="1"/>
  <c r="E139" i="1"/>
  <c r="E130" i="1"/>
  <c r="E131" i="1" s="1"/>
  <c r="E129" i="1"/>
  <c r="E132" i="1" s="1"/>
  <c r="E128" i="1"/>
  <c r="H139" i="1" s="1"/>
  <c r="E127" i="1"/>
  <c r="H114" i="1"/>
  <c r="E114" i="1"/>
  <c r="E107" i="1"/>
  <c r="E104" i="1"/>
  <c r="H115" i="1" s="1"/>
  <c r="E103" i="1"/>
  <c r="E102" i="1"/>
  <c r="E105" i="1" s="1"/>
  <c r="H89" i="1"/>
  <c r="E89" i="1"/>
  <c r="E82" i="1"/>
  <c r="E79" i="1"/>
  <c r="H90" i="1" s="1"/>
  <c r="E78" i="1"/>
  <c r="E77" i="1"/>
  <c r="E80" i="1" s="1"/>
  <c r="E64" i="1"/>
  <c r="E54" i="1"/>
  <c r="E57" i="1" s="1"/>
  <c r="E53" i="1"/>
  <c r="H64" i="1" s="1"/>
  <c r="E52" i="1"/>
  <c r="E55" i="1" s="1"/>
  <c r="H39" i="1"/>
  <c r="E39" i="1"/>
  <c r="E32" i="1"/>
  <c r="E29" i="1"/>
  <c r="H40" i="1" s="1"/>
  <c r="E28" i="1"/>
  <c r="E27" i="1"/>
  <c r="E30" i="1" s="1"/>
  <c r="H22" i="1"/>
  <c r="E15" i="1"/>
  <c r="E16" i="1"/>
  <c r="E6" i="13" l="1"/>
  <c r="E12" i="13"/>
  <c r="E206" i="12"/>
  <c r="E212" i="12"/>
  <c r="E181" i="12"/>
  <c r="E187" i="12"/>
  <c r="E162" i="12"/>
  <c r="E156" i="12"/>
  <c r="E137" i="12"/>
  <c r="E131" i="12"/>
  <c r="H140" i="12"/>
  <c r="E62" i="12"/>
  <c r="E63" i="12" s="1"/>
  <c r="E65" i="12" s="1"/>
  <c r="E81" i="12"/>
  <c r="E87" i="12"/>
  <c r="E58" i="12"/>
  <c r="E59" i="12" s="1"/>
  <c r="E31" i="12"/>
  <c r="E37" i="12"/>
  <c r="E13" i="12"/>
  <c r="E6" i="12"/>
  <c r="E106" i="12"/>
  <c r="E237" i="1"/>
  <c r="E231" i="1"/>
  <c r="H240" i="1"/>
  <c r="E206" i="1"/>
  <c r="E212" i="1"/>
  <c r="E207" i="1"/>
  <c r="E187" i="1"/>
  <c r="E181" i="1"/>
  <c r="E162" i="1"/>
  <c r="E156" i="1"/>
  <c r="H165" i="1"/>
  <c r="E133" i="1"/>
  <c r="E134" i="1" s="1"/>
  <c r="E137" i="1"/>
  <c r="E106" i="1"/>
  <c r="E112" i="1"/>
  <c r="E87" i="1"/>
  <c r="E81" i="1"/>
  <c r="E62" i="1"/>
  <c r="E56" i="1"/>
  <c r="H65" i="1"/>
  <c r="E37" i="1"/>
  <c r="E31" i="1"/>
  <c r="E14" i="1"/>
  <c r="E8" i="13" l="1"/>
  <c r="E9" i="13" s="1"/>
  <c r="E13" i="13"/>
  <c r="E208" i="12"/>
  <c r="E209" i="12" s="1"/>
  <c r="E213" i="12"/>
  <c r="E188" i="12"/>
  <c r="E190" i="12" s="1"/>
  <c r="E183" i="12"/>
  <c r="E184" i="12" s="1"/>
  <c r="E158" i="12"/>
  <c r="E159" i="12" s="1"/>
  <c r="E163" i="12"/>
  <c r="E138" i="12"/>
  <c r="E140" i="12" s="1"/>
  <c r="E133" i="12"/>
  <c r="E134" i="12" s="1"/>
  <c r="E33" i="12"/>
  <c r="E34" i="12" s="1"/>
  <c r="E88" i="12"/>
  <c r="E90" i="12" s="1"/>
  <c r="E108" i="12"/>
  <c r="E109" i="12" s="1"/>
  <c r="E38" i="12"/>
  <c r="E83" i="12"/>
  <c r="E84" i="12" s="1"/>
  <c r="E66" i="12"/>
  <c r="E67" i="12"/>
  <c r="E8" i="12"/>
  <c r="E9" i="12" s="1"/>
  <c r="E238" i="1"/>
  <c r="E233" i="1"/>
  <c r="E234" i="1" s="1"/>
  <c r="E213" i="1"/>
  <c r="E208" i="1"/>
  <c r="E209" i="1" s="1"/>
  <c r="E183" i="1"/>
  <c r="E184" i="1" s="1"/>
  <c r="E188" i="1"/>
  <c r="E163" i="1"/>
  <c r="E158" i="1"/>
  <c r="E159" i="1" s="1"/>
  <c r="E138" i="1"/>
  <c r="E140" i="1" s="1"/>
  <c r="E113" i="1"/>
  <c r="E108" i="1"/>
  <c r="E109" i="1" s="1"/>
  <c r="E88" i="1"/>
  <c r="E83" i="1"/>
  <c r="E84" i="1" s="1"/>
  <c r="E63" i="1"/>
  <c r="E65" i="1" s="1"/>
  <c r="E58" i="1"/>
  <c r="E59" i="1" s="1"/>
  <c r="E33" i="1"/>
  <c r="E34" i="1" s="1"/>
  <c r="E38" i="1"/>
  <c r="E4" i="1"/>
  <c r="E3" i="1"/>
  <c r="H14" i="1" s="1"/>
  <c r="E2" i="1"/>
  <c r="E17" i="13" l="1"/>
  <c r="E16" i="13"/>
  <c r="E15" i="13"/>
  <c r="E217" i="12"/>
  <c r="E216" i="12"/>
  <c r="E215" i="12"/>
  <c r="E192" i="12"/>
  <c r="E191" i="12"/>
  <c r="E165" i="12"/>
  <c r="E167" i="12"/>
  <c r="E166" i="12"/>
  <c r="E142" i="12"/>
  <c r="E141" i="12"/>
  <c r="E40" i="12"/>
  <c r="E17" i="12"/>
  <c r="E16" i="12"/>
  <c r="E72" i="12"/>
  <c r="E71" i="12"/>
  <c r="H52" i="12" s="1"/>
  <c r="E73" i="12"/>
  <c r="H62" i="12"/>
  <c r="H63" i="12" s="1"/>
  <c r="E68" i="12"/>
  <c r="H53" i="12" s="1"/>
  <c r="E42" i="12"/>
  <c r="E41" i="12"/>
  <c r="E15" i="12"/>
  <c r="E92" i="12"/>
  <c r="E91" i="12"/>
  <c r="E117" i="12"/>
  <c r="E116" i="12"/>
  <c r="E115" i="12"/>
  <c r="E240" i="1"/>
  <c r="E165" i="1"/>
  <c r="E141" i="1"/>
  <c r="H137" i="1" s="1"/>
  <c r="H138" i="1" s="1"/>
  <c r="E142" i="1"/>
  <c r="E148" i="1" s="1"/>
  <c r="H146" i="1" s="1"/>
  <c r="E115" i="1"/>
  <c r="E90" i="1"/>
  <c r="E242" i="1"/>
  <c r="E241" i="1"/>
  <c r="E216" i="1"/>
  <c r="E217" i="1"/>
  <c r="E215" i="1"/>
  <c r="E192" i="1"/>
  <c r="E191" i="1"/>
  <c r="E190" i="1"/>
  <c r="E167" i="1"/>
  <c r="E166" i="1"/>
  <c r="E147" i="1"/>
  <c r="E146" i="1"/>
  <c r="H127" i="1" s="1"/>
  <c r="H129" i="1" s="1"/>
  <c r="E143" i="1"/>
  <c r="H128" i="1" s="1"/>
  <c r="E117" i="1"/>
  <c r="E116" i="1"/>
  <c r="E92" i="1"/>
  <c r="E91" i="1"/>
  <c r="E67" i="1"/>
  <c r="E66" i="1"/>
  <c r="E40" i="1"/>
  <c r="E42" i="1"/>
  <c r="E41" i="1"/>
  <c r="E5" i="1"/>
  <c r="H15" i="1"/>
  <c r="E7" i="1"/>
  <c r="E22" i="13" l="1"/>
  <c r="E21" i="13"/>
  <c r="H2" i="13" s="1"/>
  <c r="H4" i="13" s="1"/>
  <c r="E23" i="13"/>
  <c r="H12" i="13"/>
  <c r="H13" i="13" s="1"/>
  <c r="E18" i="13"/>
  <c r="H3" i="13" s="1"/>
  <c r="H71" i="12"/>
  <c r="H212" i="12"/>
  <c r="H213" i="12" s="1"/>
  <c r="E218" i="12"/>
  <c r="H203" i="12" s="1"/>
  <c r="E222" i="12"/>
  <c r="E221" i="12"/>
  <c r="H202" i="12" s="1"/>
  <c r="H204" i="12" s="1"/>
  <c r="E223" i="12"/>
  <c r="H221" i="12" s="1"/>
  <c r="H187" i="12"/>
  <c r="H188" i="12" s="1"/>
  <c r="E193" i="12"/>
  <c r="H178" i="12" s="1"/>
  <c r="E197" i="12"/>
  <c r="E196" i="12"/>
  <c r="H177" i="12" s="1"/>
  <c r="H179" i="12" s="1"/>
  <c r="E198" i="12"/>
  <c r="E172" i="12"/>
  <c r="E171" i="12"/>
  <c r="H152" i="12" s="1"/>
  <c r="E173" i="12"/>
  <c r="H162" i="12"/>
  <c r="H163" i="12" s="1"/>
  <c r="E168" i="12"/>
  <c r="H153" i="12" s="1"/>
  <c r="H137" i="12"/>
  <c r="H138" i="12" s="1"/>
  <c r="E143" i="12"/>
  <c r="H128" i="12" s="1"/>
  <c r="E147" i="12"/>
  <c r="E146" i="12"/>
  <c r="H127" i="12" s="1"/>
  <c r="H129" i="12" s="1"/>
  <c r="E148" i="12"/>
  <c r="H146" i="12" s="1"/>
  <c r="H54" i="12"/>
  <c r="H72" i="12" s="1"/>
  <c r="H37" i="12"/>
  <c r="H38" i="12" s="1"/>
  <c r="E43" i="12"/>
  <c r="H28" i="12" s="1"/>
  <c r="E47" i="12"/>
  <c r="E46" i="12"/>
  <c r="E48" i="12"/>
  <c r="E22" i="12"/>
  <c r="E21" i="12"/>
  <c r="H2" i="12" s="1"/>
  <c r="E23" i="12"/>
  <c r="E122" i="12"/>
  <c r="E121" i="12"/>
  <c r="H102" i="12" s="1"/>
  <c r="H104" i="12" s="1"/>
  <c r="E123" i="12"/>
  <c r="E97" i="12"/>
  <c r="E96" i="12"/>
  <c r="H77" i="12" s="1"/>
  <c r="E98" i="12"/>
  <c r="H112" i="12"/>
  <c r="H113" i="12" s="1"/>
  <c r="E118" i="12"/>
  <c r="H103" i="12" s="1"/>
  <c r="H87" i="12"/>
  <c r="H88" i="12" s="1"/>
  <c r="E93" i="12"/>
  <c r="H78" i="12" s="1"/>
  <c r="H12" i="12"/>
  <c r="H13" i="12" s="1"/>
  <c r="E18" i="12"/>
  <c r="H3" i="12" s="1"/>
  <c r="H237" i="1"/>
  <c r="H238" i="1" s="1"/>
  <c r="E243" i="1"/>
  <c r="H228" i="1" s="1"/>
  <c r="E247" i="1"/>
  <c r="E246" i="1"/>
  <c r="E248" i="1"/>
  <c r="E222" i="1"/>
  <c r="E221" i="1"/>
  <c r="H202" i="1" s="1"/>
  <c r="E223" i="1"/>
  <c r="H212" i="1"/>
  <c r="H213" i="1" s="1"/>
  <c r="E218" i="1"/>
  <c r="H203" i="1" s="1"/>
  <c r="H187" i="1"/>
  <c r="H188" i="1" s="1"/>
  <c r="E193" i="1"/>
  <c r="H178" i="1" s="1"/>
  <c r="E197" i="1"/>
  <c r="E196" i="1"/>
  <c r="H177" i="1" s="1"/>
  <c r="E198" i="1"/>
  <c r="H162" i="1"/>
  <c r="H163" i="1" s="1"/>
  <c r="E168" i="1"/>
  <c r="H153" i="1" s="1"/>
  <c r="E172" i="1"/>
  <c r="E171" i="1"/>
  <c r="H152" i="1" s="1"/>
  <c r="H154" i="1" s="1"/>
  <c r="E173" i="1"/>
  <c r="H171" i="1" s="1"/>
  <c r="H130" i="1"/>
  <c r="H147" i="1"/>
  <c r="H112" i="1"/>
  <c r="H113" i="1" s="1"/>
  <c r="E118" i="1"/>
  <c r="H103" i="1" s="1"/>
  <c r="E122" i="1"/>
  <c r="E121" i="1"/>
  <c r="H102" i="1" s="1"/>
  <c r="E123" i="1"/>
  <c r="H87" i="1"/>
  <c r="H88" i="1" s="1"/>
  <c r="E93" i="1"/>
  <c r="H78" i="1" s="1"/>
  <c r="E97" i="1"/>
  <c r="E96" i="1"/>
  <c r="E98" i="1"/>
  <c r="H96" i="1" s="1"/>
  <c r="H62" i="1"/>
  <c r="H63" i="1" s="1"/>
  <c r="E68" i="1"/>
  <c r="H53" i="1" s="1"/>
  <c r="E72" i="1"/>
  <c r="E71" i="1"/>
  <c r="H52" i="1" s="1"/>
  <c r="E73" i="1"/>
  <c r="E47" i="1"/>
  <c r="E46" i="1"/>
  <c r="H27" i="1" s="1"/>
  <c r="E48" i="1"/>
  <c r="H37" i="1"/>
  <c r="H38" i="1" s="1"/>
  <c r="E43" i="1"/>
  <c r="H28" i="1" s="1"/>
  <c r="E12" i="1"/>
  <c r="E13" i="1" s="1"/>
  <c r="E6" i="1"/>
  <c r="E8" i="1" s="1"/>
  <c r="E9" i="1" s="1"/>
  <c r="H5" i="13" l="1"/>
  <c r="H22" i="13"/>
  <c r="H21" i="13"/>
  <c r="H4" i="12"/>
  <c r="H5" i="12" s="1"/>
  <c r="H196" i="12"/>
  <c r="H154" i="12"/>
  <c r="H46" i="12"/>
  <c r="H27" i="12"/>
  <c r="H29" i="12" s="1"/>
  <c r="H222" i="12"/>
  <c r="H205" i="12"/>
  <c r="H180" i="12"/>
  <c r="H197" i="12"/>
  <c r="H155" i="12"/>
  <c r="H172" i="12"/>
  <c r="H171" i="12"/>
  <c r="H130" i="12"/>
  <c r="H147" i="12"/>
  <c r="H55" i="12"/>
  <c r="H122" i="12"/>
  <c r="H105" i="12"/>
  <c r="H22" i="12"/>
  <c r="H96" i="12"/>
  <c r="H47" i="12"/>
  <c r="H30" i="12"/>
  <c r="H79" i="12"/>
  <c r="H121" i="12"/>
  <c r="H21" i="12"/>
  <c r="H227" i="1"/>
  <c r="H71" i="1"/>
  <c r="H29" i="1"/>
  <c r="H47" i="1" s="1"/>
  <c r="H246" i="1"/>
  <c r="H229" i="1"/>
  <c r="H204" i="1"/>
  <c r="H221" i="1"/>
  <c r="H179" i="1"/>
  <c r="H196" i="1"/>
  <c r="H172" i="1"/>
  <c r="H155" i="1"/>
  <c r="H104" i="1"/>
  <c r="H121" i="1"/>
  <c r="H77" i="1"/>
  <c r="H79" i="1" s="1"/>
  <c r="H54" i="1"/>
  <c r="H46" i="1"/>
  <c r="E17" i="1"/>
  <c r="E22" i="1" s="1"/>
  <c r="E18" i="1"/>
  <c r="H3" i="1" s="1"/>
  <c r="H97" i="12" l="1"/>
  <c r="H80" i="12"/>
  <c r="H30" i="1"/>
  <c r="H230" i="1"/>
  <c r="H247" i="1"/>
  <c r="H222" i="1"/>
  <c r="H205" i="1"/>
  <c r="H180" i="1"/>
  <c r="H197" i="1"/>
  <c r="H122" i="1"/>
  <c r="H105" i="1"/>
  <c r="H97" i="1"/>
  <c r="H80" i="1"/>
  <c r="H72" i="1"/>
  <c r="H55" i="1"/>
  <c r="E21" i="1"/>
  <c r="H2" i="1" s="1"/>
  <c r="H4" i="1" s="1"/>
  <c r="E23" i="1"/>
  <c r="H21" i="1" s="1"/>
  <c r="H12" i="1"/>
  <c r="H13" i="1" s="1"/>
  <c r="H5" i="1" l="1"/>
</calcChain>
</file>

<file path=xl/sharedStrings.xml><?xml version="1.0" encoding="utf-8"?>
<sst xmlns="http://schemas.openxmlformats.org/spreadsheetml/2006/main" count="1183" uniqueCount="65">
  <si>
    <t>Design Inputs</t>
  </si>
  <si>
    <t>Initial Calculations</t>
  </si>
  <si>
    <t>N1/N2</t>
  </si>
  <si>
    <t>Core Specs</t>
  </si>
  <si>
    <t>Core Dependent Calculations</t>
  </si>
  <si>
    <t>N1</t>
  </si>
  <si>
    <t>N2</t>
  </si>
  <si>
    <t>FF</t>
  </si>
  <si>
    <t>CoreLoss(W/kg)</t>
  </si>
  <si>
    <t>Density(kg/dm3)</t>
  </si>
  <si>
    <t>J(A/mm2)</t>
  </si>
  <si>
    <t>Window Area(m2)</t>
  </si>
  <si>
    <t>Window Edge(m)</t>
  </si>
  <si>
    <t>S(VA)</t>
  </si>
  <si>
    <t>Vin(Vrms)</t>
  </si>
  <si>
    <t>Vo(Vrms)</t>
  </si>
  <si>
    <t>f(Hz)</t>
  </si>
  <si>
    <t>Temp Min(Celc)</t>
  </si>
  <si>
    <t>Temp Max(Celc)</t>
  </si>
  <si>
    <t>B(T)</t>
  </si>
  <si>
    <t>Relative Perm</t>
  </si>
  <si>
    <t>Lamination Thickness(m)</t>
  </si>
  <si>
    <t>CurrIn(Arms)</t>
  </si>
  <si>
    <t>CurrOut(Arms)</t>
  </si>
  <si>
    <t>Area(m2)</t>
  </si>
  <si>
    <t>H(A/m)</t>
  </si>
  <si>
    <t>OuterEdge(m)</t>
  </si>
  <si>
    <t>Middle Length(m)</t>
  </si>
  <si>
    <t>Winding Specs</t>
  </si>
  <si>
    <t>One Turn Length(m)</t>
  </si>
  <si>
    <t>Resistivity(ohm-m) @20C</t>
  </si>
  <si>
    <t>Temperature Coeff</t>
  </si>
  <si>
    <t>Winding Calculations</t>
  </si>
  <si>
    <t>Input Wind. Resist @50C</t>
  </si>
  <si>
    <t>Output Wind. Resist @50C</t>
  </si>
  <si>
    <t>Copper Mass(kg)</t>
  </si>
  <si>
    <t>Density(kg/m3)</t>
  </si>
  <si>
    <t>Edge(m)</t>
  </si>
  <si>
    <t>Losses</t>
  </si>
  <si>
    <t>Core Mass(kg)</t>
  </si>
  <si>
    <t>Efficiency(%)</t>
  </si>
  <si>
    <t>Copper Loss(W)</t>
  </si>
  <si>
    <t>Core Loss(W)</t>
  </si>
  <si>
    <t>Total Loss(W)</t>
  </si>
  <si>
    <t>N2*AreaCopperOut(mm2)</t>
  </si>
  <si>
    <t>N1*AreaCopperIn(mm2)</t>
  </si>
  <si>
    <t>Inductance Calculations</t>
  </si>
  <si>
    <t>Reluctance</t>
  </si>
  <si>
    <t>Mutual Inductance(H)</t>
  </si>
  <si>
    <t>Leakage Ind 1 (H)</t>
  </si>
  <si>
    <t>Leakage Ind 2 (H)</t>
  </si>
  <si>
    <t>Costs</t>
  </si>
  <si>
    <t>Material Cost</t>
  </si>
  <si>
    <t>Core Cost ($/kg)</t>
  </si>
  <si>
    <t>Winding Cost ($/kg)</t>
  </si>
  <si>
    <t>Energy Lost (0.07$/kwh)</t>
  </si>
  <si>
    <t>Steel</t>
  </si>
  <si>
    <t>M235-35A</t>
  </si>
  <si>
    <t>M250-50A</t>
  </si>
  <si>
    <t>M310-65A</t>
  </si>
  <si>
    <t>M600-100A</t>
  </si>
  <si>
    <t>M700-35A</t>
  </si>
  <si>
    <t>M940-50A</t>
  </si>
  <si>
    <t>M1000-65A</t>
  </si>
  <si>
    <t>M1000-100A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</si>
</sst>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"/>
    <numFmt numFmtId="166" formatCode="0.00000"/>
    <numFmt numFmtId="167" formatCode="0.000000"/>
    <numFmt numFmtId="168" formatCode="_-[$$-409]* #,##0_ ;_-[$$-409]* \-#,##0\ ;_-[$$-409]* &quot;-&quot;_ ;_-@_ "/>
    <numFmt numFmtId="169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44" fontId="3" fillId="0" borderId="0" applyFont="0" applyFill="0" applyBorder="0" applyAlignment="0" applyProtection="0"/>
    <xf numFmtId="0" fontId="6" fillId="6" borderId="0" applyNumberFormat="0" applyBorder="0" applyAlignment="0" applyProtection="0"/>
  </cellStyleXfs>
  <cellXfs count="48">
    <xf numFmtId="0" fontId="0" fillId="0" borderId="0" xfId="0"/>
    <xf numFmtId="0" fontId="0" fillId="0" borderId="0" xfId="0" applyBorder="1" applyAlignment="1"/>
    <xf numFmtId="0" fontId="0" fillId="2" borderId="0" xfId="0" applyFill="1"/>
    <xf numFmtId="0" fontId="0" fillId="2" borderId="0" xfId="0" applyFill="1" applyBorder="1"/>
    <xf numFmtId="11" fontId="0" fillId="2" borderId="0" xfId="0" applyNumberFormat="1" applyFill="1"/>
    <xf numFmtId="0" fontId="2" fillId="0" borderId="0" xfId="0" applyFont="1"/>
    <xf numFmtId="43" fontId="5" fillId="5" borderId="0" xfId="4" applyNumberFormat="1"/>
    <xf numFmtId="43" fontId="5" fillId="4" borderId="0" xfId="3" applyNumberFormat="1"/>
    <xf numFmtId="43" fontId="5" fillId="4" borderId="0" xfId="1" applyFont="1" applyFill="1"/>
    <xf numFmtId="43" fontId="4" fillId="3" borderId="0" xfId="2" applyNumberFormat="1"/>
    <xf numFmtId="11" fontId="4" fillId="3" borderId="0" xfId="2" applyNumberFormat="1"/>
    <xf numFmtId="2" fontId="4" fillId="3" borderId="0" xfId="2" applyNumberFormat="1"/>
    <xf numFmtId="165" fontId="4" fillId="3" borderId="0" xfId="2" applyNumberFormat="1"/>
    <xf numFmtId="166" fontId="4" fillId="3" borderId="0" xfId="2" applyNumberFormat="1"/>
    <xf numFmtId="167" fontId="4" fillId="3" borderId="0" xfId="2" applyNumberFormat="1"/>
    <xf numFmtId="164" fontId="4" fillId="3" borderId="0" xfId="2" applyNumberFormat="1"/>
    <xf numFmtId="43" fontId="4" fillId="3" borderId="0" xfId="1" applyFont="1" applyFill="1"/>
    <xf numFmtId="1" fontId="4" fillId="3" borderId="0" xfId="2" applyNumberFormat="1"/>
    <xf numFmtId="1" fontId="4" fillId="3" borderId="0" xfId="5" applyNumberFormat="1" applyFont="1" applyFill="1"/>
    <xf numFmtId="168" fontId="6" fillId="6" borderId="0" xfId="6" applyNumberFormat="1"/>
    <xf numFmtId="169" fontId="6" fillId="6" borderId="0" xfId="6" applyNumberFormat="1"/>
    <xf numFmtId="1" fontId="0" fillId="2" borderId="0" xfId="0" applyNumberFormat="1" applyFill="1"/>
    <xf numFmtId="2" fontId="4" fillId="3" borderId="0" xfId="1" applyNumberFormat="1" applyFont="1" applyFill="1"/>
    <xf numFmtId="0" fontId="0" fillId="0" borderId="0" xfId="0" applyFill="1" applyBorder="1" applyAlignment="1"/>
    <xf numFmtId="0" fontId="0" fillId="0" borderId="0" xfId="0" applyFill="1" applyBorder="1"/>
    <xf numFmtId="2" fontId="4" fillId="0" borderId="0" xfId="2" applyNumberFormat="1" applyFill="1" applyBorder="1"/>
    <xf numFmtId="43" fontId="5" fillId="0" borderId="0" xfId="3" applyNumberFormat="1" applyFill="1" applyBorder="1"/>
    <xf numFmtId="43" fontId="5" fillId="0" borderId="0" xfId="1" applyFont="1" applyFill="1" applyBorder="1"/>
    <xf numFmtId="43" fontId="5" fillId="0" borderId="0" xfId="4" applyNumberFormat="1" applyFill="1" applyBorder="1"/>
    <xf numFmtId="1" fontId="4" fillId="0" borderId="0" xfId="2" applyNumberFormat="1" applyFill="1" applyBorder="1"/>
    <xf numFmtId="43" fontId="4" fillId="0" borderId="0" xfId="2" applyNumberFormat="1" applyFill="1" applyBorder="1"/>
    <xf numFmtId="166" fontId="4" fillId="0" borderId="0" xfId="2" applyNumberFormat="1" applyFill="1" applyBorder="1"/>
    <xf numFmtId="167" fontId="4" fillId="0" borderId="0" xfId="2" applyNumberFormat="1" applyFill="1" applyBorder="1"/>
    <xf numFmtId="1" fontId="0" fillId="0" borderId="0" xfId="0" applyNumberFormat="1" applyFill="1" applyBorder="1"/>
    <xf numFmtId="11" fontId="4" fillId="0" borderId="0" xfId="2" applyNumberFormat="1" applyFill="1" applyBorder="1"/>
    <xf numFmtId="2" fontId="4" fillId="0" borderId="0" xfId="1" applyNumberFormat="1" applyFont="1" applyFill="1" applyBorder="1"/>
    <xf numFmtId="43" fontId="4" fillId="0" borderId="0" xfId="1" applyFont="1" applyFill="1" applyBorder="1"/>
    <xf numFmtId="165" fontId="4" fillId="0" borderId="0" xfId="2" applyNumberFormat="1" applyFill="1" applyBorder="1"/>
    <xf numFmtId="164" fontId="4" fillId="0" borderId="0" xfId="2" applyNumberFormat="1" applyFill="1" applyBorder="1"/>
    <xf numFmtId="11" fontId="0" fillId="0" borderId="0" xfId="0" applyNumberFormat="1" applyFill="1" applyBorder="1"/>
    <xf numFmtId="0" fontId="2" fillId="0" borderId="0" xfId="0" applyFont="1" applyFill="1" applyBorder="1"/>
    <xf numFmtId="1" fontId="4" fillId="0" borderId="0" xfId="5" applyNumberFormat="1" applyFont="1" applyFill="1" applyBorder="1"/>
    <xf numFmtId="168" fontId="6" fillId="0" borderId="0" xfId="6" applyNumberFormat="1" applyFill="1" applyBorder="1"/>
    <xf numFmtId="169" fontId="6" fillId="0" borderId="0" xfId="6" applyNumberFormat="1" applyFill="1" applyBorder="1"/>
    <xf numFmtId="0" fontId="0" fillId="0" borderId="0" xfId="0" applyFill="1"/>
    <xf numFmtId="11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7">
    <cellStyle name="İyi" xfId="2" builtinId="26"/>
    <cellStyle name="Normal" xfId="0" builtinId="0"/>
    <cellStyle name="Nötr" xfId="6" builtinId="28"/>
    <cellStyle name="ParaBirimi" xfId="5" builtinId="4"/>
    <cellStyle name="Virgül" xfId="1" builtinId="3"/>
    <cellStyle name="Vurgu1" xfId="3" builtinId="29"/>
    <cellStyle name="Vurgu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Copper Loss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('Turn Number changes'!$B$10,'Turn Number changes'!$B$35,'Turn Number changes'!$B$60,'Turn Number changes'!$B$85,'Turn Number changes'!$B$110,'Turn Number changes'!$B$135,'Turn Number changes'!$B$160,'Turn Number changes'!$B$185,'Turn Number changes'!$B$210,'Turn Number changes'!$B$235)</c:f>
              <c:numCache>
                <c:formatCode>0</c:formatCode>
                <c:ptCount val="10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  <c:pt idx="6">
                  <c:v>1150</c:v>
                </c:pt>
                <c:pt idx="7">
                  <c:v>1300</c:v>
                </c:pt>
                <c:pt idx="8">
                  <c:v>1450</c:v>
                </c:pt>
                <c:pt idx="9">
                  <c:v>1600</c:v>
                </c:pt>
              </c:numCache>
            </c:numRef>
          </c:cat>
          <c:val>
            <c:numRef>
              <c:f>('Turn Number changes'!$H$2,'Turn Number changes'!$H$27,'Turn Number changes'!$H$52,'Turn Number changes'!$H$77,'Turn Number changes'!$H$102,'Turn Number changes'!$H$127,'Turn Number changes'!$H$152,'Turn Number changes'!$H$177,'Turn Number changes'!$H$202,'Turn Number changes'!$H$227)</c:f>
              <c:numCache>
                <c:formatCode>_(* #,##0.00_);_(* \(#,##0.00\);_(* "-"??_);_(@_)</c:formatCode>
                <c:ptCount val="10"/>
                <c:pt idx="0">
                  <c:v>1173.6473261855806</c:v>
                </c:pt>
                <c:pt idx="1">
                  <c:v>1555.1141300017616</c:v>
                </c:pt>
                <c:pt idx="2">
                  <c:v>1906.2656068739072</c:v>
                </c:pt>
                <c:pt idx="3">
                  <c:v>2243.8926601885469</c:v>
                </c:pt>
                <c:pt idx="4">
                  <c:v>2575.4994624639394</c:v>
                </c:pt>
                <c:pt idx="5">
                  <c:v>2905.0780713072427</c:v>
                </c:pt>
                <c:pt idx="6">
                  <c:v>3234.9803759049883</c:v>
                </c:pt>
                <c:pt idx="7">
                  <c:v>3566.6870036183986</c:v>
                </c:pt>
                <c:pt idx="8">
                  <c:v>3901.1733430582244</c:v>
                </c:pt>
                <c:pt idx="9">
                  <c:v>4239.1025287484263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C-4C7F-80D4-F19E86D3BD39}"/>
            </c:ext>
          </c:extLst>
        </c:ser>
        <c:ser>
          <c:idx val="1"/>
          <c:order val="1"/>
          <c:tx>
            <c:v>Core Loss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('Turn Number changes'!$B$10,'Turn Number changes'!$B$35,'Turn Number changes'!$B$60,'Turn Number changes'!$B$85,'Turn Number changes'!$B$110,'Turn Number changes'!$B$135,'Turn Number changes'!$B$160,'Turn Number changes'!$B$185,'Turn Number changes'!$B$210,'Turn Number changes'!$B$235)</c:f>
              <c:numCache>
                <c:formatCode>0</c:formatCode>
                <c:ptCount val="10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  <c:pt idx="6">
                  <c:v>1150</c:v>
                </c:pt>
                <c:pt idx="7">
                  <c:v>1300</c:v>
                </c:pt>
                <c:pt idx="8">
                  <c:v>1450</c:v>
                </c:pt>
                <c:pt idx="9">
                  <c:v>1600</c:v>
                </c:pt>
              </c:numCache>
            </c:numRef>
          </c:cat>
          <c:val>
            <c:numRef>
              <c:f>('Turn Number changes'!$H$3,'Turn Number changes'!$H$28,'Turn Number changes'!$H$53,'Turn Number changes'!$H$78,'Turn Number changes'!$H$103,'Turn Number changes'!$H$128,'Turn Number changes'!$H$153,'Turn Number changes'!$H$178,'Turn Number changes'!$H$203,'Turn Number changes'!$H$228)</c:f>
              <c:numCache>
                <c:formatCode>_(* #,##0.00_);_(* \(#,##0.00\);_(* "-"??_);_(@_)</c:formatCode>
                <c:ptCount val="10"/>
                <c:pt idx="0">
                  <c:v>11536.365774997474</c:v>
                </c:pt>
                <c:pt idx="1">
                  <c:v>6202.2296637318232</c:v>
                </c:pt>
                <c:pt idx="2">
                  <c:v>4158.126052152028</c:v>
                </c:pt>
                <c:pt idx="3">
                  <c:v>3112.8361624246377</c:v>
                </c:pt>
                <c:pt idx="4">
                  <c:v>2488.419455942766</c:v>
                </c:pt>
                <c:pt idx="5">
                  <c:v>2077.0860360423753</c:v>
                </c:pt>
                <c:pt idx="6">
                  <c:v>1787.2420391442531</c:v>
                </c:pt>
                <c:pt idx="7">
                  <c:v>1572.701419039405</c:v>
                </c:pt>
                <c:pt idx="8">
                  <c:v>1407.8271940038428</c:v>
                </c:pt>
                <c:pt idx="9">
                  <c:v>1277.3221576661776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C-4C7F-80D4-F19E86D3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063503"/>
        <c:axId val="1977065167"/>
      </c:barChart>
      <c:catAx>
        <c:axId val="197706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Output</a:t>
                </a:r>
                <a:r>
                  <a:rPr lang="tr-TR" baseline="0"/>
                  <a:t> Turn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5167"/>
        <c:crosses val="autoZero"/>
        <c:auto val="1"/>
        <c:lblAlgn val="ctr"/>
        <c:lblOffset val="100"/>
        <c:noMultiLvlLbl val="0"/>
      </c:catAx>
      <c:valAx>
        <c:axId val="1977065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Losses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COSTS</a:t>
            </a:r>
            <a:r>
              <a:rPr lang="tr-TR" baseline="0"/>
              <a:t> vs Turn number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Material Cost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('Turn Number changes'!$B$10,'Turn Number changes'!$B$35,'Turn Number changes'!$B$60,'Turn Number changes'!$B$85,'Turn Number changes'!$B$110,'Turn Number changes'!$B$135,'Turn Number changes'!$B$160,'Turn Number changes'!$B$185,'Turn Number changes'!$B$210,'Turn Number changes'!$B$235)</c:f>
              <c:numCache>
                <c:formatCode>0</c:formatCode>
                <c:ptCount val="10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  <c:pt idx="6">
                  <c:v>1150</c:v>
                </c:pt>
                <c:pt idx="7">
                  <c:v>1300</c:v>
                </c:pt>
                <c:pt idx="8">
                  <c:v>1450</c:v>
                </c:pt>
                <c:pt idx="9">
                  <c:v>1600</c:v>
                </c:pt>
              </c:numCache>
            </c:numRef>
          </c:cat>
          <c:val>
            <c:numRef>
              <c:f>('Turn Number changes'!$H$21,'Turn Number changes'!$H$46,'Turn Number changes'!$H$71,'Turn Number changes'!$H$96,'Turn Number changes'!$H$121,'Turn Number changes'!$H$146,'Turn Number changes'!$H$171,'Turn Number changes'!$H$196,'Turn Number changes'!$H$221,'Turn Number changes'!$H$246)</c:f>
              <c:numCache>
                <c:formatCode>_-[$$-409]* #,##0_ ;_-[$$-409]* \-#,##0\ ;_-[$$-409]* "-"_ ;_-@_ </c:formatCode>
                <c:ptCount val="10"/>
                <c:pt idx="0">
                  <c:v>25890.196978990025</c:v>
                </c:pt>
                <c:pt idx="1">
                  <c:v>14311.593331230573</c:v>
                </c:pt>
                <c:pt idx="2">
                  <c:v>9961.5683264706713</c:v>
                </c:pt>
                <c:pt idx="3">
                  <c:v>7804.2168277769706</c:v>
                </c:pt>
                <c:pt idx="4">
                  <c:v>6570.6623698372532</c:v>
                </c:pt>
                <c:pt idx="5">
                  <c:v>5805.2488182030847</c:v>
                </c:pt>
                <c:pt idx="6">
                  <c:v>5307.3742291000235</c:v>
                </c:pt>
                <c:pt idx="7">
                  <c:v>4976.0105506820564</c:v>
                </c:pt>
                <c:pt idx="8">
                  <c:v>4755.1442502827331</c:v>
                </c:pt>
                <c:pt idx="9">
                  <c:v>4611.3873351690945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0-496D-B51F-2CD3218DE12B}"/>
            </c:ext>
          </c:extLst>
        </c:ser>
        <c:ser>
          <c:idx val="1"/>
          <c:order val="1"/>
          <c:tx>
            <c:v>Loss Cost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('Turn Number changes'!$B$10,'Turn Number changes'!$B$35,'Turn Number changes'!$B$60,'Turn Number changes'!$B$85,'Turn Number changes'!$B$110,'Turn Number changes'!$B$135,'Turn Number changes'!$B$160,'Turn Number changes'!$B$185,'Turn Number changes'!$B$210,'Turn Number changes'!$B$235)</c:f>
              <c:numCache>
                <c:formatCode>0</c:formatCode>
                <c:ptCount val="10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  <c:pt idx="4">
                  <c:v>850</c:v>
                </c:pt>
                <c:pt idx="5">
                  <c:v>1000</c:v>
                </c:pt>
                <c:pt idx="6">
                  <c:v>1150</c:v>
                </c:pt>
                <c:pt idx="7">
                  <c:v>1300</c:v>
                </c:pt>
                <c:pt idx="8">
                  <c:v>1450</c:v>
                </c:pt>
                <c:pt idx="9">
                  <c:v>1600</c:v>
                </c:pt>
              </c:numCache>
            </c:numRef>
          </c:cat>
          <c:val>
            <c:numRef>
              <c:f>('Turn Number changes'!$H$22,'Turn Number changes'!$H$47,'Turn Number changes'!$H$72,'Turn Number changes'!$H$97,'Turn Number changes'!$H$122,'Turn Number changes'!$H$147,'Turn Number changes'!$H$172,'Turn Number changes'!$H$197,'Turn Number changes'!$H$222,'Turn Number changes'!$H$247)</c:f>
              <c:numCache>
                <c:formatCode>_-[$$-409]* #,##0_ ;_-[$$-409]* \-#,##0\ ;_-[$$-409]* "-"??_ ;_-@_ </c:formatCode>
                <c:ptCount val="10"/>
                <c:pt idx="0">
                  <c:v>155875.600672909</c:v>
                </c:pt>
                <c:pt idx="1">
                  <c:v>95136.064286348701</c:v>
                </c:pt>
                <c:pt idx="2">
                  <c:v>74373.699306294075</c:v>
                </c:pt>
                <c:pt idx="3">
                  <c:v>65694.922280528102</c:v>
                </c:pt>
                <c:pt idx="4">
                  <c:v>62103.901615339841</c:v>
                </c:pt>
                <c:pt idx="5">
                  <c:v>61101.260612535705</c:v>
                </c:pt>
                <c:pt idx="6">
                  <c:v>61592.535698163905</c:v>
                </c:pt>
                <c:pt idx="7">
                  <c:v>63029.459615475309</c:v>
                </c:pt>
                <c:pt idx="8">
                  <c:v>65109.582586529214</c:v>
                </c:pt>
                <c:pt idx="9">
                  <c:v>67653.432354188713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0-496D-B51F-2CD3218D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063503"/>
        <c:axId val="1977065167"/>
      </c:barChart>
      <c:catAx>
        <c:axId val="197706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Output</a:t>
                </a:r>
                <a:r>
                  <a:rPr lang="tr-TR" baseline="0"/>
                  <a:t> Turn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5167"/>
        <c:crosses val="autoZero"/>
        <c:auto val="1"/>
        <c:lblAlgn val="ctr"/>
        <c:lblOffset val="100"/>
        <c:noMultiLvlLbl val="0"/>
      </c:catAx>
      <c:valAx>
        <c:axId val="1977065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Cost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Losses vs core types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76113421279813"/>
          <c:y val="0.12337949751875869"/>
          <c:w val="0.72461341941918223"/>
          <c:h val="0.70698207339164187"/>
        </c:manualLayout>
      </c:layout>
      <c:barChart>
        <c:barDir val="col"/>
        <c:grouping val="stacked"/>
        <c:varyColors val="0"/>
        <c:ser>
          <c:idx val="0"/>
          <c:order val="0"/>
          <c:tx>
            <c:v>Copper Loss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('Core Changes'!$M$4,'Core Changes'!$M$14,'Core Changes'!$M$23,'Core Changes'!$M$32,'Core Changes'!$M$42,'Core Changes'!$P$4,'Core Changes'!$P$14,'Core Changes'!$P$23,'Core Changes'!$P$32)</c:f>
              <c:strCache>
                <c:ptCount val="9"/>
                <c:pt idx="0">
                  <c:v>Steel</c:v>
                </c:pt>
                <c:pt idx="1">
                  <c:v>M235-35A</c:v>
                </c:pt>
                <c:pt idx="2">
                  <c:v>M250-50A</c:v>
                </c:pt>
                <c:pt idx="3">
                  <c:v>M310-65A</c:v>
                </c:pt>
                <c:pt idx="4">
                  <c:v>M600-100A</c:v>
                </c:pt>
                <c:pt idx="5">
                  <c:v>M700-35A</c:v>
                </c:pt>
                <c:pt idx="6">
                  <c:v>M940-50A</c:v>
                </c:pt>
                <c:pt idx="7">
                  <c:v>M1000-65A</c:v>
                </c:pt>
                <c:pt idx="8">
                  <c:v>M1000-100A</c:v>
                </c:pt>
              </c:strCache>
            </c:strRef>
          </c:cat>
          <c:val>
            <c:numRef>
              <c:f>('Core Changes'!$H$2,'Core Changes'!$H$27,'Core Changes'!$H$52,'Core Changes'!$H$77,'Core Changes'!$H$102,'Core Changes'!$H$127,'Core Changes'!$H$152,'Core Changes'!$H$177,'Core Changes'!$H$202)</c:f>
              <c:numCache>
                <c:formatCode>_(* #,##0.00_);_(* \(#,##0.00\);_(* "-"??_);_(@_)</c:formatCode>
                <c:ptCount val="9"/>
                <c:pt idx="0">
                  <c:v>2905.0780713072427</c:v>
                </c:pt>
                <c:pt idx="1">
                  <c:v>2657.8498772309249</c:v>
                </c:pt>
                <c:pt idx="2">
                  <c:v>2645.4605001123491</c:v>
                </c:pt>
                <c:pt idx="3">
                  <c:v>2639.3553502486134</c:v>
                </c:pt>
                <c:pt idx="4">
                  <c:v>2621.3867539610037</c:v>
                </c:pt>
                <c:pt idx="5">
                  <c:v>2598.2046857450632</c:v>
                </c:pt>
                <c:pt idx="6">
                  <c:v>2586.9310647964039</c:v>
                </c:pt>
                <c:pt idx="7">
                  <c:v>2581.3708112846539</c:v>
                </c:pt>
                <c:pt idx="8">
                  <c:v>2586.9310647964039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B-4C05-8D98-36DE3033CCA9}"/>
            </c:ext>
          </c:extLst>
        </c:ser>
        <c:ser>
          <c:idx val="1"/>
          <c:order val="1"/>
          <c:tx>
            <c:v>Core Loss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('Core Changes'!$M$4,'Core Changes'!$M$14,'Core Changes'!$M$23,'Core Changes'!$M$32,'Core Changes'!$M$42,'Core Changes'!$P$4,'Core Changes'!$P$14,'Core Changes'!$P$23,'Core Changes'!$P$32)</c:f>
              <c:strCache>
                <c:ptCount val="9"/>
                <c:pt idx="0">
                  <c:v>Steel</c:v>
                </c:pt>
                <c:pt idx="1">
                  <c:v>M235-35A</c:v>
                </c:pt>
                <c:pt idx="2">
                  <c:v>M250-50A</c:v>
                </c:pt>
                <c:pt idx="3">
                  <c:v>M310-65A</c:v>
                </c:pt>
                <c:pt idx="4">
                  <c:v>M600-100A</c:v>
                </c:pt>
                <c:pt idx="5">
                  <c:v>M700-35A</c:v>
                </c:pt>
                <c:pt idx="6">
                  <c:v>M940-50A</c:v>
                </c:pt>
                <c:pt idx="7">
                  <c:v>M1000-65A</c:v>
                </c:pt>
                <c:pt idx="8">
                  <c:v>M1000-100A</c:v>
                </c:pt>
              </c:strCache>
            </c:strRef>
          </c:cat>
          <c:val>
            <c:numRef>
              <c:f>('Core Changes'!$H$3,'Core Changes'!$H$28,'Core Changes'!$H$53,'Core Changes'!$H$78,'Core Changes'!$H$103,'Core Changes'!$H$128,'Core Changes'!$H$153,'Core Changes'!$H$178,'Core Changes'!$H$203)</c:f>
              <c:numCache>
                <c:formatCode>_(* #,##0.00_);_(* \(#,##0.00\);_(* "-"??_);_(@_)</c:formatCode>
                <c:ptCount val="9"/>
                <c:pt idx="0">
                  <c:v>2077.0860360423753</c:v>
                </c:pt>
                <c:pt idx="1">
                  <c:v>2475.7373132183657</c:v>
                </c:pt>
                <c:pt idx="2">
                  <c:v>2609.2416306840132</c:v>
                </c:pt>
                <c:pt idx="3">
                  <c:v>3173.6008934995084</c:v>
                </c:pt>
                <c:pt idx="4">
                  <c:v>9677.0557318027422</c:v>
                </c:pt>
                <c:pt idx="5">
                  <c:v>7337.5563978668688</c:v>
                </c:pt>
                <c:pt idx="6">
                  <c:v>8401.8471357282433</c:v>
                </c:pt>
                <c:pt idx="7">
                  <c:v>8720.7579765319661</c:v>
                </c:pt>
                <c:pt idx="8">
                  <c:v>9830.0229313817508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B-4C05-8D98-36DE3033C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063503"/>
        <c:axId val="1977065167"/>
      </c:barChart>
      <c:catAx>
        <c:axId val="197706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Core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5167"/>
        <c:crosses val="autoZero"/>
        <c:auto val="1"/>
        <c:lblAlgn val="ctr"/>
        <c:lblOffset val="100"/>
        <c:noMultiLvlLbl val="0"/>
      </c:catAx>
      <c:valAx>
        <c:axId val="1977065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Losses (W)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35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cost</a:t>
            </a:r>
            <a:r>
              <a:rPr lang="tr-TR" baseline="0"/>
              <a:t> vs core types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4685954953304"/>
          <c:y val="0.13248518950833088"/>
          <c:w val="0.72461341941918223"/>
          <c:h val="0.70698207339164187"/>
        </c:manualLayout>
      </c:layout>
      <c:barChart>
        <c:barDir val="col"/>
        <c:grouping val="stacked"/>
        <c:varyColors val="0"/>
        <c:ser>
          <c:idx val="0"/>
          <c:order val="0"/>
          <c:tx>
            <c:v>Material Cost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('Core Changes'!$M$4,'Core Changes'!$M$14,'Core Changes'!$M$23,'Core Changes'!$M$32,'Core Changes'!$M$42,'Core Changes'!$P$4,'Core Changes'!$P$14,'Core Changes'!$P$23,'Core Changes'!$P$32)</c:f>
              <c:strCache>
                <c:ptCount val="9"/>
                <c:pt idx="0">
                  <c:v>Steel</c:v>
                </c:pt>
                <c:pt idx="1">
                  <c:v>M235-35A</c:v>
                </c:pt>
                <c:pt idx="2">
                  <c:v>M250-50A</c:v>
                </c:pt>
                <c:pt idx="3">
                  <c:v>M310-65A</c:v>
                </c:pt>
                <c:pt idx="4">
                  <c:v>M600-100A</c:v>
                </c:pt>
                <c:pt idx="5">
                  <c:v>M700-35A</c:v>
                </c:pt>
                <c:pt idx="6">
                  <c:v>M940-50A</c:v>
                </c:pt>
                <c:pt idx="7">
                  <c:v>M1000-65A</c:v>
                </c:pt>
                <c:pt idx="8">
                  <c:v>M1000-100A</c:v>
                </c:pt>
              </c:strCache>
            </c:strRef>
          </c:cat>
          <c:val>
            <c:numRef>
              <c:f>('Core Changes'!$H$21,'Core Changes'!$H$46,'Core Changes'!$H$71,'Core Changes'!$H$96,'Core Changes'!$H$121,'Core Changes'!$H$146,'Core Changes'!$H$171,'Core Changes'!$H$196,'Core Changes'!$H$221)</c:f>
              <c:numCache>
                <c:formatCode>_-[$$-409]* #,##0_ ;_-[$$-409]* \-#,##0\ ;_-[$$-409]* "-"_ ;_-@_ </c:formatCode>
                <c:ptCount val="9"/>
                <c:pt idx="0">
                  <c:v>5805.2488182030847</c:v>
                </c:pt>
                <c:pt idx="1">
                  <c:v>4364.8083566764644</c:v>
                </c:pt>
                <c:pt idx="2">
                  <c:v>1346.0902925279695</c:v>
                </c:pt>
                <c:pt idx="3">
                  <c:v>1290.6771081272589</c:v>
                </c:pt>
                <c:pt idx="4">
                  <c:v>1220.8941659084276</c:v>
                </c:pt>
                <c:pt idx="5">
                  <c:v>4166.2118329150517</c:v>
                </c:pt>
                <c:pt idx="6">
                  <c:v>1310.8864467446645</c:v>
                </c:pt>
                <c:pt idx="7">
                  <c:v>1257.2102859926999</c:v>
                </c:pt>
                <c:pt idx="8">
                  <c:v>1203.9854209780274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C-42E9-A90F-B58162196BC7}"/>
            </c:ext>
          </c:extLst>
        </c:ser>
        <c:ser>
          <c:idx val="1"/>
          <c:order val="1"/>
          <c:tx>
            <c:v>Loss Cost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('Core Changes'!$M$4,'Core Changes'!$M$14,'Core Changes'!$M$23,'Core Changes'!$M$32,'Core Changes'!$M$42,'Core Changes'!$P$4,'Core Changes'!$P$14,'Core Changes'!$P$23,'Core Changes'!$P$32)</c:f>
              <c:strCache>
                <c:ptCount val="9"/>
                <c:pt idx="0">
                  <c:v>Steel</c:v>
                </c:pt>
                <c:pt idx="1">
                  <c:v>M235-35A</c:v>
                </c:pt>
                <c:pt idx="2">
                  <c:v>M250-50A</c:v>
                </c:pt>
                <c:pt idx="3">
                  <c:v>M310-65A</c:v>
                </c:pt>
                <c:pt idx="4">
                  <c:v>M600-100A</c:v>
                </c:pt>
                <c:pt idx="5">
                  <c:v>M700-35A</c:v>
                </c:pt>
                <c:pt idx="6">
                  <c:v>M940-50A</c:v>
                </c:pt>
                <c:pt idx="7">
                  <c:v>M1000-65A</c:v>
                </c:pt>
                <c:pt idx="8">
                  <c:v>M1000-100A</c:v>
                </c:pt>
              </c:strCache>
            </c:strRef>
          </c:cat>
          <c:val>
            <c:numRef>
              <c:f>('Core Changes'!$H$22,'Core Changes'!$H$47,'Core Changes'!$H$72,'Core Changes'!$H$97,'Core Changes'!$H$122,'Core Changes'!$H$147,'Core Changes'!$H$172,'Core Changes'!$H$197,'Core Changes'!$H$222)</c:f>
              <c:numCache>
                <c:formatCode>_-[$$-409]* #,##0_ ;_-[$$-409]* \-#,##0\ ;_-[$$-409]* "-"??_ ;_-@_ </c:formatCode>
                <c:ptCount val="9"/>
                <c:pt idx="0">
                  <c:v>61101.260612535705</c:v>
                </c:pt>
                <c:pt idx="1">
                  <c:v>62958.313303670097</c:v>
                </c:pt>
                <c:pt idx="2">
                  <c:v>64443.666932086591</c:v>
                </c:pt>
                <c:pt idx="3">
                  <c:v>71290.095373326971</c:v>
                </c:pt>
                <c:pt idx="4">
                  <c:v>150828.09864540657</c:v>
                </c:pt>
                <c:pt idx="5">
                  <c:v>121852.17392941672</c:v>
                </c:pt>
                <c:pt idx="6">
                  <c:v>134766.3758512343</c:v>
                </c:pt>
                <c:pt idx="7">
                  <c:v>138609.30745378305</c:v>
                </c:pt>
                <c:pt idx="8">
                  <c:v>152281.52380912891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C-42E9-A90F-B5816219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063503"/>
        <c:axId val="1977065167"/>
      </c:barChart>
      <c:catAx>
        <c:axId val="197706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Core Types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5167"/>
        <c:crosses val="autoZero"/>
        <c:auto val="1"/>
        <c:lblAlgn val="ctr"/>
        <c:lblOffset val="100"/>
        <c:noMultiLvlLbl val="0"/>
      </c:catAx>
      <c:valAx>
        <c:axId val="1977065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Cost($)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350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2</xdr:row>
      <xdr:rowOff>71437</xdr:rowOff>
    </xdr:from>
    <xdr:to>
      <xdr:col>22</xdr:col>
      <xdr:colOff>409574</xdr:colOff>
      <xdr:row>21</xdr:row>
      <xdr:rowOff>142875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23</xdr:row>
      <xdr:rowOff>133350</xdr:rowOff>
    </xdr:from>
    <xdr:to>
      <xdr:col>22</xdr:col>
      <xdr:colOff>400050</xdr:colOff>
      <xdr:row>43</xdr:row>
      <xdr:rowOff>14288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372719</xdr:colOff>
      <xdr:row>3</xdr:row>
      <xdr:rowOff>182217</xdr:rowOff>
    </xdr:from>
    <xdr:to>
      <xdr:col>31</xdr:col>
      <xdr:colOff>41413</xdr:colOff>
      <xdr:row>25</xdr:row>
      <xdr:rowOff>175413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27</xdr:row>
      <xdr:rowOff>81643</xdr:rowOff>
    </xdr:from>
    <xdr:to>
      <xdr:col>31</xdr:col>
      <xdr:colOff>74543</xdr:colOff>
      <xdr:row>49</xdr:row>
      <xdr:rowOff>74839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24" sqref="H24"/>
    </sheetView>
  </sheetViews>
  <sheetFormatPr defaultRowHeight="15" x14ac:dyDescent="0.25"/>
  <cols>
    <col min="1" max="1" width="23.85546875" bestFit="1" customWidth="1"/>
    <col min="2" max="2" width="8.28515625" bestFit="1" customWidth="1"/>
    <col min="4" max="4" width="24.5703125" bestFit="1" customWidth="1"/>
    <col min="5" max="5" width="8.5703125" bestFit="1" customWidth="1"/>
    <col min="7" max="7" width="22.42578125" bestFit="1" customWidth="1"/>
    <col min="8" max="8" width="10.5703125" bestFit="1" customWidth="1"/>
  </cols>
  <sheetData>
    <row r="1" spans="1:8" x14ac:dyDescent="0.25">
      <c r="A1" s="46" t="s">
        <v>0</v>
      </c>
      <c r="B1" s="46"/>
      <c r="C1" s="1"/>
      <c r="D1" s="46" t="s">
        <v>1</v>
      </c>
      <c r="E1" s="46"/>
      <c r="G1" s="46" t="s">
        <v>38</v>
      </c>
      <c r="H1" s="46"/>
    </row>
    <row r="2" spans="1:8" x14ac:dyDescent="0.25">
      <c r="A2" s="2" t="s">
        <v>13</v>
      </c>
      <c r="B2" s="2">
        <v>500000</v>
      </c>
      <c r="D2" t="s">
        <v>2</v>
      </c>
      <c r="E2" s="11">
        <f>B3/B4</f>
        <v>1.38</v>
      </c>
      <c r="G2" t="s">
        <v>41</v>
      </c>
      <c r="H2" s="7">
        <f>E3*E3*E21+E4*E4*E22</f>
        <v>2905.0780713072427</v>
      </c>
    </row>
    <row r="3" spans="1:8" x14ac:dyDescent="0.25">
      <c r="A3" s="2" t="s">
        <v>14</v>
      </c>
      <c r="B3" s="2">
        <v>34500</v>
      </c>
      <c r="D3" t="s">
        <v>22</v>
      </c>
      <c r="E3" s="11">
        <f>B2/B3</f>
        <v>14.492753623188406</v>
      </c>
      <c r="G3" t="s">
        <v>42</v>
      </c>
      <c r="H3" s="8">
        <f>B14*E18</f>
        <v>2077.0860360423753</v>
      </c>
    </row>
    <row r="4" spans="1:8" x14ac:dyDescent="0.25">
      <c r="A4" s="2" t="s">
        <v>15</v>
      </c>
      <c r="B4" s="2">
        <v>25000</v>
      </c>
      <c r="D4" t="s">
        <v>23</v>
      </c>
      <c r="E4" s="11">
        <f>B2/B4</f>
        <v>20</v>
      </c>
      <c r="G4" t="s">
        <v>43</v>
      </c>
      <c r="H4" s="6">
        <f>H2+H3</f>
        <v>4982.1641073496176</v>
      </c>
    </row>
    <row r="5" spans="1:8" x14ac:dyDescent="0.25">
      <c r="A5" s="2" t="s">
        <v>16</v>
      </c>
      <c r="B5" s="2">
        <v>50</v>
      </c>
      <c r="D5" t="s">
        <v>5</v>
      </c>
      <c r="E5" s="17">
        <f>E2*B10</f>
        <v>1380</v>
      </c>
      <c r="G5" t="s">
        <v>40</v>
      </c>
      <c r="H5" s="9">
        <f>100*B2/(B2+H4)</f>
        <v>99.013398004629224</v>
      </c>
    </row>
    <row r="6" spans="1:8" x14ac:dyDescent="0.25">
      <c r="A6" s="2" t="s">
        <v>17</v>
      </c>
      <c r="B6" s="2">
        <v>-30</v>
      </c>
      <c r="D6" t="s">
        <v>45</v>
      </c>
      <c r="E6" s="11">
        <f>E5*(E3/B9)</f>
        <v>6666.666666666667</v>
      </c>
    </row>
    <row r="7" spans="1:8" x14ac:dyDescent="0.25">
      <c r="A7" s="2" t="s">
        <v>18</v>
      </c>
      <c r="B7" s="2">
        <v>50</v>
      </c>
      <c r="D7" t="s">
        <v>44</v>
      </c>
      <c r="E7" s="11">
        <f>B10*(E4/B9)</f>
        <v>6666.666666666667</v>
      </c>
    </row>
    <row r="8" spans="1:8" x14ac:dyDescent="0.25">
      <c r="A8" s="2" t="s">
        <v>7</v>
      </c>
      <c r="B8" s="2">
        <v>0.3</v>
      </c>
      <c r="D8" t="s">
        <v>11</v>
      </c>
      <c r="E8" s="13">
        <f>(E6+E7)*0.000001/B8</f>
        <v>4.4444444444444446E-2</v>
      </c>
    </row>
    <row r="9" spans="1:8" x14ac:dyDescent="0.25">
      <c r="A9" s="2" t="s">
        <v>10</v>
      </c>
      <c r="B9" s="2">
        <v>3</v>
      </c>
      <c r="D9" t="s">
        <v>12</v>
      </c>
      <c r="E9" s="14">
        <f>SQRT(E8)</f>
        <v>0.21081851067789195</v>
      </c>
    </row>
    <row r="10" spans="1:8" x14ac:dyDescent="0.25">
      <c r="A10" s="2" t="s">
        <v>6</v>
      </c>
      <c r="B10" s="21">
        <v>1000</v>
      </c>
    </row>
    <row r="11" spans="1:8" x14ac:dyDescent="0.25">
      <c r="A11" s="46" t="s">
        <v>3</v>
      </c>
      <c r="B11" s="46"/>
      <c r="D11" s="46" t="s">
        <v>4</v>
      </c>
      <c r="E11" s="46"/>
      <c r="G11" s="46" t="s">
        <v>46</v>
      </c>
      <c r="H11" s="46"/>
    </row>
    <row r="12" spans="1:8" x14ac:dyDescent="0.25">
      <c r="A12" s="2" t="s">
        <v>19</v>
      </c>
      <c r="B12" s="3">
        <v>1.2</v>
      </c>
      <c r="D12" t="s">
        <v>24</v>
      </c>
      <c r="E12" s="10">
        <f>B3/(4.44*B5*E5*B12)</f>
        <v>9.3843843843843824E-2</v>
      </c>
      <c r="G12" t="s">
        <v>47</v>
      </c>
      <c r="H12" s="22">
        <f>E16/(E12*B13*4*PI()*0.0000001)</f>
        <v>18368.096886668231</v>
      </c>
    </row>
    <row r="13" spans="1:8" x14ac:dyDescent="0.25">
      <c r="A13" s="2" t="s">
        <v>20</v>
      </c>
      <c r="B13" s="2">
        <v>955</v>
      </c>
      <c r="D13" t="s">
        <v>37</v>
      </c>
      <c r="E13" s="11">
        <f>SQRT(E12)</f>
        <v>0.30633942587241986</v>
      </c>
      <c r="G13" t="s">
        <v>48</v>
      </c>
      <c r="H13" s="16">
        <f>E5*E5/H12</f>
        <v>103.67976670366077</v>
      </c>
    </row>
    <row r="14" spans="1:8" x14ac:dyDescent="0.25">
      <c r="A14" s="2" t="s">
        <v>8</v>
      </c>
      <c r="B14" s="2">
        <v>1.363</v>
      </c>
      <c r="D14" t="s">
        <v>25</v>
      </c>
      <c r="E14" s="12">
        <f>B12/(B13*4*0.0000001*PI())</f>
        <v>999.92634403285035</v>
      </c>
      <c r="G14" t="s">
        <v>49</v>
      </c>
      <c r="H14" s="15">
        <f>(B3/E3)*0.02/(2*PI()*B5)</f>
        <v>0.15154733681210272</v>
      </c>
    </row>
    <row r="15" spans="1:8" x14ac:dyDescent="0.25">
      <c r="A15" s="2" t="s">
        <v>21</v>
      </c>
      <c r="B15" s="4">
        <v>3.5E-4</v>
      </c>
      <c r="D15" t="s">
        <v>26</v>
      </c>
      <c r="E15" s="15">
        <f>E13*2+E9</f>
        <v>0.82349736242273164</v>
      </c>
      <c r="F15" s="5"/>
      <c r="G15" t="s">
        <v>50</v>
      </c>
      <c r="H15" s="15">
        <f>(B4/E4)*0.02/(2*PI()*B5)</f>
        <v>7.9577471545947673E-2</v>
      </c>
    </row>
    <row r="16" spans="1:8" x14ac:dyDescent="0.25">
      <c r="A16" s="2" t="s">
        <v>9</v>
      </c>
      <c r="B16" s="2">
        <v>7.85</v>
      </c>
      <c r="D16" t="s">
        <v>27</v>
      </c>
      <c r="E16" s="11">
        <f>(E9+E13)*4</f>
        <v>2.0686317462012473</v>
      </c>
    </row>
    <row r="17" spans="1:8" x14ac:dyDescent="0.25">
      <c r="A17" s="2" t="s">
        <v>53</v>
      </c>
      <c r="B17" s="2">
        <v>3</v>
      </c>
      <c r="D17" t="s">
        <v>29</v>
      </c>
      <c r="E17" s="15">
        <f>(E9/2+E13)*PI()</f>
        <v>1.2935466320189126</v>
      </c>
    </row>
    <row r="18" spans="1:8" x14ac:dyDescent="0.25">
      <c r="D18" t="s">
        <v>39</v>
      </c>
      <c r="E18" s="18">
        <f>E12*E16*B16*1000</f>
        <v>1523.9075833032834</v>
      </c>
    </row>
    <row r="20" spans="1:8" x14ac:dyDescent="0.25">
      <c r="A20" s="46" t="s">
        <v>28</v>
      </c>
      <c r="B20" s="46"/>
      <c r="D20" s="46" t="s">
        <v>32</v>
      </c>
      <c r="E20" s="46"/>
      <c r="G20" s="46" t="s">
        <v>51</v>
      </c>
      <c r="H20" s="46"/>
    </row>
    <row r="21" spans="1:8" x14ac:dyDescent="0.25">
      <c r="A21" s="2" t="s">
        <v>36</v>
      </c>
      <c r="B21" s="2">
        <v>8940</v>
      </c>
      <c r="D21" t="s">
        <v>33</v>
      </c>
      <c r="E21" s="11">
        <f>(B22*(B7-20)*B23 + B22)*E5*E17/(E6*0.000001/E5)</f>
        <v>6.9155383487468916</v>
      </c>
      <c r="G21" t="s">
        <v>52</v>
      </c>
      <c r="H21" s="19">
        <f>E23*B24 + E18*B17</f>
        <v>5805.2488182030847</v>
      </c>
    </row>
    <row r="22" spans="1:8" x14ac:dyDescent="0.25">
      <c r="A22" s="2" t="s">
        <v>30</v>
      </c>
      <c r="B22" s="4">
        <v>1.6800000000000002E-8</v>
      </c>
      <c r="D22" t="s">
        <v>34</v>
      </c>
      <c r="E22" s="11">
        <f>(B22*(B7-20)*B23 + B22)*B10*E17/(E7*0.000001/B10)</f>
        <v>3.631347589134053</v>
      </c>
      <c r="G22" t="s">
        <v>55</v>
      </c>
      <c r="H22" s="20">
        <f>(H4/1000)*20*365*24*0.07</f>
        <v>61101.260612535705</v>
      </c>
    </row>
    <row r="23" spans="1:8" x14ac:dyDescent="0.25">
      <c r="A23" s="2" t="s">
        <v>31</v>
      </c>
      <c r="B23" s="2">
        <v>3.8E-3</v>
      </c>
      <c r="D23" t="s">
        <v>35</v>
      </c>
      <c r="E23" s="17">
        <f>(B21*E6*0.000001*E17)+(B21*E7*0.000001*E17)</f>
        <v>154.19075853665436</v>
      </c>
    </row>
    <row r="24" spans="1:8" x14ac:dyDescent="0.25">
      <c r="A24" s="2" t="s">
        <v>54</v>
      </c>
      <c r="B24" s="2">
        <v>8</v>
      </c>
    </row>
  </sheetData>
  <mergeCells count="9">
    <mergeCell ref="A20:B20"/>
    <mergeCell ref="D20:E20"/>
    <mergeCell ref="G20:H20"/>
    <mergeCell ref="A1:B1"/>
    <mergeCell ref="D1:E1"/>
    <mergeCell ref="G1:H1"/>
    <mergeCell ref="A11:B11"/>
    <mergeCell ref="D11:E11"/>
    <mergeCell ref="G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H249"/>
  <sheetViews>
    <sheetView workbookViewId="0">
      <selection sqref="A1:H24"/>
    </sheetView>
  </sheetViews>
  <sheetFormatPr defaultRowHeight="15" x14ac:dyDescent="0.25"/>
  <cols>
    <col min="1" max="1" width="23.42578125" bestFit="1" customWidth="1"/>
    <col min="2" max="2" width="8.5703125" bestFit="1" customWidth="1"/>
    <col min="4" max="4" width="24.5703125" bestFit="1" customWidth="1"/>
    <col min="5" max="5" width="15.7109375" bestFit="1" customWidth="1"/>
    <col min="7" max="7" width="22" bestFit="1" customWidth="1"/>
    <col min="8" max="8" width="14.28515625" bestFit="1" customWidth="1"/>
  </cols>
  <sheetData>
    <row r="1" spans="1:8" x14ac:dyDescent="0.25">
      <c r="A1" s="46" t="s">
        <v>0</v>
      </c>
      <c r="B1" s="46"/>
      <c r="C1" s="1"/>
      <c r="D1" s="46" t="s">
        <v>1</v>
      </c>
      <c r="E1" s="46"/>
      <c r="G1" s="46" t="s">
        <v>38</v>
      </c>
      <c r="H1" s="46"/>
    </row>
    <row r="2" spans="1:8" x14ac:dyDescent="0.25">
      <c r="A2" s="2" t="s">
        <v>13</v>
      </c>
      <c r="B2" s="2">
        <v>500000</v>
      </c>
      <c r="D2" t="s">
        <v>2</v>
      </c>
      <c r="E2" s="11">
        <f>B3/B4</f>
        <v>1.38</v>
      </c>
      <c r="G2" t="s">
        <v>41</v>
      </c>
      <c r="H2" s="7">
        <f>E3*E3*E21+E4*E4*E22</f>
        <v>1173.6473261855806</v>
      </c>
    </row>
    <row r="3" spans="1:8" x14ac:dyDescent="0.25">
      <c r="A3" s="2" t="s">
        <v>14</v>
      </c>
      <c r="B3" s="2">
        <v>34500</v>
      </c>
      <c r="D3" t="s">
        <v>22</v>
      </c>
      <c r="E3" s="11">
        <f>B2/B3</f>
        <v>14.492753623188406</v>
      </c>
      <c r="G3" t="s">
        <v>42</v>
      </c>
      <c r="H3" s="8">
        <f>B14*E18</f>
        <v>11536.365774997474</v>
      </c>
    </row>
    <row r="4" spans="1:8" x14ac:dyDescent="0.25">
      <c r="A4" s="2" t="s">
        <v>15</v>
      </c>
      <c r="B4" s="2">
        <v>25000</v>
      </c>
      <c r="D4" t="s">
        <v>23</v>
      </c>
      <c r="E4" s="11">
        <f>B2/B4</f>
        <v>20</v>
      </c>
      <c r="G4" t="s">
        <v>43</v>
      </c>
      <c r="H4" s="6">
        <f>H2+H3</f>
        <v>12710.013101183054</v>
      </c>
    </row>
    <row r="5" spans="1:8" x14ac:dyDescent="0.25">
      <c r="A5" s="2" t="s">
        <v>16</v>
      </c>
      <c r="B5" s="2">
        <v>50</v>
      </c>
      <c r="D5" t="s">
        <v>5</v>
      </c>
      <c r="E5" s="17">
        <f>E2*B10</f>
        <v>345</v>
      </c>
      <c r="G5" t="s">
        <v>40</v>
      </c>
      <c r="H5" s="9">
        <f>100*B2/(B2+H4)</f>
        <v>97.521013286964077</v>
      </c>
    </row>
    <row r="6" spans="1:8" x14ac:dyDescent="0.25">
      <c r="A6" s="2" t="s">
        <v>17</v>
      </c>
      <c r="B6" s="2">
        <v>-30</v>
      </c>
      <c r="D6" t="s">
        <v>45</v>
      </c>
      <c r="E6" s="11">
        <f>E5*(E3/B9)</f>
        <v>1666.6666666666667</v>
      </c>
    </row>
    <row r="7" spans="1:8" x14ac:dyDescent="0.25">
      <c r="A7" s="2" t="s">
        <v>18</v>
      </c>
      <c r="B7" s="2">
        <v>50</v>
      </c>
      <c r="D7" t="s">
        <v>44</v>
      </c>
      <c r="E7" s="11">
        <f>B10*(E4/B9)</f>
        <v>1666.6666666666667</v>
      </c>
    </row>
    <row r="8" spans="1:8" x14ac:dyDescent="0.25">
      <c r="A8" s="2" t="s">
        <v>7</v>
      </c>
      <c r="B8" s="2">
        <v>0.3</v>
      </c>
      <c r="D8" t="s">
        <v>11</v>
      </c>
      <c r="E8" s="13">
        <f>(E6+E7)*0.000001/B8</f>
        <v>1.1111111111111112E-2</v>
      </c>
    </row>
    <row r="9" spans="1:8" x14ac:dyDescent="0.25">
      <c r="A9" s="2" t="s">
        <v>10</v>
      </c>
      <c r="B9" s="2">
        <v>3</v>
      </c>
      <c r="D9" t="s">
        <v>12</v>
      </c>
      <c r="E9" s="14">
        <f>SQRT(E8)</f>
        <v>0.10540925533894598</v>
      </c>
    </row>
    <row r="10" spans="1:8" x14ac:dyDescent="0.25">
      <c r="A10" s="2" t="s">
        <v>6</v>
      </c>
      <c r="B10" s="21">
        <v>250</v>
      </c>
    </row>
    <row r="11" spans="1:8" x14ac:dyDescent="0.25">
      <c r="A11" s="46" t="s">
        <v>3</v>
      </c>
      <c r="B11" s="46"/>
      <c r="D11" s="46" t="s">
        <v>4</v>
      </c>
      <c r="E11" s="46"/>
      <c r="G11" s="46" t="s">
        <v>46</v>
      </c>
      <c r="H11" s="46"/>
    </row>
    <row r="12" spans="1:8" x14ac:dyDescent="0.25">
      <c r="A12" s="2" t="s">
        <v>19</v>
      </c>
      <c r="B12" s="3">
        <v>1.2</v>
      </c>
      <c r="D12" t="s">
        <v>24</v>
      </c>
      <c r="E12" s="10">
        <f>B3/(4.44*B5*E5*B12)</f>
        <v>0.3753753753753753</v>
      </c>
      <c r="G12" t="s">
        <v>47</v>
      </c>
      <c r="H12" s="22">
        <f>E16/(E12*B13*4*PI()*0.0000001)</f>
        <v>6376.1527146146691</v>
      </c>
    </row>
    <row r="13" spans="1:8" x14ac:dyDescent="0.25">
      <c r="A13" s="2" t="s">
        <v>20</v>
      </c>
      <c r="B13" s="2">
        <v>955</v>
      </c>
      <c r="D13" t="s">
        <v>37</v>
      </c>
      <c r="E13" s="11">
        <f>SQRT(E12)</f>
        <v>0.61267885174483971</v>
      </c>
      <c r="G13" t="s">
        <v>48</v>
      </c>
      <c r="H13" s="16">
        <f>E5*E5/H12</f>
        <v>18.667212867594099</v>
      </c>
    </row>
    <row r="14" spans="1:8" x14ac:dyDescent="0.25">
      <c r="A14" s="2" t="s">
        <v>8</v>
      </c>
      <c r="B14" s="2">
        <v>1.363</v>
      </c>
      <c r="D14" t="s">
        <v>25</v>
      </c>
      <c r="E14" s="12">
        <f>B12/(B13*4*0.0000001*PI())</f>
        <v>999.92634403285035</v>
      </c>
      <c r="G14" t="s">
        <v>49</v>
      </c>
      <c r="H14" s="15">
        <f>(B3/E3)*0.02/(2*PI()*B5)</f>
        <v>0.15154733681210272</v>
      </c>
    </row>
    <row r="15" spans="1:8" x14ac:dyDescent="0.25">
      <c r="A15" s="2" t="s">
        <v>21</v>
      </c>
      <c r="B15" s="4">
        <v>3.5E-4</v>
      </c>
      <c r="D15" t="s">
        <v>26</v>
      </c>
      <c r="E15" s="15">
        <f>E13*2+E9</f>
        <v>1.3307669588286255</v>
      </c>
      <c r="F15" s="5"/>
      <c r="G15" t="s">
        <v>50</v>
      </c>
      <c r="H15" s="15">
        <f>(B4/E4)*0.02/(2*PI()*B5)</f>
        <v>7.9577471545947673E-2</v>
      </c>
    </row>
    <row r="16" spans="1:8" x14ac:dyDescent="0.25">
      <c r="A16" s="2" t="s">
        <v>9</v>
      </c>
      <c r="B16" s="2">
        <v>7.85</v>
      </c>
      <c r="D16" t="s">
        <v>27</v>
      </c>
      <c r="E16" s="11">
        <f>(E9+E13)*4</f>
        <v>2.8723524283351427</v>
      </c>
    </row>
    <row r="17" spans="1:8" x14ac:dyDescent="0.25">
      <c r="A17" s="2" t="s">
        <v>53</v>
      </c>
      <c r="B17" s="2">
        <v>3</v>
      </c>
      <c r="D17" t="s">
        <v>29</v>
      </c>
      <c r="E17" s="15">
        <f>(E9/2+E13)*PI()</f>
        <v>2.0903638507480204</v>
      </c>
    </row>
    <row r="18" spans="1:8" x14ac:dyDescent="0.25">
      <c r="D18" t="s">
        <v>39</v>
      </c>
      <c r="E18" s="18">
        <f>E12*E16*B16*1000</f>
        <v>8463.9514123238987</v>
      </c>
    </row>
    <row r="20" spans="1:8" x14ac:dyDescent="0.25">
      <c r="A20" s="46" t="s">
        <v>28</v>
      </c>
      <c r="B20" s="46"/>
      <c r="D20" s="46" t="s">
        <v>32</v>
      </c>
      <c r="E20" s="46"/>
      <c r="G20" s="46" t="s">
        <v>51</v>
      </c>
      <c r="H20" s="46"/>
    </row>
    <row r="21" spans="1:8" x14ac:dyDescent="0.25">
      <c r="A21" s="2" t="s">
        <v>36</v>
      </c>
      <c r="B21" s="2">
        <v>8940</v>
      </c>
      <c r="D21" t="s">
        <v>33</v>
      </c>
      <c r="E21" s="11">
        <f>(B22*(B7-20)*B23 + B22)*E5*E17/(E6*0.000001/E5)</f>
        <v>2.7938674599847748</v>
      </c>
      <c r="G21" t="s">
        <v>52</v>
      </c>
      <c r="H21" s="19">
        <f>E23*B24 + E18*B17</f>
        <v>25890.196978990025</v>
      </c>
    </row>
    <row r="22" spans="1:8" x14ac:dyDescent="0.25">
      <c r="A22" s="2" t="s">
        <v>30</v>
      </c>
      <c r="B22" s="4">
        <v>1.6800000000000002E-8</v>
      </c>
      <c r="D22" t="s">
        <v>34</v>
      </c>
      <c r="E22" s="11">
        <f>(B22*(B7-20)*B23 + B22)*B10*E17/(E7*0.000001/B10)</f>
        <v>1.4670591577319758</v>
      </c>
      <c r="G22" t="s">
        <v>55</v>
      </c>
      <c r="H22" s="20">
        <f>(H4/1000)*20*365*24*0.07</f>
        <v>155875.600672909</v>
      </c>
    </row>
    <row r="23" spans="1:8" x14ac:dyDescent="0.25">
      <c r="A23" s="2" t="s">
        <v>31</v>
      </c>
      <c r="B23" s="2">
        <v>3.8E-3</v>
      </c>
      <c r="D23" t="s">
        <v>35</v>
      </c>
      <c r="E23" s="17">
        <f>(B21*E6*0.000001*E17)+(B21*E7*0.000001*E17)</f>
        <v>62.292842752291001</v>
      </c>
    </row>
    <row r="24" spans="1:8" x14ac:dyDescent="0.25">
      <c r="A24" s="2" t="s">
        <v>54</v>
      </c>
      <c r="B24" s="2">
        <v>8</v>
      </c>
    </row>
    <row r="26" spans="1:8" x14ac:dyDescent="0.25">
      <c r="A26" s="46" t="s">
        <v>0</v>
      </c>
      <c r="B26" s="46"/>
      <c r="C26" s="1"/>
      <c r="D26" s="46" t="s">
        <v>1</v>
      </c>
      <c r="E26" s="46"/>
      <c r="G26" s="46" t="s">
        <v>38</v>
      </c>
      <c r="H26" s="46"/>
    </row>
    <row r="27" spans="1:8" x14ac:dyDescent="0.25">
      <c r="A27" s="2" t="s">
        <v>13</v>
      </c>
      <c r="B27" s="2">
        <v>500000</v>
      </c>
      <c r="D27" t="s">
        <v>2</v>
      </c>
      <c r="E27" s="11">
        <f>B28/B29</f>
        <v>1.38</v>
      </c>
      <c r="G27" t="s">
        <v>41</v>
      </c>
      <c r="H27" s="7">
        <f>E28*E28*E46+E29*E29*E47</f>
        <v>1555.1141300017616</v>
      </c>
    </row>
    <row r="28" spans="1:8" x14ac:dyDescent="0.25">
      <c r="A28" s="2" t="s">
        <v>14</v>
      </c>
      <c r="B28" s="2">
        <v>34500</v>
      </c>
      <c r="D28" t="s">
        <v>22</v>
      </c>
      <c r="E28" s="11">
        <f>B27/B28</f>
        <v>14.492753623188406</v>
      </c>
      <c r="G28" t="s">
        <v>42</v>
      </c>
      <c r="H28" s="8">
        <f>B39*E43</f>
        <v>6202.2296637318232</v>
      </c>
    </row>
    <row r="29" spans="1:8" x14ac:dyDescent="0.25">
      <c r="A29" s="2" t="s">
        <v>15</v>
      </c>
      <c r="B29" s="2">
        <v>25000</v>
      </c>
      <c r="D29" t="s">
        <v>23</v>
      </c>
      <c r="E29" s="11">
        <f>B27/B29</f>
        <v>20</v>
      </c>
      <c r="G29" t="s">
        <v>43</v>
      </c>
      <c r="H29" s="6">
        <f>H27+H28</f>
        <v>7757.3437937335848</v>
      </c>
    </row>
    <row r="30" spans="1:8" x14ac:dyDescent="0.25">
      <c r="A30" s="2" t="s">
        <v>16</v>
      </c>
      <c r="B30" s="2">
        <v>50</v>
      </c>
      <c r="D30" t="s">
        <v>5</v>
      </c>
      <c r="E30" s="17">
        <f>E27*B35</f>
        <v>552</v>
      </c>
      <c r="G30" t="s">
        <v>40</v>
      </c>
      <c r="H30" s="9">
        <f>100*B27/(B27+H29)</f>
        <v>98.472234052633453</v>
      </c>
    </row>
    <row r="31" spans="1:8" x14ac:dyDescent="0.25">
      <c r="A31" s="2" t="s">
        <v>17</v>
      </c>
      <c r="B31" s="2">
        <v>-30</v>
      </c>
      <c r="D31" t="s">
        <v>45</v>
      </c>
      <c r="E31" s="11">
        <f>E30*(E28/B34)</f>
        <v>2666.666666666667</v>
      </c>
    </row>
    <row r="32" spans="1:8" x14ac:dyDescent="0.25">
      <c r="A32" s="2" t="s">
        <v>18</v>
      </c>
      <c r="B32" s="2">
        <v>50</v>
      </c>
      <c r="D32" t="s">
        <v>44</v>
      </c>
      <c r="E32" s="11">
        <f>B35*(E29/B34)</f>
        <v>2666.666666666667</v>
      </c>
    </row>
    <row r="33" spans="1:8" x14ac:dyDescent="0.25">
      <c r="A33" s="2" t="s">
        <v>7</v>
      </c>
      <c r="B33" s="2">
        <v>0.3</v>
      </c>
      <c r="D33" t="s">
        <v>11</v>
      </c>
      <c r="E33" s="13">
        <f>(E31+E32)*0.000001/B33</f>
        <v>1.7777777777777781E-2</v>
      </c>
    </row>
    <row r="34" spans="1:8" x14ac:dyDescent="0.25">
      <c r="A34" s="2" t="s">
        <v>10</v>
      </c>
      <c r="B34" s="2">
        <v>3</v>
      </c>
      <c r="D34" t="s">
        <v>12</v>
      </c>
      <c r="E34" s="14">
        <f>SQRT(E33)</f>
        <v>0.13333333333333336</v>
      </c>
    </row>
    <row r="35" spans="1:8" x14ac:dyDescent="0.25">
      <c r="A35" s="2" t="s">
        <v>6</v>
      </c>
      <c r="B35" s="21">
        <v>400</v>
      </c>
    </row>
    <row r="36" spans="1:8" x14ac:dyDescent="0.25">
      <c r="A36" s="46" t="s">
        <v>3</v>
      </c>
      <c r="B36" s="46"/>
      <c r="D36" s="46" t="s">
        <v>4</v>
      </c>
      <c r="E36" s="46"/>
      <c r="G36" s="46" t="s">
        <v>46</v>
      </c>
      <c r="H36" s="46"/>
    </row>
    <row r="37" spans="1:8" x14ac:dyDescent="0.25">
      <c r="A37" s="2" t="s">
        <v>19</v>
      </c>
      <c r="B37" s="3">
        <v>1.2</v>
      </c>
      <c r="D37" t="s">
        <v>24</v>
      </c>
      <c r="E37" s="10">
        <f>B28/(4.44*B30*E30*B37)</f>
        <v>0.23460960960960958</v>
      </c>
      <c r="G37" t="s">
        <v>47</v>
      </c>
      <c r="H37" s="22">
        <f>E41/(E37*B38*4*PI()*0.0000001)</f>
        <v>8775.6137897001099</v>
      </c>
    </row>
    <row r="38" spans="1:8" x14ac:dyDescent="0.25">
      <c r="A38" s="2" t="s">
        <v>20</v>
      </c>
      <c r="B38" s="2">
        <v>955</v>
      </c>
      <c r="D38" t="s">
        <v>37</v>
      </c>
      <c r="E38" s="11">
        <f>SQRT(E37)</f>
        <v>0.48436516143258029</v>
      </c>
      <c r="G38" t="s">
        <v>48</v>
      </c>
      <c r="H38" s="16">
        <f>E30*E30/H37</f>
        <v>34.721673868285933</v>
      </c>
    </row>
    <row r="39" spans="1:8" x14ac:dyDescent="0.25">
      <c r="A39" s="2" t="s">
        <v>8</v>
      </c>
      <c r="B39" s="2">
        <v>1.363</v>
      </c>
      <c r="D39" t="s">
        <v>25</v>
      </c>
      <c r="E39" s="12">
        <f>B37/(B38*4*0.0000001*PI())</f>
        <v>999.92634403285035</v>
      </c>
      <c r="G39" t="s">
        <v>49</v>
      </c>
      <c r="H39" s="15">
        <f>(B28/E28)*0.02/(2*PI()*B30)</f>
        <v>0.15154733681210272</v>
      </c>
    </row>
    <row r="40" spans="1:8" x14ac:dyDescent="0.25">
      <c r="A40" s="2" t="s">
        <v>21</v>
      </c>
      <c r="B40" s="4">
        <v>3.5E-4</v>
      </c>
      <c r="D40" t="s">
        <v>26</v>
      </c>
      <c r="E40" s="15">
        <f>E38*2+E34</f>
        <v>1.102063656198494</v>
      </c>
      <c r="F40" s="5"/>
      <c r="G40" t="s">
        <v>50</v>
      </c>
      <c r="H40" s="15">
        <f>(B29/E29)*0.02/(2*PI()*B30)</f>
        <v>7.9577471545947673E-2</v>
      </c>
    </row>
    <row r="41" spans="1:8" x14ac:dyDescent="0.25">
      <c r="A41" s="2" t="s">
        <v>9</v>
      </c>
      <c r="B41" s="2">
        <v>7.85</v>
      </c>
      <c r="D41" t="s">
        <v>27</v>
      </c>
      <c r="E41" s="11">
        <f>(E34+E38)*4</f>
        <v>2.4707939790636546</v>
      </c>
    </row>
    <row r="42" spans="1:8" x14ac:dyDescent="0.25">
      <c r="A42" s="2" t="s">
        <v>53</v>
      </c>
      <c r="B42" s="2">
        <v>3</v>
      </c>
      <c r="D42" t="s">
        <v>29</v>
      </c>
      <c r="E42" s="15">
        <f>(E34/2+E38)*PI()</f>
        <v>1.7311175430507482</v>
      </c>
    </row>
    <row r="43" spans="1:8" x14ac:dyDescent="0.25">
      <c r="D43" t="s">
        <v>39</v>
      </c>
      <c r="E43" s="18">
        <f>E37*E41*B41*1000</f>
        <v>4550.4252852030986</v>
      </c>
    </row>
    <row r="45" spans="1:8" x14ac:dyDescent="0.25">
      <c r="A45" s="46" t="s">
        <v>28</v>
      </c>
      <c r="B45" s="46"/>
      <c r="D45" s="46" t="s">
        <v>32</v>
      </c>
      <c r="E45" s="46"/>
      <c r="G45" s="46" t="s">
        <v>51</v>
      </c>
      <c r="H45" s="46"/>
    </row>
    <row r="46" spans="1:8" x14ac:dyDescent="0.25">
      <c r="A46" s="2" t="s">
        <v>36</v>
      </c>
      <c r="B46" s="2">
        <v>8940</v>
      </c>
      <c r="D46" t="s">
        <v>33</v>
      </c>
      <c r="E46" s="11">
        <f>(B47*(B32-20)*B48 + B47)*E30*E42/(E31*0.000001/E30)</f>
        <v>3.7019491864691934</v>
      </c>
      <c r="G46" t="s">
        <v>52</v>
      </c>
      <c r="H46" s="19">
        <f>E48*B49 + E43*B42</f>
        <v>14311.593331230573</v>
      </c>
    </row>
    <row r="47" spans="1:8" x14ac:dyDescent="0.25">
      <c r="A47" s="2" t="s">
        <v>30</v>
      </c>
      <c r="B47" s="4">
        <v>1.6800000000000002E-8</v>
      </c>
      <c r="D47" t="s">
        <v>34</v>
      </c>
      <c r="E47" s="11">
        <f>(B47*(B32-20)*B48 + B47)*B35*E42/(E32*0.000001/B35)</f>
        <v>1.9438926625022019</v>
      </c>
      <c r="G47" t="s">
        <v>55</v>
      </c>
      <c r="H47" s="20">
        <f>(H29/1000)*20*365*24*0.07</f>
        <v>95136.064286348701</v>
      </c>
    </row>
    <row r="48" spans="1:8" x14ac:dyDescent="0.25">
      <c r="A48" s="2" t="s">
        <v>31</v>
      </c>
      <c r="B48" s="2">
        <v>3.8E-3</v>
      </c>
      <c r="D48" t="s">
        <v>35</v>
      </c>
      <c r="E48" s="17">
        <f>(B46*E31*0.000001*E42)+(B46*E32*0.000001*E42)</f>
        <v>82.539684452659685</v>
      </c>
    </row>
    <row r="49" spans="1:8" x14ac:dyDescent="0.25">
      <c r="A49" s="2" t="s">
        <v>54</v>
      </c>
      <c r="B49" s="2">
        <v>8</v>
      </c>
    </row>
    <row r="51" spans="1:8" x14ac:dyDescent="0.25">
      <c r="A51" s="46" t="s">
        <v>0</v>
      </c>
      <c r="B51" s="46"/>
      <c r="C51" s="1"/>
      <c r="D51" s="46" t="s">
        <v>1</v>
      </c>
      <c r="E51" s="46"/>
      <c r="G51" s="46" t="s">
        <v>38</v>
      </c>
      <c r="H51" s="46"/>
    </row>
    <row r="52" spans="1:8" x14ac:dyDescent="0.25">
      <c r="A52" s="2" t="s">
        <v>13</v>
      </c>
      <c r="B52" s="2">
        <v>500000</v>
      </c>
      <c r="D52" t="s">
        <v>2</v>
      </c>
      <c r="E52" s="11">
        <f>B53/B54</f>
        <v>1.38</v>
      </c>
      <c r="G52" t="s">
        <v>41</v>
      </c>
      <c r="H52" s="7">
        <f>E53*E53*E71+E54*E54*E72</f>
        <v>1906.2656068739072</v>
      </c>
    </row>
    <row r="53" spans="1:8" x14ac:dyDescent="0.25">
      <c r="A53" s="2" t="s">
        <v>14</v>
      </c>
      <c r="B53" s="2">
        <v>34500</v>
      </c>
      <c r="D53" t="s">
        <v>22</v>
      </c>
      <c r="E53" s="11">
        <f>B52/B53</f>
        <v>14.492753623188406</v>
      </c>
      <c r="G53" t="s">
        <v>42</v>
      </c>
      <c r="H53" s="8">
        <f>B64*E68</f>
        <v>4158.126052152028</v>
      </c>
    </row>
    <row r="54" spans="1:8" x14ac:dyDescent="0.25">
      <c r="A54" s="2" t="s">
        <v>15</v>
      </c>
      <c r="B54" s="2">
        <v>25000</v>
      </c>
      <c r="D54" t="s">
        <v>23</v>
      </c>
      <c r="E54" s="11">
        <f>B52/B54</f>
        <v>20</v>
      </c>
      <c r="G54" t="s">
        <v>43</v>
      </c>
      <c r="H54" s="6">
        <f>H52+H53</f>
        <v>6064.391659025935</v>
      </c>
    </row>
    <row r="55" spans="1:8" x14ac:dyDescent="0.25">
      <c r="A55" s="2" t="s">
        <v>16</v>
      </c>
      <c r="B55" s="2">
        <v>50</v>
      </c>
      <c r="D55" t="s">
        <v>5</v>
      </c>
      <c r="E55" s="17">
        <f>E52*B60</f>
        <v>758.99999999999989</v>
      </c>
      <c r="G55" t="s">
        <v>40</v>
      </c>
      <c r="H55" s="9">
        <f>100*B52/(B52+H54)</f>
        <v>98.801656121438398</v>
      </c>
    </row>
    <row r="56" spans="1:8" x14ac:dyDescent="0.25">
      <c r="A56" s="2" t="s">
        <v>17</v>
      </c>
      <c r="B56" s="2">
        <v>-30</v>
      </c>
      <c r="D56" t="s">
        <v>45</v>
      </c>
      <c r="E56" s="11">
        <f>E55*(E53/B59)</f>
        <v>3666.6666666666661</v>
      </c>
    </row>
    <row r="57" spans="1:8" x14ac:dyDescent="0.25">
      <c r="A57" s="2" t="s">
        <v>18</v>
      </c>
      <c r="B57" s="2">
        <v>50</v>
      </c>
      <c r="D57" t="s">
        <v>44</v>
      </c>
      <c r="E57" s="11">
        <f>B60*(E54/B59)</f>
        <v>3666.666666666667</v>
      </c>
    </row>
    <row r="58" spans="1:8" x14ac:dyDescent="0.25">
      <c r="A58" s="2" t="s">
        <v>7</v>
      </c>
      <c r="B58" s="2">
        <v>0.3</v>
      </c>
      <c r="D58" t="s">
        <v>11</v>
      </c>
      <c r="E58" s="13">
        <f>(E56+E57)*0.000001/B58</f>
        <v>2.4444444444444442E-2</v>
      </c>
    </row>
    <row r="59" spans="1:8" x14ac:dyDescent="0.25">
      <c r="A59" s="2" t="s">
        <v>10</v>
      </c>
      <c r="B59" s="2">
        <v>3</v>
      </c>
      <c r="D59" t="s">
        <v>12</v>
      </c>
      <c r="E59" s="14">
        <f>SQRT(E58)</f>
        <v>0.15634719199411432</v>
      </c>
    </row>
    <row r="60" spans="1:8" x14ac:dyDescent="0.25">
      <c r="A60" s="2" t="s">
        <v>6</v>
      </c>
      <c r="B60" s="21">
        <v>550</v>
      </c>
    </row>
    <row r="61" spans="1:8" x14ac:dyDescent="0.25">
      <c r="A61" s="46" t="s">
        <v>3</v>
      </c>
      <c r="B61" s="46"/>
      <c r="D61" s="46" t="s">
        <v>4</v>
      </c>
      <c r="E61" s="46"/>
      <c r="G61" s="46" t="s">
        <v>46</v>
      </c>
      <c r="H61" s="46"/>
    </row>
    <row r="62" spans="1:8" x14ac:dyDescent="0.25">
      <c r="A62" s="2" t="s">
        <v>19</v>
      </c>
      <c r="B62" s="3">
        <v>1.2</v>
      </c>
      <c r="D62" t="s">
        <v>24</v>
      </c>
      <c r="E62" s="10">
        <f>B53/(4.44*B55*E55*B62)</f>
        <v>0.17062517062517063</v>
      </c>
      <c r="G62" t="s">
        <v>47</v>
      </c>
      <c r="H62" s="22">
        <f>E66/(E62*B63*4*PI()*0.0000001)</f>
        <v>11123.275787543362</v>
      </c>
    </row>
    <row r="63" spans="1:8" x14ac:dyDescent="0.25">
      <c r="A63" s="2" t="s">
        <v>20</v>
      </c>
      <c r="B63" s="2">
        <v>955</v>
      </c>
      <c r="D63" t="s">
        <v>37</v>
      </c>
      <c r="E63" s="11">
        <f>SQRT(E62)</f>
        <v>0.41306799758050811</v>
      </c>
      <c r="G63" t="s">
        <v>48</v>
      </c>
      <c r="H63" s="16">
        <f>E55*E55/H62</f>
        <v>51.790588582289445</v>
      </c>
    </row>
    <row r="64" spans="1:8" x14ac:dyDescent="0.25">
      <c r="A64" s="2" t="s">
        <v>8</v>
      </c>
      <c r="B64" s="2">
        <v>1.363</v>
      </c>
      <c r="D64" t="s">
        <v>25</v>
      </c>
      <c r="E64" s="12">
        <f>B62/(B63*4*0.0000001*PI())</f>
        <v>999.92634403285035</v>
      </c>
      <c r="G64" t="s">
        <v>49</v>
      </c>
      <c r="H64" s="15">
        <f>(B53/E53)*0.02/(2*PI()*B55)</f>
        <v>0.15154733681210272</v>
      </c>
    </row>
    <row r="65" spans="1:8" x14ac:dyDescent="0.25">
      <c r="A65" s="2" t="s">
        <v>21</v>
      </c>
      <c r="B65" s="4">
        <v>3.5E-4</v>
      </c>
      <c r="D65" t="s">
        <v>26</v>
      </c>
      <c r="E65" s="15">
        <f>E63*2+E59</f>
        <v>0.9824831871551305</v>
      </c>
      <c r="F65" s="5"/>
      <c r="G65" t="s">
        <v>50</v>
      </c>
      <c r="H65" s="15">
        <f>(B54/E54)*0.02/(2*PI()*B55)</f>
        <v>7.9577471545947673E-2</v>
      </c>
    </row>
    <row r="66" spans="1:8" x14ac:dyDescent="0.25">
      <c r="A66" s="2" t="s">
        <v>9</v>
      </c>
      <c r="B66" s="2">
        <v>7.85</v>
      </c>
      <c r="D66" t="s">
        <v>27</v>
      </c>
      <c r="E66" s="11">
        <f>(E59+E63)*4</f>
        <v>2.2776607582984898</v>
      </c>
    </row>
    <row r="67" spans="1:8" x14ac:dyDescent="0.25">
      <c r="A67" s="2" t="s">
        <v>53</v>
      </c>
      <c r="B67" s="2">
        <v>3</v>
      </c>
      <c r="D67" t="s">
        <v>29</v>
      </c>
      <c r="E67" s="15">
        <f>(E59/2+E63)*PI()</f>
        <v>1.5432809815210218</v>
      </c>
    </row>
    <row r="68" spans="1:8" x14ac:dyDescent="0.25">
      <c r="D68" t="s">
        <v>39</v>
      </c>
      <c r="E68" s="18">
        <f>E62*E66*B66*1000</f>
        <v>3050.7161057608423</v>
      </c>
    </row>
    <row r="70" spans="1:8" x14ac:dyDescent="0.25">
      <c r="A70" s="46" t="s">
        <v>28</v>
      </c>
      <c r="B70" s="46"/>
      <c r="D70" s="46" t="s">
        <v>32</v>
      </c>
      <c r="E70" s="46"/>
      <c r="G70" s="46" t="s">
        <v>51</v>
      </c>
      <c r="H70" s="46"/>
    </row>
    <row r="71" spans="1:8" x14ac:dyDescent="0.25">
      <c r="A71" s="2" t="s">
        <v>36</v>
      </c>
      <c r="B71" s="2">
        <v>8940</v>
      </c>
      <c r="D71" t="s">
        <v>33</v>
      </c>
      <c r="E71" s="11">
        <f>(B72*(B57-20)*B73 + B72)*E55*E67/(E56*0.000001/E55)</f>
        <v>4.5378652771633359</v>
      </c>
      <c r="G71" t="s">
        <v>52</v>
      </c>
      <c r="H71" s="19">
        <f>E73*B74 + E68*B67</f>
        <v>9961.5683264706713</v>
      </c>
    </row>
    <row r="72" spans="1:8" x14ac:dyDescent="0.25">
      <c r="A72" s="2" t="s">
        <v>30</v>
      </c>
      <c r="B72" s="4">
        <v>1.6800000000000002E-8</v>
      </c>
      <c r="D72" t="s">
        <v>34</v>
      </c>
      <c r="E72" s="11">
        <f>(B72*(B57-20)*B73 + B72)*B60*E67/(E57*0.000001/B60)</f>
        <v>2.3828320085923842</v>
      </c>
      <c r="G72" t="s">
        <v>55</v>
      </c>
      <c r="H72" s="20">
        <f>(H54/1000)*20*365*24*0.07</f>
        <v>74373.699306294075</v>
      </c>
    </row>
    <row r="73" spans="1:8" x14ac:dyDescent="0.25">
      <c r="A73" s="2" t="s">
        <v>31</v>
      </c>
      <c r="B73" s="2">
        <v>3.8E-3</v>
      </c>
      <c r="D73" t="s">
        <v>35</v>
      </c>
      <c r="E73" s="17">
        <f>(B71*E56*0.000001*E67)+(B71*E57*0.000001*E67)</f>
        <v>101.17750114851819</v>
      </c>
    </row>
    <row r="74" spans="1:8" x14ac:dyDescent="0.25">
      <c r="A74" s="2" t="s">
        <v>54</v>
      </c>
      <c r="B74" s="2">
        <v>8</v>
      </c>
    </row>
    <row r="76" spans="1:8" x14ac:dyDescent="0.25">
      <c r="A76" s="46" t="s">
        <v>0</v>
      </c>
      <c r="B76" s="46"/>
      <c r="C76" s="1"/>
      <c r="D76" s="46" t="s">
        <v>1</v>
      </c>
      <c r="E76" s="46"/>
      <c r="G76" s="46" t="s">
        <v>38</v>
      </c>
      <c r="H76" s="46"/>
    </row>
    <row r="77" spans="1:8" x14ac:dyDescent="0.25">
      <c r="A77" s="2" t="s">
        <v>13</v>
      </c>
      <c r="B77" s="2">
        <v>500000</v>
      </c>
      <c r="D77" t="s">
        <v>2</v>
      </c>
      <c r="E77" s="11">
        <f>B78/B79</f>
        <v>1.38</v>
      </c>
      <c r="G77" t="s">
        <v>41</v>
      </c>
      <c r="H77" s="7">
        <f>E78*E78*E96+E79*E79*E97</f>
        <v>2243.8926601885469</v>
      </c>
    </row>
    <row r="78" spans="1:8" x14ac:dyDescent="0.25">
      <c r="A78" s="2" t="s">
        <v>14</v>
      </c>
      <c r="B78" s="2">
        <v>34500</v>
      </c>
      <c r="D78" t="s">
        <v>22</v>
      </c>
      <c r="E78" s="11">
        <f>B77/B78</f>
        <v>14.492753623188406</v>
      </c>
      <c r="G78" t="s">
        <v>42</v>
      </c>
      <c r="H78" s="8">
        <f>B89*E93</f>
        <v>3112.8361624246377</v>
      </c>
    </row>
    <row r="79" spans="1:8" x14ac:dyDescent="0.25">
      <c r="A79" s="2" t="s">
        <v>15</v>
      </c>
      <c r="B79" s="2">
        <v>25000</v>
      </c>
      <c r="D79" t="s">
        <v>23</v>
      </c>
      <c r="E79" s="11">
        <f>B77/B79</f>
        <v>20</v>
      </c>
      <c r="G79" t="s">
        <v>43</v>
      </c>
      <c r="H79" s="6">
        <f>H77+H78</f>
        <v>5356.7288226131841</v>
      </c>
    </row>
    <row r="80" spans="1:8" x14ac:dyDescent="0.25">
      <c r="A80" s="2" t="s">
        <v>16</v>
      </c>
      <c r="B80" s="2">
        <v>50</v>
      </c>
      <c r="D80" t="s">
        <v>5</v>
      </c>
      <c r="E80" s="17">
        <f>E77*B85</f>
        <v>965.99999999999989</v>
      </c>
      <c r="G80" t="s">
        <v>40</v>
      </c>
      <c r="H80" s="9">
        <f>100*B77/(B77+H79)</f>
        <v>98.940010389276225</v>
      </c>
    </row>
    <row r="81" spans="1:8" x14ac:dyDescent="0.25">
      <c r="A81" s="2" t="s">
        <v>17</v>
      </c>
      <c r="B81" s="2">
        <v>-30</v>
      </c>
      <c r="D81" t="s">
        <v>45</v>
      </c>
      <c r="E81" s="11">
        <f>E80*(E78/B84)</f>
        <v>4666.6666666666661</v>
      </c>
    </row>
    <row r="82" spans="1:8" x14ac:dyDescent="0.25">
      <c r="A82" s="2" t="s">
        <v>18</v>
      </c>
      <c r="B82" s="2">
        <v>50</v>
      </c>
      <c r="D82" t="s">
        <v>44</v>
      </c>
      <c r="E82" s="11">
        <f>B85*(E79/B84)</f>
        <v>4666.666666666667</v>
      </c>
    </row>
    <row r="83" spans="1:8" x14ac:dyDescent="0.25">
      <c r="A83" s="2" t="s">
        <v>7</v>
      </c>
      <c r="B83" s="2">
        <v>0.3</v>
      </c>
      <c r="D83" t="s">
        <v>11</v>
      </c>
      <c r="E83" s="13">
        <f>(E81+E82)*0.000001/B83</f>
        <v>3.111111111111111E-2</v>
      </c>
    </row>
    <row r="84" spans="1:8" x14ac:dyDescent="0.25">
      <c r="A84" s="2" t="s">
        <v>10</v>
      </c>
      <c r="B84" s="2">
        <v>3</v>
      </c>
      <c r="D84" t="s">
        <v>12</v>
      </c>
      <c r="E84" s="14">
        <f>SQRT(E83)</f>
        <v>0.17638342073763938</v>
      </c>
    </row>
    <row r="85" spans="1:8" x14ac:dyDescent="0.25">
      <c r="A85" s="2" t="s">
        <v>6</v>
      </c>
      <c r="B85" s="21">
        <v>700</v>
      </c>
    </row>
    <row r="86" spans="1:8" x14ac:dyDescent="0.25">
      <c r="A86" s="46" t="s">
        <v>3</v>
      </c>
      <c r="B86" s="46"/>
      <c r="D86" s="46" t="s">
        <v>4</v>
      </c>
      <c r="E86" s="46"/>
      <c r="G86" s="46" t="s">
        <v>46</v>
      </c>
      <c r="H86" s="46"/>
    </row>
    <row r="87" spans="1:8" x14ac:dyDescent="0.25">
      <c r="A87" s="2" t="s">
        <v>19</v>
      </c>
      <c r="B87" s="3">
        <v>1.2</v>
      </c>
      <c r="D87" t="s">
        <v>24</v>
      </c>
      <c r="E87" s="10">
        <f>B78/(4.44*B80*E80*B87)</f>
        <v>0.13406263406263408</v>
      </c>
      <c r="G87" t="s">
        <v>47</v>
      </c>
      <c r="H87" s="22">
        <f>E91/(E87*B88*4*PI()*0.0000001)</f>
        <v>13488.449136664045</v>
      </c>
    </row>
    <row r="88" spans="1:8" x14ac:dyDescent="0.25">
      <c r="A88" s="2" t="s">
        <v>20</v>
      </c>
      <c r="B88" s="2">
        <v>955</v>
      </c>
      <c r="D88" t="s">
        <v>37</v>
      </c>
      <c r="E88" s="11">
        <f>SQRT(E87)</f>
        <v>0.36614564596978905</v>
      </c>
      <c r="G88" t="s">
        <v>48</v>
      </c>
      <c r="H88" s="16">
        <f>E80*E80/H87</f>
        <v>69.181860015582743</v>
      </c>
    </row>
    <row r="89" spans="1:8" x14ac:dyDescent="0.25">
      <c r="A89" s="2" t="s">
        <v>8</v>
      </c>
      <c r="B89" s="2">
        <v>1.363</v>
      </c>
      <c r="D89" t="s">
        <v>25</v>
      </c>
      <c r="E89" s="12">
        <f>B87/(B88*4*0.0000001*PI())</f>
        <v>999.92634403285035</v>
      </c>
      <c r="G89" t="s">
        <v>49</v>
      </c>
      <c r="H89" s="15">
        <f>(B78/E78)*0.02/(2*PI()*B80)</f>
        <v>0.15154733681210272</v>
      </c>
    </row>
    <row r="90" spans="1:8" x14ac:dyDescent="0.25">
      <c r="A90" s="2" t="s">
        <v>21</v>
      </c>
      <c r="B90" s="4">
        <v>3.5E-4</v>
      </c>
      <c r="D90" t="s">
        <v>26</v>
      </c>
      <c r="E90" s="15">
        <f>E88*2+E84</f>
        <v>0.90867471267721744</v>
      </c>
      <c r="F90" s="5"/>
      <c r="G90" t="s">
        <v>50</v>
      </c>
      <c r="H90" s="15">
        <f>(B79/E79)*0.02/(2*PI()*B80)</f>
        <v>7.9577471545947673E-2</v>
      </c>
    </row>
    <row r="91" spans="1:8" x14ac:dyDescent="0.25">
      <c r="A91" s="2" t="s">
        <v>9</v>
      </c>
      <c r="B91" s="2">
        <v>7.85</v>
      </c>
      <c r="D91" t="s">
        <v>27</v>
      </c>
      <c r="E91" s="11">
        <f>(E84+E88)*4</f>
        <v>2.1701162668297136</v>
      </c>
    </row>
    <row r="92" spans="1:8" x14ac:dyDescent="0.25">
      <c r="A92" s="2" t="s">
        <v>53</v>
      </c>
      <c r="B92" s="2">
        <v>3</v>
      </c>
      <c r="D92" t="s">
        <v>29</v>
      </c>
      <c r="E92" s="15">
        <f>(E84/2+E88)*PI()</f>
        <v>1.4273429009247811</v>
      </c>
    </row>
    <row r="93" spans="1:8" x14ac:dyDescent="0.25">
      <c r="D93" t="s">
        <v>39</v>
      </c>
      <c r="E93" s="18">
        <f>E87*E91*B91*1000</f>
        <v>2283.8122981838869</v>
      </c>
    </row>
    <row r="95" spans="1:8" x14ac:dyDescent="0.25">
      <c r="A95" s="46" t="s">
        <v>28</v>
      </c>
      <c r="B95" s="46"/>
      <c r="D95" s="46" t="s">
        <v>32</v>
      </c>
      <c r="E95" s="46"/>
      <c r="G95" s="46" t="s">
        <v>51</v>
      </c>
      <c r="H95" s="46"/>
    </row>
    <row r="96" spans="1:8" x14ac:dyDescent="0.25">
      <c r="A96" s="2" t="s">
        <v>36</v>
      </c>
      <c r="B96" s="2">
        <v>8940</v>
      </c>
      <c r="D96" t="s">
        <v>33</v>
      </c>
      <c r="E96" s="11">
        <f>(B97*(B82-20)*B98 + B97)*E80*E92/(E81*0.000001/E80)</f>
        <v>5.3415864775788364</v>
      </c>
      <c r="G96" t="s">
        <v>52</v>
      </c>
      <c r="H96" s="19">
        <f>E98*B99 + E93*B92</f>
        <v>7804.2168277769706</v>
      </c>
    </row>
    <row r="97" spans="1:8" x14ac:dyDescent="0.25">
      <c r="A97" s="2" t="s">
        <v>30</v>
      </c>
      <c r="B97" s="4">
        <v>1.6800000000000002E-8</v>
      </c>
      <c r="D97" t="s">
        <v>34</v>
      </c>
      <c r="E97" s="11">
        <f>(B97*(B82-20)*B98 + B97)*B85*E92/(E82*0.000001/B85)</f>
        <v>2.8048658252356837</v>
      </c>
      <c r="G97" t="s">
        <v>55</v>
      </c>
      <c r="H97" s="20">
        <f>(H79/1000)*20*365*24*0.07</f>
        <v>65694.922280528102</v>
      </c>
    </row>
    <row r="98" spans="1:8" x14ac:dyDescent="0.25">
      <c r="A98" s="2" t="s">
        <v>31</v>
      </c>
      <c r="B98" s="2">
        <v>3.8E-3</v>
      </c>
      <c r="D98" t="s">
        <v>35</v>
      </c>
      <c r="E98" s="17">
        <f>(B96*E81*0.000001*E92)+(B96*E82*0.000001*E92)</f>
        <v>119.09749165316373</v>
      </c>
    </row>
    <row r="99" spans="1:8" x14ac:dyDescent="0.25">
      <c r="A99" s="2" t="s">
        <v>54</v>
      </c>
      <c r="B99" s="2">
        <v>8</v>
      </c>
    </row>
    <row r="101" spans="1:8" x14ac:dyDescent="0.25">
      <c r="A101" s="46" t="s">
        <v>0</v>
      </c>
      <c r="B101" s="46"/>
      <c r="C101" s="1"/>
      <c r="D101" s="46" t="s">
        <v>1</v>
      </c>
      <c r="E101" s="46"/>
      <c r="G101" s="46" t="s">
        <v>38</v>
      </c>
      <c r="H101" s="46"/>
    </row>
    <row r="102" spans="1:8" x14ac:dyDescent="0.25">
      <c r="A102" s="2" t="s">
        <v>13</v>
      </c>
      <c r="B102" s="2">
        <v>500000</v>
      </c>
      <c r="D102" t="s">
        <v>2</v>
      </c>
      <c r="E102" s="11">
        <f>B103/B104</f>
        <v>1.38</v>
      </c>
      <c r="G102" t="s">
        <v>41</v>
      </c>
      <c r="H102" s="7">
        <f>E103*E103*E121+E104*E104*E122</f>
        <v>2575.4994624639394</v>
      </c>
    </row>
    <row r="103" spans="1:8" x14ac:dyDescent="0.25">
      <c r="A103" s="2" t="s">
        <v>14</v>
      </c>
      <c r="B103" s="2">
        <v>34500</v>
      </c>
      <c r="D103" t="s">
        <v>22</v>
      </c>
      <c r="E103" s="11">
        <f>B102/B103</f>
        <v>14.492753623188406</v>
      </c>
      <c r="G103" t="s">
        <v>42</v>
      </c>
      <c r="H103" s="8">
        <f>B114*E118</f>
        <v>2488.419455942766</v>
      </c>
    </row>
    <row r="104" spans="1:8" x14ac:dyDescent="0.25">
      <c r="A104" s="2" t="s">
        <v>15</v>
      </c>
      <c r="B104" s="2">
        <v>25000</v>
      </c>
      <c r="D104" t="s">
        <v>23</v>
      </c>
      <c r="E104" s="11">
        <f>B102/B104</f>
        <v>20</v>
      </c>
      <c r="G104" t="s">
        <v>43</v>
      </c>
      <c r="H104" s="6">
        <f>H102+H103</f>
        <v>5063.9189184067054</v>
      </c>
    </row>
    <row r="105" spans="1:8" x14ac:dyDescent="0.25">
      <c r="A105" s="2" t="s">
        <v>16</v>
      </c>
      <c r="B105" s="2">
        <v>50</v>
      </c>
      <c r="D105" t="s">
        <v>5</v>
      </c>
      <c r="E105" s="17">
        <f>E102*B110</f>
        <v>1173</v>
      </c>
      <c r="G105" t="s">
        <v>40</v>
      </c>
      <c r="H105" s="9">
        <f>100*B102/(B102+H104)</f>
        <v>98.997370683447144</v>
      </c>
    </row>
    <row r="106" spans="1:8" x14ac:dyDescent="0.25">
      <c r="A106" s="2" t="s">
        <v>17</v>
      </c>
      <c r="B106" s="2">
        <v>-30</v>
      </c>
      <c r="D106" t="s">
        <v>45</v>
      </c>
      <c r="E106" s="11">
        <f>E105*(E103/B109)</f>
        <v>5666.666666666667</v>
      </c>
    </row>
    <row r="107" spans="1:8" x14ac:dyDescent="0.25">
      <c r="A107" s="2" t="s">
        <v>18</v>
      </c>
      <c r="B107" s="2">
        <v>50</v>
      </c>
      <c r="D107" t="s">
        <v>44</v>
      </c>
      <c r="E107" s="11">
        <f>B110*(E104/B109)</f>
        <v>5666.666666666667</v>
      </c>
    </row>
    <row r="108" spans="1:8" x14ac:dyDescent="0.25">
      <c r="A108" s="2" t="s">
        <v>7</v>
      </c>
      <c r="B108" s="2">
        <v>0.3</v>
      </c>
      <c r="D108" t="s">
        <v>11</v>
      </c>
      <c r="E108" s="13">
        <f>(E106+E107)*0.000001/B108</f>
        <v>3.7777777777777785E-2</v>
      </c>
    </row>
    <row r="109" spans="1:8" x14ac:dyDescent="0.25">
      <c r="A109" s="2" t="s">
        <v>10</v>
      </c>
      <c r="B109" s="2">
        <v>3</v>
      </c>
      <c r="D109" t="s">
        <v>12</v>
      </c>
      <c r="E109" s="14">
        <f>SQRT(E108)</f>
        <v>0.19436506316151003</v>
      </c>
    </row>
    <row r="110" spans="1:8" x14ac:dyDescent="0.25">
      <c r="A110" s="2" t="s">
        <v>6</v>
      </c>
      <c r="B110" s="21">
        <v>850</v>
      </c>
    </row>
    <row r="111" spans="1:8" x14ac:dyDescent="0.25">
      <c r="A111" s="46" t="s">
        <v>3</v>
      </c>
      <c r="B111" s="46"/>
      <c r="D111" s="46" t="s">
        <v>4</v>
      </c>
      <c r="E111" s="46"/>
      <c r="G111" s="46" t="s">
        <v>46</v>
      </c>
      <c r="H111" s="46"/>
    </row>
    <row r="112" spans="1:8" x14ac:dyDescent="0.25">
      <c r="A112" s="2" t="s">
        <v>19</v>
      </c>
      <c r="B112" s="3">
        <v>1.2</v>
      </c>
      <c r="D112" t="s">
        <v>24</v>
      </c>
      <c r="E112" s="10">
        <f>B103/(4.44*B105*E105*B112)</f>
        <v>0.11040452216922805</v>
      </c>
      <c r="G112" t="s">
        <v>47</v>
      </c>
      <c r="H112" s="22">
        <f>E116/(E112*B113*4*PI()*0.0000001)</f>
        <v>15899.047804155207</v>
      </c>
    </row>
    <row r="113" spans="1:8" x14ac:dyDescent="0.25">
      <c r="A113" s="2" t="s">
        <v>20</v>
      </c>
      <c r="B113" s="2">
        <v>955</v>
      </c>
      <c r="D113" t="s">
        <v>37</v>
      </c>
      <c r="E113" s="11">
        <f>SQRT(E112)</f>
        <v>0.33227175951204169</v>
      </c>
      <c r="G113" t="s">
        <v>48</v>
      </c>
      <c r="H113" s="16">
        <f>E105*E105/H112</f>
        <v>86.5415977704276</v>
      </c>
    </row>
    <row r="114" spans="1:8" x14ac:dyDescent="0.25">
      <c r="A114" s="2" t="s">
        <v>8</v>
      </c>
      <c r="B114" s="2">
        <v>1.363</v>
      </c>
      <c r="D114" t="s">
        <v>25</v>
      </c>
      <c r="E114" s="12">
        <f>B112/(B113*4*0.0000001*PI())</f>
        <v>999.92634403285035</v>
      </c>
      <c r="G114" t="s">
        <v>49</v>
      </c>
      <c r="H114" s="15">
        <f>(B103/E103)*0.02/(2*PI()*B105)</f>
        <v>0.15154733681210272</v>
      </c>
    </row>
    <row r="115" spans="1:8" x14ac:dyDescent="0.25">
      <c r="A115" s="2" t="s">
        <v>21</v>
      </c>
      <c r="B115" s="4">
        <v>3.5E-4</v>
      </c>
      <c r="D115" t="s">
        <v>26</v>
      </c>
      <c r="E115" s="15">
        <f>E113*2+E109</f>
        <v>0.85890858218559341</v>
      </c>
      <c r="F115" s="5"/>
      <c r="G115" t="s">
        <v>50</v>
      </c>
      <c r="H115" s="15">
        <f>(B104/E104)*0.02/(2*PI()*B105)</f>
        <v>7.9577471545947673E-2</v>
      </c>
    </row>
    <row r="116" spans="1:8" x14ac:dyDescent="0.25">
      <c r="A116" s="2" t="s">
        <v>9</v>
      </c>
      <c r="B116" s="2">
        <v>7.85</v>
      </c>
      <c r="D116" t="s">
        <v>27</v>
      </c>
      <c r="E116" s="11">
        <f>(E109+E113)*4</f>
        <v>2.1065472906942069</v>
      </c>
    </row>
    <row r="117" spans="1:8" x14ac:dyDescent="0.25">
      <c r="A117" s="2" t="s">
        <v>53</v>
      </c>
      <c r="B117" s="2">
        <v>3</v>
      </c>
      <c r="D117" t="s">
        <v>29</v>
      </c>
      <c r="E117" s="15">
        <f>(E109/2+E113)*PI()</f>
        <v>1.3491704459497427</v>
      </c>
    </row>
    <row r="118" spans="1:8" x14ac:dyDescent="0.25">
      <c r="D118" t="s">
        <v>39</v>
      </c>
      <c r="E118" s="18">
        <f>E112*E116*B116*1000</f>
        <v>1825.6929243894101</v>
      </c>
    </row>
    <row r="120" spans="1:8" x14ac:dyDescent="0.25">
      <c r="A120" s="46" t="s">
        <v>28</v>
      </c>
      <c r="B120" s="46"/>
      <c r="D120" s="46" t="s">
        <v>32</v>
      </c>
      <c r="E120" s="46"/>
      <c r="G120" s="46" t="s">
        <v>51</v>
      </c>
      <c r="H120" s="46"/>
    </row>
    <row r="121" spans="1:8" x14ac:dyDescent="0.25">
      <c r="A121" s="2" t="s">
        <v>36</v>
      </c>
      <c r="B121" s="2">
        <v>8940</v>
      </c>
      <c r="D121" t="s">
        <v>33</v>
      </c>
      <c r="E121" s="11">
        <f>(B122*(B107-20)*B123 + B122)*E105*E117/(E106*0.000001/E105)</f>
        <v>6.1309764703954093</v>
      </c>
      <c r="G121" t="s">
        <v>52</v>
      </c>
      <c r="H121" s="19">
        <f>E123*B124 + E118*B117</f>
        <v>6570.6623698372532</v>
      </c>
    </row>
    <row r="122" spans="1:8" x14ac:dyDescent="0.25">
      <c r="A122" s="2" t="s">
        <v>30</v>
      </c>
      <c r="B122" s="4">
        <v>1.6800000000000002E-8</v>
      </c>
      <c r="D122" t="s">
        <v>34</v>
      </c>
      <c r="E122" s="11">
        <f>(B122*(B107-20)*B123 + B122)*B110*E117/(E107*0.000001/B110)</f>
        <v>3.2193743280799243</v>
      </c>
      <c r="G122" t="s">
        <v>55</v>
      </c>
      <c r="H122" s="20">
        <f>(H104/1000)*20*365*24*0.07</f>
        <v>62103.901615339841</v>
      </c>
    </row>
    <row r="123" spans="1:8" x14ac:dyDescent="0.25">
      <c r="A123" s="2" t="s">
        <v>31</v>
      </c>
      <c r="B123" s="2">
        <v>3.8E-3</v>
      </c>
      <c r="D123" t="s">
        <v>35</v>
      </c>
      <c r="E123" s="17">
        <f>(B121*E106*0.000001*E117)+(B121*E107*0.000001*E117)</f>
        <v>136.69794958362792</v>
      </c>
    </row>
    <row r="124" spans="1:8" x14ac:dyDescent="0.25">
      <c r="A124" s="2" t="s">
        <v>54</v>
      </c>
      <c r="B124" s="2">
        <v>8</v>
      </c>
    </row>
    <row r="126" spans="1:8" x14ac:dyDescent="0.25">
      <c r="A126" s="46" t="s">
        <v>0</v>
      </c>
      <c r="B126" s="46"/>
      <c r="C126" s="1"/>
      <c r="D126" s="46" t="s">
        <v>1</v>
      </c>
      <c r="E126" s="46"/>
      <c r="G126" s="46" t="s">
        <v>38</v>
      </c>
      <c r="H126" s="46"/>
    </row>
    <row r="127" spans="1:8" x14ac:dyDescent="0.25">
      <c r="A127" s="2" t="s">
        <v>13</v>
      </c>
      <c r="B127" s="2">
        <v>500000</v>
      </c>
      <c r="D127" t="s">
        <v>2</v>
      </c>
      <c r="E127" s="11">
        <f>B128/B129</f>
        <v>1.38</v>
      </c>
      <c r="G127" t="s">
        <v>41</v>
      </c>
      <c r="H127" s="7">
        <f>E128*E128*E146+E129*E129*E147</f>
        <v>2905.0780713072427</v>
      </c>
    </row>
    <row r="128" spans="1:8" x14ac:dyDescent="0.25">
      <c r="A128" s="2" t="s">
        <v>14</v>
      </c>
      <c r="B128" s="2">
        <v>34500</v>
      </c>
      <c r="D128" t="s">
        <v>22</v>
      </c>
      <c r="E128" s="11">
        <f>B127/B128</f>
        <v>14.492753623188406</v>
      </c>
      <c r="G128" t="s">
        <v>42</v>
      </c>
      <c r="H128" s="8">
        <f>B139*E143</f>
        <v>2077.0860360423753</v>
      </c>
    </row>
    <row r="129" spans="1:8" x14ac:dyDescent="0.25">
      <c r="A129" s="2" t="s">
        <v>15</v>
      </c>
      <c r="B129" s="2">
        <v>25000</v>
      </c>
      <c r="D129" t="s">
        <v>23</v>
      </c>
      <c r="E129" s="11">
        <f>B127/B129</f>
        <v>20</v>
      </c>
      <c r="G129" t="s">
        <v>43</v>
      </c>
      <c r="H129" s="6">
        <f>H127+H128</f>
        <v>4982.1641073496176</v>
      </c>
    </row>
    <row r="130" spans="1:8" x14ac:dyDescent="0.25">
      <c r="A130" s="2" t="s">
        <v>16</v>
      </c>
      <c r="B130" s="2">
        <v>50</v>
      </c>
      <c r="D130" t="s">
        <v>5</v>
      </c>
      <c r="E130" s="17">
        <f>E127*B135</f>
        <v>1380</v>
      </c>
      <c r="G130" t="s">
        <v>40</v>
      </c>
      <c r="H130" s="9">
        <f>100*B127/(B127+H129)</f>
        <v>99.013398004629224</v>
      </c>
    </row>
    <row r="131" spans="1:8" x14ac:dyDescent="0.25">
      <c r="A131" s="2" t="s">
        <v>17</v>
      </c>
      <c r="B131" s="2">
        <v>-30</v>
      </c>
      <c r="D131" t="s">
        <v>45</v>
      </c>
      <c r="E131" s="11">
        <f>E130*(E128/B134)</f>
        <v>6666.666666666667</v>
      </c>
    </row>
    <row r="132" spans="1:8" x14ac:dyDescent="0.25">
      <c r="A132" s="2" t="s">
        <v>18</v>
      </c>
      <c r="B132" s="2">
        <v>50</v>
      </c>
      <c r="D132" t="s">
        <v>44</v>
      </c>
      <c r="E132" s="11">
        <f>B135*(E129/B134)</f>
        <v>6666.666666666667</v>
      </c>
    </row>
    <row r="133" spans="1:8" x14ac:dyDescent="0.25">
      <c r="A133" s="2" t="s">
        <v>7</v>
      </c>
      <c r="B133" s="2">
        <v>0.3</v>
      </c>
      <c r="D133" t="s">
        <v>11</v>
      </c>
      <c r="E133" s="13">
        <f>(E131+E132)*0.000001/B133</f>
        <v>4.4444444444444446E-2</v>
      </c>
    </row>
    <row r="134" spans="1:8" x14ac:dyDescent="0.25">
      <c r="A134" s="2" t="s">
        <v>10</v>
      </c>
      <c r="B134" s="2">
        <v>3</v>
      </c>
      <c r="D134" t="s">
        <v>12</v>
      </c>
      <c r="E134" s="14">
        <f>SQRT(E133)</f>
        <v>0.21081851067789195</v>
      </c>
    </row>
    <row r="135" spans="1:8" x14ac:dyDescent="0.25">
      <c r="A135" s="2" t="s">
        <v>6</v>
      </c>
      <c r="B135" s="21">
        <v>1000</v>
      </c>
    </row>
    <row r="136" spans="1:8" x14ac:dyDescent="0.25">
      <c r="A136" s="46" t="s">
        <v>3</v>
      </c>
      <c r="B136" s="46"/>
      <c r="D136" s="46" t="s">
        <v>4</v>
      </c>
      <c r="E136" s="46"/>
      <c r="G136" s="46" t="s">
        <v>46</v>
      </c>
      <c r="H136" s="46"/>
    </row>
    <row r="137" spans="1:8" x14ac:dyDescent="0.25">
      <c r="A137" s="2" t="s">
        <v>19</v>
      </c>
      <c r="B137" s="3">
        <v>1.2</v>
      </c>
      <c r="D137" t="s">
        <v>24</v>
      </c>
      <c r="E137" s="10">
        <f>B128/(4.44*B130*E130*B137)</f>
        <v>9.3843843843843824E-2</v>
      </c>
      <c r="G137" t="s">
        <v>47</v>
      </c>
      <c r="H137" s="22">
        <f>E141/(E137*B138*4*PI()*0.0000001)</f>
        <v>18368.096886668231</v>
      </c>
    </row>
    <row r="138" spans="1:8" x14ac:dyDescent="0.25">
      <c r="A138" s="2" t="s">
        <v>20</v>
      </c>
      <c r="B138" s="2">
        <v>955</v>
      </c>
      <c r="D138" t="s">
        <v>37</v>
      </c>
      <c r="E138" s="11">
        <f>SQRT(E137)</f>
        <v>0.30633942587241986</v>
      </c>
      <c r="G138" t="s">
        <v>48</v>
      </c>
      <c r="H138" s="16">
        <f>E130*E130/H137</f>
        <v>103.67976670366077</v>
      </c>
    </row>
    <row r="139" spans="1:8" x14ac:dyDescent="0.25">
      <c r="A139" s="2" t="s">
        <v>8</v>
      </c>
      <c r="B139" s="2">
        <v>1.363</v>
      </c>
      <c r="D139" t="s">
        <v>25</v>
      </c>
      <c r="E139" s="12">
        <f>B137/(B138*4*0.0000001*PI())</f>
        <v>999.92634403285035</v>
      </c>
      <c r="G139" t="s">
        <v>49</v>
      </c>
      <c r="H139" s="15">
        <f>(B128/E128)*0.02/(2*PI()*B130)</f>
        <v>0.15154733681210272</v>
      </c>
    </row>
    <row r="140" spans="1:8" x14ac:dyDescent="0.25">
      <c r="A140" s="2" t="s">
        <v>21</v>
      </c>
      <c r="B140" s="4">
        <v>3.5E-4</v>
      </c>
      <c r="D140" t="s">
        <v>26</v>
      </c>
      <c r="E140" s="15">
        <f>E138*2+E134</f>
        <v>0.82349736242273164</v>
      </c>
      <c r="F140" s="5"/>
      <c r="G140" t="s">
        <v>50</v>
      </c>
      <c r="H140" s="15">
        <f>(B129/E129)*0.02/(2*PI()*B130)</f>
        <v>7.9577471545947673E-2</v>
      </c>
    </row>
    <row r="141" spans="1:8" x14ac:dyDescent="0.25">
      <c r="A141" s="2" t="s">
        <v>9</v>
      </c>
      <c r="B141" s="2">
        <v>7.85</v>
      </c>
      <c r="D141" t="s">
        <v>27</v>
      </c>
      <c r="E141" s="11">
        <f>(E134+E138)*4</f>
        <v>2.0686317462012473</v>
      </c>
    </row>
    <row r="142" spans="1:8" x14ac:dyDescent="0.25">
      <c r="A142" s="2" t="s">
        <v>53</v>
      </c>
      <c r="B142" s="2">
        <v>3</v>
      </c>
      <c r="D142" t="s">
        <v>29</v>
      </c>
      <c r="E142" s="15">
        <f>(E134/2+E138)*PI()</f>
        <v>1.2935466320189126</v>
      </c>
    </row>
    <row r="143" spans="1:8" x14ac:dyDescent="0.25">
      <c r="D143" t="s">
        <v>39</v>
      </c>
      <c r="E143" s="18">
        <f>E137*E141*B141*1000</f>
        <v>1523.9075833032834</v>
      </c>
    </row>
    <row r="145" spans="1:8" x14ac:dyDescent="0.25">
      <c r="A145" s="46" t="s">
        <v>28</v>
      </c>
      <c r="B145" s="46"/>
      <c r="D145" s="46" t="s">
        <v>32</v>
      </c>
      <c r="E145" s="46"/>
      <c r="G145" s="46" t="s">
        <v>51</v>
      </c>
      <c r="H145" s="46"/>
    </row>
    <row r="146" spans="1:8" x14ac:dyDescent="0.25">
      <c r="A146" s="2" t="s">
        <v>36</v>
      </c>
      <c r="B146" s="2">
        <v>8940</v>
      </c>
      <c r="D146" t="s">
        <v>33</v>
      </c>
      <c r="E146" s="11">
        <f>(B147*(B132-20)*B148 + B147)*E130*E142/(E131*0.000001/E130)</f>
        <v>6.9155383487468916</v>
      </c>
      <c r="G146" t="s">
        <v>52</v>
      </c>
      <c r="H146" s="19">
        <f>E148*B149 + E143*B142</f>
        <v>5805.2488182030847</v>
      </c>
    </row>
    <row r="147" spans="1:8" x14ac:dyDescent="0.25">
      <c r="A147" s="2" t="s">
        <v>30</v>
      </c>
      <c r="B147" s="4">
        <v>1.6800000000000002E-8</v>
      </c>
      <c r="D147" t="s">
        <v>34</v>
      </c>
      <c r="E147" s="11">
        <f>(B147*(B132-20)*B148 + B147)*B135*E142/(E132*0.000001/B135)</f>
        <v>3.631347589134053</v>
      </c>
      <c r="G147" t="s">
        <v>55</v>
      </c>
      <c r="H147" s="20">
        <f>(H129/1000)*20*365*24*0.07</f>
        <v>61101.260612535705</v>
      </c>
    </row>
    <row r="148" spans="1:8" x14ac:dyDescent="0.25">
      <c r="A148" s="2" t="s">
        <v>31</v>
      </c>
      <c r="B148" s="2">
        <v>3.8E-3</v>
      </c>
      <c r="D148" t="s">
        <v>35</v>
      </c>
      <c r="E148" s="17">
        <f>(B146*E131*0.000001*E142)+(B146*E132*0.000001*E142)</f>
        <v>154.19075853665436</v>
      </c>
    </row>
    <row r="149" spans="1:8" x14ac:dyDescent="0.25">
      <c r="A149" s="2" t="s">
        <v>54</v>
      </c>
      <c r="B149" s="2">
        <v>8</v>
      </c>
    </row>
    <row r="151" spans="1:8" x14ac:dyDescent="0.25">
      <c r="A151" s="46" t="s">
        <v>0</v>
      </c>
      <c r="B151" s="46"/>
      <c r="C151" s="1"/>
      <c r="D151" s="46" t="s">
        <v>1</v>
      </c>
      <c r="E151" s="46"/>
      <c r="G151" s="46" t="s">
        <v>38</v>
      </c>
      <c r="H151" s="46"/>
    </row>
    <row r="152" spans="1:8" x14ac:dyDescent="0.25">
      <c r="A152" s="2" t="s">
        <v>13</v>
      </c>
      <c r="B152" s="2">
        <v>500000</v>
      </c>
      <c r="D152" t="s">
        <v>2</v>
      </c>
      <c r="E152" s="11">
        <f>B153/B154</f>
        <v>1.38</v>
      </c>
      <c r="G152" t="s">
        <v>41</v>
      </c>
      <c r="H152" s="7">
        <f>E153*E153*E171+E154*E154*E172</f>
        <v>3234.9803759049883</v>
      </c>
    </row>
    <row r="153" spans="1:8" x14ac:dyDescent="0.25">
      <c r="A153" s="2" t="s">
        <v>14</v>
      </c>
      <c r="B153" s="2">
        <v>34500</v>
      </c>
      <c r="D153" t="s">
        <v>22</v>
      </c>
      <c r="E153" s="11">
        <f>B152/B153</f>
        <v>14.492753623188406</v>
      </c>
      <c r="G153" t="s">
        <v>42</v>
      </c>
      <c r="H153" s="8">
        <f>B164*E168</f>
        <v>1787.2420391442531</v>
      </c>
    </row>
    <row r="154" spans="1:8" x14ac:dyDescent="0.25">
      <c r="A154" s="2" t="s">
        <v>15</v>
      </c>
      <c r="B154" s="2">
        <v>25000</v>
      </c>
      <c r="D154" t="s">
        <v>23</v>
      </c>
      <c r="E154" s="11">
        <f>B152/B154</f>
        <v>20</v>
      </c>
      <c r="G154" t="s">
        <v>43</v>
      </c>
      <c r="H154" s="6">
        <f>H152+H153</f>
        <v>5022.2224150492411</v>
      </c>
    </row>
    <row r="155" spans="1:8" x14ac:dyDescent="0.25">
      <c r="A155" s="2" t="s">
        <v>16</v>
      </c>
      <c r="B155" s="2">
        <v>50</v>
      </c>
      <c r="D155" t="s">
        <v>5</v>
      </c>
      <c r="E155" s="17">
        <f>E152*B160</f>
        <v>1586.9999999999998</v>
      </c>
      <c r="G155" t="s">
        <v>40</v>
      </c>
      <c r="H155" s="9">
        <f>100*B152/(B152+H154)</f>
        <v>99.005544272679202</v>
      </c>
    </row>
    <row r="156" spans="1:8" x14ac:dyDescent="0.25">
      <c r="A156" s="2" t="s">
        <v>17</v>
      </c>
      <c r="B156" s="2">
        <v>-30</v>
      </c>
      <c r="D156" t="s">
        <v>45</v>
      </c>
      <c r="E156" s="11">
        <f>E155*(E153/B159)</f>
        <v>7666.6666666666661</v>
      </c>
    </row>
    <row r="157" spans="1:8" x14ac:dyDescent="0.25">
      <c r="A157" s="2" t="s">
        <v>18</v>
      </c>
      <c r="B157" s="2">
        <v>50</v>
      </c>
      <c r="D157" t="s">
        <v>44</v>
      </c>
      <c r="E157" s="11">
        <f>B160*(E154/B159)</f>
        <v>7666.666666666667</v>
      </c>
    </row>
    <row r="158" spans="1:8" x14ac:dyDescent="0.25">
      <c r="A158" s="2" t="s">
        <v>7</v>
      </c>
      <c r="B158" s="2">
        <v>0.3</v>
      </c>
      <c r="D158" t="s">
        <v>11</v>
      </c>
      <c r="E158" s="13">
        <f>(E156+E157)*0.000001/B158</f>
        <v>5.1111111111111107E-2</v>
      </c>
    </row>
    <row r="159" spans="1:8" x14ac:dyDescent="0.25">
      <c r="A159" s="2" t="s">
        <v>10</v>
      </c>
      <c r="B159" s="2">
        <v>3</v>
      </c>
      <c r="D159" t="s">
        <v>12</v>
      </c>
      <c r="E159" s="14">
        <f>SQRT(E158)</f>
        <v>0.2260776661041756</v>
      </c>
    </row>
    <row r="160" spans="1:8" x14ac:dyDescent="0.25">
      <c r="A160" s="2" t="s">
        <v>6</v>
      </c>
      <c r="B160" s="21">
        <v>1150</v>
      </c>
    </row>
    <row r="161" spans="1:8" x14ac:dyDescent="0.25">
      <c r="A161" s="46" t="s">
        <v>3</v>
      </c>
      <c r="B161" s="46"/>
      <c r="D161" s="46" t="s">
        <v>4</v>
      </c>
      <c r="E161" s="46"/>
      <c r="G161" s="46" t="s">
        <v>46</v>
      </c>
      <c r="H161" s="46"/>
    </row>
    <row r="162" spans="1:8" x14ac:dyDescent="0.25">
      <c r="A162" s="2" t="s">
        <v>19</v>
      </c>
      <c r="B162" s="3">
        <v>1.2</v>
      </c>
      <c r="D162" t="s">
        <v>24</v>
      </c>
      <c r="E162" s="10">
        <f>B153/(4.44*B155*E155*B162)</f>
        <v>8.1603342472907694E-2</v>
      </c>
      <c r="G162" t="s">
        <v>47</v>
      </c>
      <c r="H162" s="22">
        <f>E166/(E162*B163*4*PI()*0.0000001)</f>
        <v>20902.042548109792</v>
      </c>
    </row>
    <row r="163" spans="1:8" x14ac:dyDescent="0.25">
      <c r="A163" s="2" t="s">
        <v>20</v>
      </c>
      <c r="B163" s="2">
        <v>955</v>
      </c>
      <c r="D163" t="s">
        <v>37</v>
      </c>
      <c r="E163" s="11">
        <f>SQRT(E162)</f>
        <v>0.28566298757960873</v>
      </c>
      <c r="G163" t="s">
        <v>48</v>
      </c>
      <c r="H163" s="16">
        <f>E155*E155/H162</f>
        <v>120.49391796055633</v>
      </c>
    </row>
    <row r="164" spans="1:8" x14ac:dyDescent="0.25">
      <c r="A164" s="2" t="s">
        <v>8</v>
      </c>
      <c r="B164" s="2">
        <v>1.363</v>
      </c>
      <c r="D164" t="s">
        <v>25</v>
      </c>
      <c r="E164" s="12">
        <f>B162/(B163*4*0.0000001*PI())</f>
        <v>999.92634403285035</v>
      </c>
      <c r="G164" t="s">
        <v>49</v>
      </c>
      <c r="H164" s="15">
        <f>(B153/E153)*0.02/(2*PI()*B155)</f>
        <v>0.15154733681210272</v>
      </c>
    </row>
    <row r="165" spans="1:8" x14ac:dyDescent="0.25">
      <c r="A165" s="2" t="s">
        <v>21</v>
      </c>
      <c r="B165" s="4">
        <v>3.5E-4</v>
      </c>
      <c r="D165" t="s">
        <v>26</v>
      </c>
      <c r="E165" s="15">
        <f>E163*2+E159</f>
        <v>0.79740364126339303</v>
      </c>
      <c r="F165" s="5"/>
      <c r="G165" t="s">
        <v>50</v>
      </c>
      <c r="H165" s="15">
        <f>(B154/E154)*0.02/(2*PI()*B155)</f>
        <v>7.9577471545947673E-2</v>
      </c>
    </row>
    <row r="166" spans="1:8" x14ac:dyDescent="0.25">
      <c r="A166" s="2" t="s">
        <v>9</v>
      </c>
      <c r="B166" s="2">
        <v>7.85</v>
      </c>
      <c r="D166" t="s">
        <v>27</v>
      </c>
      <c r="E166" s="11">
        <f>(E159+E163)*4</f>
        <v>2.0469626147351372</v>
      </c>
    </row>
    <row r="167" spans="1:8" x14ac:dyDescent="0.25">
      <c r="A167" s="2" t="s">
        <v>53</v>
      </c>
      <c r="B167" s="2">
        <v>3</v>
      </c>
      <c r="D167" t="s">
        <v>29</v>
      </c>
      <c r="E167" s="15">
        <f>(E159/2+E163)*PI()</f>
        <v>1.2525587106694132</v>
      </c>
    </row>
    <row r="168" spans="1:8" x14ac:dyDescent="0.25">
      <c r="D168" t="s">
        <v>39</v>
      </c>
      <c r="E168" s="18">
        <f>E162*E166*B166*1000</f>
        <v>1311.2560815438394</v>
      </c>
    </row>
    <row r="170" spans="1:8" x14ac:dyDescent="0.25">
      <c r="A170" s="46" t="s">
        <v>28</v>
      </c>
      <c r="B170" s="46"/>
      <c r="D170" s="46" t="s">
        <v>32</v>
      </c>
      <c r="E170" s="46"/>
      <c r="G170" s="46" t="s">
        <v>51</v>
      </c>
      <c r="H170" s="46"/>
    </row>
    <row r="171" spans="1:8" x14ac:dyDescent="0.25">
      <c r="A171" s="2" t="s">
        <v>36</v>
      </c>
      <c r="B171" s="2">
        <v>8940</v>
      </c>
      <c r="D171" t="s">
        <v>33</v>
      </c>
      <c r="E171" s="11">
        <f>(B172*(B157-20)*B173 + B172)*E155*E167/(E156*0.000001/E155)</f>
        <v>7.7008707848418236</v>
      </c>
      <c r="G171" t="s">
        <v>52</v>
      </c>
      <c r="H171" s="19">
        <f>E173*B174 + E168*B167</f>
        <v>5307.3742291000235</v>
      </c>
    </row>
    <row r="172" spans="1:8" x14ac:dyDescent="0.25">
      <c r="A172" s="2" t="s">
        <v>30</v>
      </c>
      <c r="B172" s="4">
        <v>1.6800000000000002E-8</v>
      </c>
      <c r="D172" t="s">
        <v>34</v>
      </c>
      <c r="E172" s="11">
        <f>(B172*(B157-20)*B173 + B172)*B160*E167/(E157*0.000001/B160)</f>
        <v>4.0437254698812355</v>
      </c>
      <c r="G172" t="s">
        <v>55</v>
      </c>
      <c r="H172" s="20">
        <f>(H154/1000)*20*365*24*0.07</f>
        <v>61592.535698163905</v>
      </c>
    </row>
    <row r="173" spans="1:8" x14ac:dyDescent="0.25">
      <c r="A173" s="2" t="s">
        <v>31</v>
      </c>
      <c r="B173" s="2">
        <v>3.8E-3</v>
      </c>
      <c r="D173" t="s">
        <v>35</v>
      </c>
      <c r="E173" s="17">
        <f>(B171*E156*0.000001*E167)+(B171*E157*0.000001*E167)</f>
        <v>171.70074805856314</v>
      </c>
    </row>
    <row r="174" spans="1:8" x14ac:dyDescent="0.25">
      <c r="A174" s="2" t="s">
        <v>54</v>
      </c>
      <c r="B174" s="2">
        <v>8</v>
      </c>
    </row>
    <row r="176" spans="1:8" x14ac:dyDescent="0.25">
      <c r="A176" s="46" t="s">
        <v>0</v>
      </c>
      <c r="B176" s="46"/>
      <c r="C176" s="1"/>
      <c r="D176" s="46" t="s">
        <v>1</v>
      </c>
      <c r="E176" s="46"/>
      <c r="G176" s="46" t="s">
        <v>38</v>
      </c>
      <c r="H176" s="46"/>
    </row>
    <row r="177" spans="1:8" x14ac:dyDescent="0.25">
      <c r="A177" s="2" t="s">
        <v>13</v>
      </c>
      <c r="B177" s="2">
        <v>500000</v>
      </c>
      <c r="D177" t="s">
        <v>2</v>
      </c>
      <c r="E177" s="11">
        <f>B178/B179</f>
        <v>1.38</v>
      </c>
      <c r="G177" t="s">
        <v>41</v>
      </c>
      <c r="H177" s="7">
        <f>E178*E178*E196+E179*E179*E197</f>
        <v>3566.6870036183986</v>
      </c>
    </row>
    <row r="178" spans="1:8" x14ac:dyDescent="0.25">
      <c r="A178" s="2" t="s">
        <v>14</v>
      </c>
      <c r="B178" s="2">
        <v>34500</v>
      </c>
      <c r="D178" t="s">
        <v>22</v>
      </c>
      <c r="E178" s="11">
        <f>B177/B178</f>
        <v>14.492753623188406</v>
      </c>
      <c r="G178" t="s">
        <v>42</v>
      </c>
      <c r="H178" s="8">
        <f>B189*E193</f>
        <v>1572.701419039405</v>
      </c>
    </row>
    <row r="179" spans="1:8" x14ac:dyDescent="0.25">
      <c r="A179" s="2" t="s">
        <v>15</v>
      </c>
      <c r="B179" s="2">
        <v>25000</v>
      </c>
      <c r="D179" t="s">
        <v>23</v>
      </c>
      <c r="E179" s="11">
        <f>B177/B179</f>
        <v>20</v>
      </c>
      <c r="G179" t="s">
        <v>43</v>
      </c>
      <c r="H179" s="6">
        <f>H177+H178</f>
        <v>5139.3884226578039</v>
      </c>
    </row>
    <row r="180" spans="1:8" x14ac:dyDescent="0.25">
      <c r="A180" s="2" t="s">
        <v>16</v>
      </c>
      <c r="B180" s="2">
        <v>50</v>
      </c>
      <c r="D180" t="s">
        <v>5</v>
      </c>
      <c r="E180" s="17">
        <f>E177*B185</f>
        <v>1793.9999999999998</v>
      </c>
      <c r="G180" t="s">
        <v>40</v>
      </c>
      <c r="H180" s="9">
        <f>100*B177/(B177+H179)</f>
        <v>98.982580147094453</v>
      </c>
    </row>
    <row r="181" spans="1:8" x14ac:dyDescent="0.25">
      <c r="A181" s="2" t="s">
        <v>17</v>
      </c>
      <c r="B181" s="2">
        <v>-30</v>
      </c>
      <c r="D181" t="s">
        <v>45</v>
      </c>
      <c r="E181" s="11">
        <f>E180*(E178/B184)</f>
        <v>8666.6666666666661</v>
      </c>
    </row>
    <row r="182" spans="1:8" x14ac:dyDescent="0.25">
      <c r="A182" s="2" t="s">
        <v>18</v>
      </c>
      <c r="B182" s="2">
        <v>50</v>
      </c>
      <c r="D182" t="s">
        <v>44</v>
      </c>
      <c r="E182" s="11">
        <f>B185*(E179/B184)</f>
        <v>8666.6666666666679</v>
      </c>
    </row>
    <row r="183" spans="1:8" x14ac:dyDescent="0.25">
      <c r="A183" s="2" t="s">
        <v>7</v>
      </c>
      <c r="B183" s="2">
        <v>0.3</v>
      </c>
      <c r="D183" t="s">
        <v>11</v>
      </c>
      <c r="E183" s="13">
        <f>(E181+E182)*0.000001/B183</f>
        <v>5.7777777777777789E-2</v>
      </c>
    </row>
    <row r="184" spans="1:8" x14ac:dyDescent="0.25">
      <c r="A184" s="2" t="s">
        <v>10</v>
      </c>
      <c r="B184" s="2">
        <v>3</v>
      </c>
      <c r="D184" t="s">
        <v>12</v>
      </c>
      <c r="E184" s="14">
        <f>SQRT(E183)</f>
        <v>0.24037008503093266</v>
      </c>
    </row>
    <row r="185" spans="1:8" x14ac:dyDescent="0.25">
      <c r="A185" s="2" t="s">
        <v>6</v>
      </c>
      <c r="B185" s="21">
        <v>1300</v>
      </c>
    </row>
    <row r="186" spans="1:8" x14ac:dyDescent="0.25">
      <c r="A186" s="46" t="s">
        <v>3</v>
      </c>
      <c r="B186" s="46"/>
      <c r="D186" s="46" t="s">
        <v>4</v>
      </c>
      <c r="E186" s="46"/>
      <c r="G186" s="46" t="s">
        <v>46</v>
      </c>
      <c r="H186" s="46"/>
    </row>
    <row r="187" spans="1:8" x14ac:dyDescent="0.25">
      <c r="A187" s="2" t="s">
        <v>19</v>
      </c>
      <c r="B187" s="3">
        <v>1.2</v>
      </c>
      <c r="D187" t="s">
        <v>24</v>
      </c>
      <c r="E187" s="10">
        <f>B178/(4.44*B180*E180*B187)</f>
        <v>7.2187572187572185E-2</v>
      </c>
      <c r="G187" t="s">
        <v>47</v>
      </c>
      <c r="H187" s="22">
        <f>E191/(E187*B188*4*PI()*0.0000001)</f>
        <v>23504.047640920493</v>
      </c>
    </row>
    <row r="188" spans="1:8" x14ac:dyDescent="0.25">
      <c r="A188" s="2" t="s">
        <v>20</v>
      </c>
      <c r="B188" s="2">
        <v>955</v>
      </c>
      <c r="D188" t="s">
        <v>37</v>
      </c>
      <c r="E188" s="11">
        <f>SQRT(E187)</f>
        <v>0.2686774500913171</v>
      </c>
      <c r="G188" t="s">
        <v>48</v>
      </c>
      <c r="H188" s="16">
        <f>E180*E180/H187</f>
        <v>136.93113837961718</v>
      </c>
    </row>
    <row r="189" spans="1:8" x14ac:dyDescent="0.25">
      <c r="A189" s="2" t="s">
        <v>8</v>
      </c>
      <c r="B189" s="2">
        <v>1.363</v>
      </c>
      <c r="D189" t="s">
        <v>25</v>
      </c>
      <c r="E189" s="12">
        <f>B187/(B188*4*0.0000001*PI())</f>
        <v>999.92634403285035</v>
      </c>
      <c r="G189" t="s">
        <v>49</v>
      </c>
      <c r="H189" s="15">
        <f>(B178/E178)*0.02/(2*PI()*B180)</f>
        <v>0.15154733681210272</v>
      </c>
    </row>
    <row r="190" spans="1:8" x14ac:dyDescent="0.25">
      <c r="A190" s="2" t="s">
        <v>21</v>
      </c>
      <c r="B190" s="4">
        <v>3.5E-4</v>
      </c>
      <c r="D190" t="s">
        <v>26</v>
      </c>
      <c r="E190" s="15">
        <f>E188*2+E184</f>
        <v>0.77772498521356681</v>
      </c>
      <c r="F190" s="5"/>
      <c r="G190" t="s">
        <v>50</v>
      </c>
      <c r="H190" s="15">
        <f>(B179/E179)*0.02/(2*PI()*B180)</f>
        <v>7.9577471545947673E-2</v>
      </c>
    </row>
    <row r="191" spans="1:8" x14ac:dyDescent="0.25">
      <c r="A191" s="2" t="s">
        <v>9</v>
      </c>
      <c r="B191" s="2">
        <v>7.85</v>
      </c>
      <c r="D191" t="s">
        <v>27</v>
      </c>
      <c r="E191" s="11">
        <f>(E184+E188)*4</f>
        <v>2.036190140488999</v>
      </c>
    </row>
    <row r="192" spans="1:8" x14ac:dyDescent="0.25">
      <c r="A192" s="2" t="s">
        <v>53</v>
      </c>
      <c r="B192" s="2">
        <v>3</v>
      </c>
      <c r="D192" t="s">
        <v>29</v>
      </c>
      <c r="E192" s="15">
        <f>(E184/2+E188)*PI()</f>
        <v>1.2216475500300861</v>
      </c>
    </row>
    <row r="193" spans="1:8" x14ac:dyDescent="0.25">
      <c r="D193" t="s">
        <v>39</v>
      </c>
      <c r="E193" s="18">
        <f>E187*E191*B191*1000</f>
        <v>1153.8528386202531</v>
      </c>
    </row>
    <row r="195" spans="1:8" x14ac:dyDescent="0.25">
      <c r="A195" s="46" t="s">
        <v>28</v>
      </c>
      <c r="B195" s="46"/>
      <c r="D195" s="46" t="s">
        <v>32</v>
      </c>
      <c r="E195" s="46"/>
      <c r="G195" s="46" t="s">
        <v>51</v>
      </c>
      <c r="H195" s="46"/>
    </row>
    <row r="196" spans="1:8" x14ac:dyDescent="0.25">
      <c r="A196" s="2" t="s">
        <v>36</v>
      </c>
      <c r="B196" s="2">
        <v>8940</v>
      </c>
      <c r="D196" t="s">
        <v>33</v>
      </c>
      <c r="E196" s="11">
        <f>(B197*(B182-20)*B198 + B197)*E180*E192/(E181*0.000001/E180)</f>
        <v>8.4904984121135989</v>
      </c>
      <c r="G196" t="s">
        <v>52</v>
      </c>
      <c r="H196" s="19">
        <f>E198*B199 + E193*B192</f>
        <v>4976.0105506820564</v>
      </c>
    </row>
    <row r="197" spans="1:8" x14ac:dyDescent="0.25">
      <c r="A197" s="2" t="s">
        <v>30</v>
      </c>
      <c r="B197" s="4">
        <v>1.6800000000000002E-8</v>
      </c>
      <c r="D197" t="s">
        <v>34</v>
      </c>
      <c r="E197" s="11">
        <f>(B197*(B182-20)*B198 + B197)*B185*E192/(E182*0.000001/B185)</f>
        <v>4.4583587545229975</v>
      </c>
      <c r="G197" t="s">
        <v>55</v>
      </c>
      <c r="H197" s="20">
        <f>(H179/1000)*20*365*24*0.07</f>
        <v>63029.459615475309</v>
      </c>
    </row>
    <row r="198" spans="1:8" x14ac:dyDescent="0.25">
      <c r="A198" s="2" t="s">
        <v>31</v>
      </c>
      <c r="B198" s="2">
        <v>3.8E-3</v>
      </c>
      <c r="D198" t="s">
        <v>35</v>
      </c>
      <c r="E198" s="17">
        <f>(B196*E181*0.000001*E192)+(B196*E182*0.000001*E192)</f>
        <v>189.30650435266216</v>
      </c>
    </row>
    <row r="199" spans="1:8" x14ac:dyDescent="0.25">
      <c r="A199" s="2" t="s">
        <v>54</v>
      </c>
      <c r="B199" s="2">
        <v>8</v>
      </c>
    </row>
    <row r="201" spans="1:8" x14ac:dyDescent="0.25">
      <c r="A201" s="46" t="s">
        <v>0</v>
      </c>
      <c r="B201" s="46"/>
      <c r="C201" s="1"/>
      <c r="D201" s="46" t="s">
        <v>1</v>
      </c>
      <c r="E201" s="46"/>
      <c r="G201" s="46" t="s">
        <v>38</v>
      </c>
      <c r="H201" s="46"/>
    </row>
    <row r="202" spans="1:8" x14ac:dyDescent="0.25">
      <c r="A202" s="2" t="s">
        <v>13</v>
      </c>
      <c r="B202" s="2">
        <v>500000</v>
      </c>
      <c r="D202" t="s">
        <v>2</v>
      </c>
      <c r="E202" s="11">
        <f>B203/B204</f>
        <v>1.38</v>
      </c>
      <c r="G202" t="s">
        <v>41</v>
      </c>
      <c r="H202" s="7">
        <f>E203*E203*E221+E204*E204*E222</f>
        <v>3901.1733430582244</v>
      </c>
    </row>
    <row r="203" spans="1:8" x14ac:dyDescent="0.25">
      <c r="A203" s="2" t="s">
        <v>14</v>
      </c>
      <c r="B203" s="2">
        <v>34500</v>
      </c>
      <c r="D203" t="s">
        <v>22</v>
      </c>
      <c r="E203" s="11">
        <f>B202/B203</f>
        <v>14.492753623188406</v>
      </c>
      <c r="G203" t="s">
        <v>42</v>
      </c>
      <c r="H203" s="8">
        <f>B214*E218</f>
        <v>1407.8271940038428</v>
      </c>
    </row>
    <row r="204" spans="1:8" x14ac:dyDescent="0.25">
      <c r="A204" s="2" t="s">
        <v>15</v>
      </c>
      <c r="B204" s="2">
        <v>25000</v>
      </c>
      <c r="D204" t="s">
        <v>23</v>
      </c>
      <c r="E204" s="11">
        <f>B202/B204</f>
        <v>20</v>
      </c>
      <c r="G204" t="s">
        <v>43</v>
      </c>
      <c r="H204" s="6">
        <f>H202+H203</f>
        <v>5309.0005370620675</v>
      </c>
    </row>
    <row r="205" spans="1:8" x14ac:dyDescent="0.25">
      <c r="A205" s="2" t="s">
        <v>16</v>
      </c>
      <c r="B205" s="2">
        <v>50</v>
      </c>
      <c r="D205" t="s">
        <v>5</v>
      </c>
      <c r="E205" s="17">
        <f>E202*B210</f>
        <v>2000.9999999999998</v>
      </c>
      <c r="G205" t="s">
        <v>40</v>
      </c>
      <c r="H205" s="9">
        <f>100*B202/(B202+H204)</f>
        <v>98.949355635577547</v>
      </c>
    </row>
    <row r="206" spans="1:8" x14ac:dyDescent="0.25">
      <c r="A206" s="2" t="s">
        <v>17</v>
      </c>
      <c r="B206" s="2">
        <v>-30</v>
      </c>
      <c r="D206" t="s">
        <v>45</v>
      </c>
      <c r="E206" s="11">
        <f>E205*(E203/B209)</f>
        <v>9666.6666666666661</v>
      </c>
    </row>
    <row r="207" spans="1:8" x14ac:dyDescent="0.25">
      <c r="A207" s="2" t="s">
        <v>18</v>
      </c>
      <c r="B207" s="2">
        <v>50</v>
      </c>
      <c r="D207" t="s">
        <v>44</v>
      </c>
      <c r="E207" s="11">
        <f>B210*(E204/B209)</f>
        <v>9666.6666666666679</v>
      </c>
    </row>
    <row r="208" spans="1:8" x14ac:dyDescent="0.25">
      <c r="A208" s="2" t="s">
        <v>7</v>
      </c>
      <c r="B208" s="2">
        <v>0.3</v>
      </c>
      <c r="D208" t="s">
        <v>11</v>
      </c>
      <c r="E208" s="13">
        <f>(E206+E207)*0.000001/B208</f>
        <v>6.4444444444444457E-2</v>
      </c>
    </row>
    <row r="209" spans="1:8" x14ac:dyDescent="0.25">
      <c r="A209" s="2" t="s">
        <v>10</v>
      </c>
      <c r="B209" s="2">
        <v>3</v>
      </c>
      <c r="D209" t="s">
        <v>12</v>
      </c>
      <c r="E209" s="14">
        <f>SQRT(E208)</f>
        <v>0.25385910352879698</v>
      </c>
    </row>
    <row r="210" spans="1:8" x14ac:dyDescent="0.25">
      <c r="A210" s="2" t="s">
        <v>6</v>
      </c>
      <c r="B210" s="21">
        <v>1450</v>
      </c>
    </row>
    <row r="211" spans="1:8" x14ac:dyDescent="0.25">
      <c r="A211" s="46" t="s">
        <v>3</v>
      </c>
      <c r="B211" s="46"/>
      <c r="D211" s="46" t="s">
        <v>4</v>
      </c>
      <c r="E211" s="46"/>
      <c r="G211" s="46" t="s">
        <v>46</v>
      </c>
      <c r="H211" s="46"/>
    </row>
    <row r="212" spans="1:8" x14ac:dyDescent="0.25">
      <c r="A212" s="2" t="s">
        <v>19</v>
      </c>
      <c r="B212" s="3">
        <v>1.2</v>
      </c>
      <c r="D212" t="s">
        <v>24</v>
      </c>
      <c r="E212" s="10">
        <f>B203/(4.44*B205*E205*B212)</f>
        <v>6.4719892306099203E-2</v>
      </c>
      <c r="G212" t="s">
        <v>47</v>
      </c>
      <c r="H212" s="22">
        <f>E216/(E212*B213*4*PI()*0.0000001)</f>
        <v>26175.502627495029</v>
      </c>
    </row>
    <row r="213" spans="1:8" x14ac:dyDescent="0.25">
      <c r="A213" s="2" t="s">
        <v>20</v>
      </c>
      <c r="B213" s="2">
        <v>955</v>
      </c>
      <c r="D213" t="s">
        <v>37</v>
      </c>
      <c r="E213" s="11">
        <f>SQRT(E212)</f>
        <v>0.25440104619694315</v>
      </c>
      <c r="G213" t="s">
        <v>48</v>
      </c>
      <c r="H213" s="16">
        <f>E205*E205/H212</f>
        <v>152.96749242912927</v>
      </c>
    </row>
    <row r="214" spans="1:8" x14ac:dyDescent="0.25">
      <c r="A214" s="2" t="s">
        <v>8</v>
      </c>
      <c r="B214" s="2">
        <v>1.363</v>
      </c>
      <c r="D214" t="s">
        <v>25</v>
      </c>
      <c r="E214" s="12">
        <f>B212/(B213*4*0.0000001*PI())</f>
        <v>999.92634403285035</v>
      </c>
      <c r="G214" t="s">
        <v>49</v>
      </c>
      <c r="H214" s="15">
        <f>(B203/E203)*0.02/(2*PI()*B205)</f>
        <v>0.15154733681210272</v>
      </c>
    </row>
    <row r="215" spans="1:8" x14ac:dyDescent="0.25">
      <c r="A215" s="2" t="s">
        <v>21</v>
      </c>
      <c r="B215" s="4">
        <v>3.5E-4</v>
      </c>
      <c r="D215" t="s">
        <v>26</v>
      </c>
      <c r="E215" s="15">
        <f>E213*2+E209</f>
        <v>0.76266119592268322</v>
      </c>
      <c r="F215" s="5"/>
      <c r="G215" t="s">
        <v>50</v>
      </c>
      <c r="H215" s="15">
        <f>(B204/E204)*0.02/(2*PI()*B205)</f>
        <v>7.9577471545947673E-2</v>
      </c>
    </row>
    <row r="216" spans="1:8" x14ac:dyDescent="0.25">
      <c r="A216" s="2" t="s">
        <v>9</v>
      </c>
      <c r="B216" s="2">
        <v>7.85</v>
      </c>
      <c r="D216" t="s">
        <v>27</v>
      </c>
      <c r="E216" s="11">
        <f>(E209+E213)*4</f>
        <v>2.0330405989029607</v>
      </c>
    </row>
    <row r="217" spans="1:8" x14ac:dyDescent="0.25">
      <c r="A217" s="2" t="s">
        <v>53</v>
      </c>
      <c r="B217" s="2">
        <v>3</v>
      </c>
      <c r="D217" t="s">
        <v>29</v>
      </c>
      <c r="E217" s="15">
        <f>(E209/2+E213)*PI()</f>
        <v>1.1979854051443537</v>
      </c>
    </row>
    <row r="218" spans="1:8" x14ac:dyDescent="0.25">
      <c r="D218" t="s">
        <v>39</v>
      </c>
      <c r="E218" s="18">
        <f>E212*E216*B216*1000</f>
        <v>1032.8886236271774</v>
      </c>
    </row>
    <row r="220" spans="1:8" x14ac:dyDescent="0.25">
      <c r="A220" s="46" t="s">
        <v>28</v>
      </c>
      <c r="B220" s="46"/>
      <c r="D220" s="46" t="s">
        <v>32</v>
      </c>
      <c r="E220" s="46"/>
      <c r="G220" s="46" t="s">
        <v>51</v>
      </c>
      <c r="H220" s="46"/>
    </row>
    <row r="221" spans="1:8" x14ac:dyDescent="0.25">
      <c r="A221" s="2" t="s">
        <v>36</v>
      </c>
      <c r="B221" s="2">
        <v>8940</v>
      </c>
      <c r="D221" t="s">
        <v>33</v>
      </c>
      <c r="E221" s="11">
        <f>(B222*(B207-20)*B223 + B222)*E205*E217/(E206*0.000001/E205)</f>
        <v>9.2867431431501029</v>
      </c>
      <c r="G221" t="s">
        <v>52</v>
      </c>
      <c r="H221" s="19">
        <f>E223*B224 + E218*B217</f>
        <v>4755.1442502827331</v>
      </c>
    </row>
    <row r="222" spans="1:8" x14ac:dyDescent="0.25">
      <c r="A222" s="2" t="s">
        <v>30</v>
      </c>
      <c r="B222" s="4">
        <v>1.6800000000000002E-8</v>
      </c>
      <c r="D222" t="s">
        <v>34</v>
      </c>
      <c r="E222" s="11">
        <f>(B222*(B207-20)*B223 + B222)*B210*E217/(E207*0.000001/B210)</f>
        <v>4.8764666788227808</v>
      </c>
      <c r="G222" t="s">
        <v>55</v>
      </c>
      <c r="H222" s="20">
        <f>(H204/1000)*20*365*24*0.07</f>
        <v>65109.582586529214</v>
      </c>
    </row>
    <row r="223" spans="1:8" x14ac:dyDescent="0.25">
      <c r="A223" s="2" t="s">
        <v>31</v>
      </c>
      <c r="B223" s="2">
        <v>3.8E-3</v>
      </c>
      <c r="D223" t="s">
        <v>35</v>
      </c>
      <c r="E223" s="17">
        <f>(B221*E206*0.000001*E217)+(B221*E207*0.000001*E217)</f>
        <v>207.05979742515012</v>
      </c>
    </row>
    <row r="224" spans="1:8" x14ac:dyDescent="0.25">
      <c r="A224" s="2" t="s">
        <v>54</v>
      </c>
      <c r="B224" s="2">
        <v>8</v>
      </c>
    </row>
    <row r="226" spans="1:8" x14ac:dyDescent="0.25">
      <c r="A226" s="46" t="s">
        <v>0</v>
      </c>
      <c r="B226" s="46"/>
      <c r="C226" s="1"/>
      <c r="D226" s="46" t="s">
        <v>1</v>
      </c>
      <c r="E226" s="46"/>
      <c r="G226" s="46" t="s">
        <v>38</v>
      </c>
      <c r="H226" s="46"/>
    </row>
    <row r="227" spans="1:8" x14ac:dyDescent="0.25">
      <c r="A227" s="2" t="s">
        <v>13</v>
      </c>
      <c r="B227" s="2">
        <v>500000</v>
      </c>
      <c r="D227" t="s">
        <v>2</v>
      </c>
      <c r="E227" s="11">
        <f>B228/B229</f>
        <v>1.38</v>
      </c>
      <c r="G227" t="s">
        <v>41</v>
      </c>
      <c r="H227" s="7">
        <f>E228*E228*E246+E229*E229*E247</f>
        <v>4239.1025287484263</v>
      </c>
    </row>
    <row r="228" spans="1:8" x14ac:dyDescent="0.25">
      <c r="A228" s="2" t="s">
        <v>14</v>
      </c>
      <c r="B228" s="2">
        <v>34500</v>
      </c>
      <c r="D228" t="s">
        <v>22</v>
      </c>
      <c r="E228" s="11">
        <f>B227/B228</f>
        <v>14.492753623188406</v>
      </c>
      <c r="G228" t="s">
        <v>42</v>
      </c>
      <c r="H228" s="8">
        <f>B239*E243</f>
        <v>1277.3221576661776</v>
      </c>
    </row>
    <row r="229" spans="1:8" x14ac:dyDescent="0.25">
      <c r="A229" s="2" t="s">
        <v>15</v>
      </c>
      <c r="B229" s="2">
        <v>25000</v>
      </c>
      <c r="D229" t="s">
        <v>23</v>
      </c>
      <c r="E229" s="11">
        <f>B227/B229</f>
        <v>20</v>
      </c>
      <c r="G229" t="s">
        <v>43</v>
      </c>
      <c r="H229" s="6">
        <f>H227+H228</f>
        <v>5516.4246864146044</v>
      </c>
    </row>
    <row r="230" spans="1:8" x14ac:dyDescent="0.25">
      <c r="A230" s="2" t="s">
        <v>16</v>
      </c>
      <c r="B230" s="2">
        <v>50</v>
      </c>
      <c r="D230" t="s">
        <v>5</v>
      </c>
      <c r="E230" s="17">
        <f>E227*B235</f>
        <v>2208</v>
      </c>
      <c r="G230" t="s">
        <v>40</v>
      </c>
      <c r="H230" s="9">
        <f>100*B227/(B227+H229)</f>
        <v>98.908754608747557</v>
      </c>
    </row>
    <row r="231" spans="1:8" x14ac:dyDescent="0.25">
      <c r="A231" s="2" t="s">
        <v>17</v>
      </c>
      <c r="B231" s="2">
        <v>-30</v>
      </c>
      <c r="D231" t="s">
        <v>45</v>
      </c>
      <c r="E231" s="11">
        <f>E230*(E228/B234)</f>
        <v>10666.666666666668</v>
      </c>
    </row>
    <row r="232" spans="1:8" x14ac:dyDescent="0.25">
      <c r="A232" s="2" t="s">
        <v>18</v>
      </c>
      <c r="B232" s="2">
        <v>50</v>
      </c>
      <c r="D232" t="s">
        <v>44</v>
      </c>
      <c r="E232" s="11">
        <f>B235*(E229/B234)</f>
        <v>10666.666666666668</v>
      </c>
    </row>
    <row r="233" spans="1:8" x14ac:dyDescent="0.25">
      <c r="A233" s="2" t="s">
        <v>7</v>
      </c>
      <c r="B233" s="2">
        <v>0.3</v>
      </c>
      <c r="D233" t="s">
        <v>11</v>
      </c>
      <c r="E233" s="13">
        <f>(E231+E232)*0.000001/B233</f>
        <v>7.1111111111111125E-2</v>
      </c>
    </row>
    <row r="234" spans="1:8" x14ac:dyDescent="0.25">
      <c r="A234" s="2" t="s">
        <v>10</v>
      </c>
      <c r="B234" s="2">
        <v>3</v>
      </c>
      <c r="D234" t="s">
        <v>12</v>
      </c>
      <c r="E234" s="14">
        <f>SQRT(E233)</f>
        <v>0.26666666666666672</v>
      </c>
    </row>
    <row r="235" spans="1:8" x14ac:dyDescent="0.25">
      <c r="A235" s="2" t="s">
        <v>6</v>
      </c>
      <c r="B235" s="21">
        <v>1600</v>
      </c>
    </row>
    <row r="236" spans="1:8" x14ac:dyDescent="0.25">
      <c r="A236" s="46" t="s">
        <v>3</v>
      </c>
      <c r="B236" s="46"/>
      <c r="D236" s="46" t="s">
        <v>4</v>
      </c>
      <c r="E236" s="46"/>
      <c r="G236" s="46" t="s">
        <v>46</v>
      </c>
      <c r="H236" s="46"/>
    </row>
    <row r="237" spans="1:8" x14ac:dyDescent="0.25">
      <c r="A237" s="2" t="s">
        <v>19</v>
      </c>
      <c r="B237" s="3">
        <v>1.2</v>
      </c>
      <c r="D237" t="s">
        <v>24</v>
      </c>
      <c r="E237" s="10">
        <f>B228/(4.44*B230*E230*B237)</f>
        <v>5.8652402402402395E-2</v>
      </c>
      <c r="G237" t="s">
        <v>47</v>
      </c>
      <c r="H237" s="22">
        <f>E241/(E237*B238*4*PI()*0.0000001)</f>
        <v>28916.790376215216</v>
      </c>
    </row>
    <row r="238" spans="1:8" x14ac:dyDescent="0.25">
      <c r="A238" s="2" t="s">
        <v>20</v>
      </c>
      <c r="B238" s="2">
        <v>955</v>
      </c>
      <c r="D238" t="s">
        <v>37</v>
      </c>
      <c r="E238" s="11">
        <f>SQRT(E237)</f>
        <v>0.24218258071629015</v>
      </c>
      <c r="G238" t="s">
        <v>48</v>
      </c>
      <c r="H238" s="16">
        <f>E230*E230/H237</f>
        <v>168.59630465800336</v>
      </c>
    </row>
    <row r="239" spans="1:8" x14ac:dyDescent="0.25">
      <c r="A239" s="2" t="s">
        <v>8</v>
      </c>
      <c r="B239" s="2">
        <v>1.363</v>
      </c>
      <c r="D239" t="s">
        <v>25</v>
      </c>
      <c r="E239" s="12">
        <f>B237/(B238*4*0.0000001*PI())</f>
        <v>999.92634403285035</v>
      </c>
      <c r="G239" t="s">
        <v>49</v>
      </c>
      <c r="H239" s="15">
        <f>(B228/E228)*0.02/(2*PI()*B230)</f>
        <v>0.15154733681210272</v>
      </c>
    </row>
    <row r="240" spans="1:8" x14ac:dyDescent="0.25">
      <c r="A240" s="2" t="s">
        <v>21</v>
      </c>
      <c r="B240" s="4">
        <v>3.5E-4</v>
      </c>
      <c r="D240" t="s">
        <v>26</v>
      </c>
      <c r="E240" s="15">
        <f>E238*2+E234</f>
        <v>0.75103182809924696</v>
      </c>
      <c r="F240" s="5"/>
      <c r="G240" t="s">
        <v>50</v>
      </c>
      <c r="H240" s="15">
        <f>(B229/E229)*0.02/(2*PI()*B230)</f>
        <v>7.9577471545947673E-2</v>
      </c>
    </row>
    <row r="241" spans="1:8" x14ac:dyDescent="0.25">
      <c r="A241" s="2" t="s">
        <v>9</v>
      </c>
      <c r="B241" s="2">
        <v>7.85</v>
      </c>
      <c r="D241" t="s">
        <v>27</v>
      </c>
      <c r="E241" s="11">
        <f>(E234+E238)*4</f>
        <v>2.0353969895318276</v>
      </c>
    </row>
    <row r="242" spans="1:8" x14ac:dyDescent="0.25">
      <c r="A242" s="2" t="s">
        <v>53</v>
      </c>
      <c r="B242" s="2">
        <v>3</v>
      </c>
      <c r="D242" t="s">
        <v>29</v>
      </c>
      <c r="E242" s="15">
        <f>(E234/2+E238)*PI()</f>
        <v>1.1797180368843534</v>
      </c>
    </row>
    <row r="243" spans="1:8" x14ac:dyDescent="0.25">
      <c r="D243" t="s">
        <v>39</v>
      </c>
      <c r="E243" s="18">
        <f>E237*E241*B241*1000</f>
        <v>937.1402477374744</v>
      </c>
    </row>
    <row r="245" spans="1:8" x14ac:dyDescent="0.25">
      <c r="A245" s="46" t="s">
        <v>28</v>
      </c>
      <c r="B245" s="46"/>
      <c r="D245" s="46" t="s">
        <v>32</v>
      </c>
      <c r="E245" s="46"/>
      <c r="G245" s="46" t="s">
        <v>51</v>
      </c>
      <c r="H245" s="46"/>
    </row>
    <row r="246" spans="1:8" x14ac:dyDescent="0.25">
      <c r="A246" s="2" t="s">
        <v>36</v>
      </c>
      <c r="B246" s="2">
        <v>8940</v>
      </c>
      <c r="D246" t="s">
        <v>33</v>
      </c>
      <c r="E246" s="11">
        <f>(B247*(B232-20)*B248 + B247)*E230*E242/(E231*0.000001/E230)</f>
        <v>10.091183569685628</v>
      </c>
      <c r="G246" t="s">
        <v>52</v>
      </c>
      <c r="H246" s="19">
        <f>E248*B249 + E243*B242</f>
        <v>4611.3873351690945</v>
      </c>
    </row>
    <row r="247" spans="1:8" x14ac:dyDescent="0.25">
      <c r="A247" s="2" t="s">
        <v>30</v>
      </c>
      <c r="B247" s="4">
        <v>1.6800000000000002E-8</v>
      </c>
      <c r="D247" t="s">
        <v>34</v>
      </c>
      <c r="E247" s="11">
        <f>(B247*(B232-20)*B248 + B247)*B235*E242/(E232*0.000001/B235)</f>
        <v>5.2988781609355327</v>
      </c>
      <c r="G247" t="s">
        <v>55</v>
      </c>
      <c r="H247" s="20">
        <f>(H229/1000)*20*365*24*0.07</f>
        <v>67653.432354188713</v>
      </c>
    </row>
    <row r="248" spans="1:8" x14ac:dyDescent="0.25">
      <c r="A248" s="2" t="s">
        <v>31</v>
      </c>
      <c r="B248" s="2">
        <v>3.8E-3</v>
      </c>
      <c r="D248" t="s">
        <v>35</v>
      </c>
      <c r="E248" s="17">
        <f>(B246*E231*0.000001*E242)+(B246*E232*0.000001*E242)</f>
        <v>224.9958239945839</v>
      </c>
    </row>
    <row r="249" spans="1:8" x14ac:dyDescent="0.25">
      <c r="A249" s="2" t="s">
        <v>54</v>
      </c>
      <c r="B249" s="2">
        <v>8</v>
      </c>
    </row>
  </sheetData>
  <mergeCells count="90">
    <mergeCell ref="A20:B20"/>
    <mergeCell ref="D20:E20"/>
    <mergeCell ref="G11:H11"/>
    <mergeCell ref="G20:H20"/>
    <mergeCell ref="G1:H1"/>
    <mergeCell ref="A1:B1"/>
    <mergeCell ref="D1:E1"/>
    <mergeCell ref="A11:B11"/>
    <mergeCell ref="D11:E11"/>
    <mergeCell ref="A26:B26"/>
    <mergeCell ref="D26:E26"/>
    <mergeCell ref="G26:H26"/>
    <mergeCell ref="A36:B36"/>
    <mergeCell ref="D36:E36"/>
    <mergeCell ref="G36:H36"/>
    <mergeCell ref="A45:B45"/>
    <mergeCell ref="D45:E45"/>
    <mergeCell ref="G45:H45"/>
    <mergeCell ref="A51:B51"/>
    <mergeCell ref="D51:E51"/>
    <mergeCell ref="G51:H51"/>
    <mergeCell ref="A61:B61"/>
    <mergeCell ref="D61:E61"/>
    <mergeCell ref="G61:H61"/>
    <mergeCell ref="A70:B70"/>
    <mergeCell ref="D70:E70"/>
    <mergeCell ref="G70:H70"/>
    <mergeCell ref="A76:B76"/>
    <mergeCell ref="D76:E76"/>
    <mergeCell ref="G76:H76"/>
    <mergeCell ref="A86:B86"/>
    <mergeCell ref="D86:E86"/>
    <mergeCell ref="G86:H86"/>
    <mergeCell ref="A95:B95"/>
    <mergeCell ref="D95:E95"/>
    <mergeCell ref="G95:H95"/>
    <mergeCell ref="A101:B101"/>
    <mergeCell ref="D101:E101"/>
    <mergeCell ref="G101:H101"/>
    <mergeCell ref="A111:B111"/>
    <mergeCell ref="D111:E111"/>
    <mergeCell ref="G111:H111"/>
    <mergeCell ref="A120:B120"/>
    <mergeCell ref="D120:E120"/>
    <mergeCell ref="G120:H120"/>
    <mergeCell ref="A126:B126"/>
    <mergeCell ref="D126:E126"/>
    <mergeCell ref="G126:H126"/>
    <mergeCell ref="A136:B136"/>
    <mergeCell ref="D136:E136"/>
    <mergeCell ref="G136:H136"/>
    <mergeCell ref="A145:B145"/>
    <mergeCell ref="D145:E145"/>
    <mergeCell ref="G145:H145"/>
    <mergeCell ref="A151:B151"/>
    <mergeCell ref="D151:E151"/>
    <mergeCell ref="G151:H151"/>
    <mergeCell ref="A161:B161"/>
    <mergeCell ref="D161:E161"/>
    <mergeCell ref="G161:H161"/>
    <mergeCell ref="A170:B170"/>
    <mergeCell ref="D170:E170"/>
    <mergeCell ref="G170:H170"/>
    <mergeCell ref="A176:B176"/>
    <mergeCell ref="D176:E176"/>
    <mergeCell ref="G176:H176"/>
    <mergeCell ref="A186:B186"/>
    <mergeCell ref="D186:E186"/>
    <mergeCell ref="G186:H186"/>
    <mergeCell ref="A195:B195"/>
    <mergeCell ref="D195:E195"/>
    <mergeCell ref="G195:H195"/>
    <mergeCell ref="A201:B201"/>
    <mergeCell ref="D201:E201"/>
    <mergeCell ref="G201:H201"/>
    <mergeCell ref="A211:B211"/>
    <mergeCell ref="D211:E211"/>
    <mergeCell ref="G211:H211"/>
    <mergeCell ref="A220:B220"/>
    <mergeCell ref="D220:E220"/>
    <mergeCell ref="G220:H220"/>
    <mergeCell ref="A245:B245"/>
    <mergeCell ref="D245:E245"/>
    <mergeCell ref="G245:H245"/>
    <mergeCell ref="A226:B226"/>
    <mergeCell ref="D226:E226"/>
    <mergeCell ref="G226:H226"/>
    <mergeCell ref="A236:B236"/>
    <mergeCell ref="D236:E236"/>
    <mergeCell ref="G236:H2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K22" zoomScale="115" zoomScaleNormal="115" workbookViewId="0">
      <selection activeCell="P32" sqref="P32"/>
    </sheetView>
  </sheetViews>
  <sheetFormatPr defaultRowHeight="15" x14ac:dyDescent="0.25"/>
  <cols>
    <col min="1" max="1" width="23.42578125" bestFit="1" customWidth="1"/>
    <col min="2" max="2" width="8.5703125" bestFit="1" customWidth="1"/>
    <col min="4" max="4" width="24.5703125" bestFit="1" customWidth="1"/>
    <col min="5" max="5" width="15.7109375" bestFit="1" customWidth="1"/>
    <col min="7" max="7" width="22" bestFit="1" customWidth="1"/>
    <col min="8" max="8" width="14.28515625" bestFit="1" customWidth="1"/>
    <col min="13" max="13" width="23.42578125" bestFit="1" customWidth="1"/>
    <col min="16" max="16" width="23.42578125" bestFit="1" customWidth="1"/>
  </cols>
  <sheetData>
    <row r="1" spans="1:17" x14ac:dyDescent="0.25">
      <c r="A1" s="46" t="s">
        <v>0</v>
      </c>
      <c r="B1" s="46"/>
      <c r="C1" s="1"/>
      <c r="D1" s="46" t="s">
        <v>1</v>
      </c>
      <c r="E1" s="46"/>
      <c r="G1" s="46" t="s">
        <v>38</v>
      </c>
      <c r="H1" s="46"/>
    </row>
    <row r="2" spans="1:17" x14ac:dyDescent="0.25">
      <c r="A2" s="2" t="s">
        <v>13</v>
      </c>
      <c r="B2" s="2">
        <v>500000</v>
      </c>
      <c r="D2" t="s">
        <v>2</v>
      </c>
      <c r="E2" s="11">
        <f>B3/B4</f>
        <v>1.38</v>
      </c>
      <c r="G2" t="s">
        <v>41</v>
      </c>
      <c r="H2" s="7">
        <f>E3*E3*E21+E4*E4*E22</f>
        <v>2905.0780713072427</v>
      </c>
    </row>
    <row r="3" spans="1:17" x14ac:dyDescent="0.25">
      <c r="A3" s="2" t="s">
        <v>14</v>
      </c>
      <c r="B3" s="2">
        <v>34500</v>
      </c>
      <c r="D3" t="s">
        <v>22</v>
      </c>
      <c r="E3" s="11">
        <f>B2/B3</f>
        <v>14.492753623188406</v>
      </c>
      <c r="G3" t="s">
        <v>42</v>
      </c>
      <c r="H3" s="8">
        <f>B14*E18</f>
        <v>2077.0860360423753</v>
      </c>
    </row>
    <row r="4" spans="1:17" x14ac:dyDescent="0.25">
      <c r="A4" s="2" t="s">
        <v>15</v>
      </c>
      <c r="B4" s="2">
        <v>25000</v>
      </c>
      <c r="D4" t="s">
        <v>23</v>
      </c>
      <c r="E4" s="11">
        <f>B2/B4</f>
        <v>20</v>
      </c>
      <c r="G4" t="s">
        <v>43</v>
      </c>
      <c r="H4" s="6">
        <f>H2+H3</f>
        <v>4982.1641073496176</v>
      </c>
      <c r="M4" t="s">
        <v>56</v>
      </c>
      <c r="P4" t="s">
        <v>61</v>
      </c>
    </row>
    <row r="5" spans="1:17" x14ac:dyDescent="0.25">
      <c r="A5" s="2" t="s">
        <v>16</v>
      </c>
      <c r="B5" s="2">
        <v>50</v>
      </c>
      <c r="D5" t="s">
        <v>5</v>
      </c>
      <c r="E5" s="17">
        <f>E2*B10</f>
        <v>1380</v>
      </c>
      <c r="G5" t="s">
        <v>40</v>
      </c>
      <c r="H5" s="9">
        <f>100*B2/(B2+H4)</f>
        <v>99.013398004629224</v>
      </c>
      <c r="M5" s="2" t="s">
        <v>19</v>
      </c>
      <c r="N5" s="3">
        <v>1.2</v>
      </c>
      <c r="P5" s="2" t="s">
        <v>19</v>
      </c>
      <c r="Q5" s="3">
        <v>1.63</v>
      </c>
    </row>
    <row r="6" spans="1:17" x14ac:dyDescent="0.25">
      <c r="A6" s="2" t="s">
        <v>17</v>
      </c>
      <c r="B6" s="2">
        <v>-30</v>
      </c>
      <c r="D6" t="s">
        <v>45</v>
      </c>
      <c r="E6" s="11">
        <f>E5*(E3/B9)</f>
        <v>6666.666666666667</v>
      </c>
      <c r="M6" s="2" t="s">
        <v>20</v>
      </c>
      <c r="N6" s="2">
        <v>955</v>
      </c>
      <c r="P6" s="2" t="s">
        <v>20</v>
      </c>
      <c r="Q6" s="2">
        <v>518</v>
      </c>
    </row>
    <row r="7" spans="1:17" x14ac:dyDescent="0.25">
      <c r="A7" s="2" t="s">
        <v>18</v>
      </c>
      <c r="B7" s="2">
        <v>50</v>
      </c>
      <c r="D7" t="s">
        <v>44</v>
      </c>
      <c r="E7" s="11">
        <f>B10*(E4/B9)</f>
        <v>6666.666666666667</v>
      </c>
      <c r="M7" s="2" t="s">
        <v>8</v>
      </c>
      <c r="N7" s="2">
        <v>1.363</v>
      </c>
      <c r="P7" s="2" t="s">
        <v>8</v>
      </c>
      <c r="Q7" s="2">
        <f>5.5*1.96/1.5</f>
        <v>7.1866666666666665</v>
      </c>
    </row>
    <row r="8" spans="1:17" x14ac:dyDescent="0.25">
      <c r="A8" s="2" t="s">
        <v>7</v>
      </c>
      <c r="B8" s="2">
        <v>0.3</v>
      </c>
      <c r="D8" t="s">
        <v>11</v>
      </c>
      <c r="E8" s="13">
        <f>(E6+E7)*0.000001/B8</f>
        <v>4.4444444444444446E-2</v>
      </c>
      <c r="M8" s="2" t="s">
        <v>21</v>
      </c>
      <c r="N8" s="4">
        <v>3.5E-4</v>
      </c>
      <c r="P8" s="2" t="s">
        <v>21</v>
      </c>
      <c r="Q8" s="4">
        <v>3.5E-4</v>
      </c>
    </row>
    <row r="9" spans="1:17" x14ac:dyDescent="0.25">
      <c r="A9" s="2" t="s">
        <v>10</v>
      </c>
      <c r="B9" s="2">
        <v>3</v>
      </c>
      <c r="D9" t="s">
        <v>12</v>
      </c>
      <c r="E9" s="14">
        <f>SQRT(E8)</f>
        <v>0.21081851067789195</v>
      </c>
      <c r="M9" s="2" t="s">
        <v>9</v>
      </c>
      <c r="N9" s="2">
        <v>7.85</v>
      </c>
      <c r="P9" s="2" t="s">
        <v>9</v>
      </c>
      <c r="Q9" s="2">
        <v>7.8</v>
      </c>
    </row>
    <row r="10" spans="1:17" x14ac:dyDescent="0.25">
      <c r="A10" s="2" t="s">
        <v>6</v>
      </c>
      <c r="B10" s="21">
        <v>1000</v>
      </c>
      <c r="M10" s="2" t="s">
        <v>53</v>
      </c>
      <c r="N10" s="2">
        <v>3</v>
      </c>
      <c r="P10" s="2" t="s">
        <v>53</v>
      </c>
      <c r="Q10" s="4">
        <f>3*0.00035/Q8</f>
        <v>3</v>
      </c>
    </row>
    <row r="11" spans="1:17" x14ac:dyDescent="0.25">
      <c r="A11" s="46" t="s">
        <v>3</v>
      </c>
      <c r="B11" s="46"/>
      <c r="D11" s="46" t="s">
        <v>4</v>
      </c>
      <c r="E11" s="46"/>
      <c r="G11" s="46" t="s">
        <v>46</v>
      </c>
      <c r="H11" s="46"/>
    </row>
    <row r="12" spans="1:17" x14ac:dyDescent="0.25">
      <c r="A12" s="2" t="s">
        <v>19</v>
      </c>
      <c r="B12" s="3">
        <v>1.2</v>
      </c>
      <c r="D12" t="s">
        <v>24</v>
      </c>
      <c r="E12" s="10">
        <f>B3/(4.44*B5*E5*B12)</f>
        <v>9.3843843843843824E-2</v>
      </c>
      <c r="G12" t="s">
        <v>47</v>
      </c>
      <c r="H12" s="22">
        <f>E16/(E12*B13*4*PI()*0.0000001)</f>
        <v>18368.096886668231</v>
      </c>
    </row>
    <row r="13" spans="1:17" x14ac:dyDescent="0.25">
      <c r="A13" s="2" t="s">
        <v>20</v>
      </c>
      <c r="B13" s="2">
        <v>955</v>
      </c>
      <c r="D13" t="s">
        <v>37</v>
      </c>
      <c r="E13" s="11">
        <f>SQRT(E12)</f>
        <v>0.30633942587241986</v>
      </c>
      <c r="G13" t="s">
        <v>48</v>
      </c>
      <c r="H13" s="16">
        <f>E5*E5/H12</f>
        <v>103.67976670366077</v>
      </c>
    </row>
    <row r="14" spans="1:17" x14ac:dyDescent="0.25">
      <c r="A14" s="2" t="s">
        <v>8</v>
      </c>
      <c r="B14" s="2">
        <v>1.363</v>
      </c>
      <c r="D14" t="s">
        <v>25</v>
      </c>
      <c r="E14" s="12">
        <f>B12/(B13*4*0.0000001*PI())</f>
        <v>999.92634403285035</v>
      </c>
      <c r="G14" t="s">
        <v>49</v>
      </c>
      <c r="H14" s="15">
        <f>(B3/E3)*0.02/(2*PI()*B5)</f>
        <v>0.15154733681210272</v>
      </c>
      <c r="M14" t="s">
        <v>57</v>
      </c>
      <c r="P14" t="s">
        <v>62</v>
      </c>
    </row>
    <row r="15" spans="1:17" x14ac:dyDescent="0.25">
      <c r="A15" s="2" t="s">
        <v>21</v>
      </c>
      <c r="B15" s="4">
        <v>3.5E-4</v>
      </c>
      <c r="D15" t="s">
        <v>26</v>
      </c>
      <c r="E15" s="15">
        <f>E13*2+E9</f>
        <v>0.82349736242273164</v>
      </c>
      <c r="F15" s="5"/>
      <c r="G15" t="s">
        <v>50</v>
      </c>
      <c r="H15" s="15">
        <f>(B4/E4)*0.02/(2*PI()*B5)</f>
        <v>7.9577471545947673E-2</v>
      </c>
      <c r="M15" s="2" t="s">
        <v>19</v>
      </c>
      <c r="N15" s="3">
        <v>1.53</v>
      </c>
      <c r="P15" s="2" t="s">
        <v>19</v>
      </c>
      <c r="Q15" s="3">
        <v>1.65</v>
      </c>
    </row>
    <row r="16" spans="1:17" x14ac:dyDescent="0.25">
      <c r="A16" s="2" t="s">
        <v>9</v>
      </c>
      <c r="B16" s="2">
        <v>7.85</v>
      </c>
      <c r="D16" t="s">
        <v>27</v>
      </c>
      <c r="E16" s="11">
        <f>(E9+E13)*4</f>
        <v>2.0686317462012473</v>
      </c>
      <c r="M16" s="2" t="s">
        <v>20</v>
      </c>
      <c r="N16" s="2">
        <v>487</v>
      </c>
      <c r="P16" s="2" t="s">
        <v>20</v>
      </c>
      <c r="Q16" s="2">
        <v>525</v>
      </c>
    </row>
    <row r="17" spans="1:17" x14ac:dyDescent="0.25">
      <c r="A17" s="2" t="s">
        <v>53</v>
      </c>
      <c r="B17" s="2">
        <v>3</v>
      </c>
      <c r="D17" t="s">
        <v>29</v>
      </c>
      <c r="E17" s="15">
        <f>(E9/2+E13)*PI()</f>
        <v>1.2935466320189126</v>
      </c>
      <c r="M17" s="2" t="s">
        <v>8</v>
      </c>
      <c r="N17" s="2">
        <f>2.25*1.53/1.5</f>
        <v>2.2949999999999999</v>
      </c>
      <c r="P17" s="2" t="s">
        <v>8</v>
      </c>
      <c r="Q17" s="2">
        <f>1.65*7.55/1.5</f>
        <v>8.3049999999999997</v>
      </c>
    </row>
    <row r="18" spans="1:17" x14ac:dyDescent="0.25">
      <c r="D18" t="s">
        <v>39</v>
      </c>
      <c r="E18" s="18">
        <f>E12*E16*B16*1000</f>
        <v>1523.9075833032834</v>
      </c>
      <c r="M18" s="2" t="s">
        <v>21</v>
      </c>
      <c r="N18" s="4">
        <v>3.5E-4</v>
      </c>
      <c r="P18" s="2" t="s">
        <v>21</v>
      </c>
      <c r="Q18" s="4">
        <v>5.0000000000000001E-3</v>
      </c>
    </row>
    <row r="19" spans="1:17" x14ac:dyDescent="0.25">
      <c r="M19" s="2" t="s">
        <v>9</v>
      </c>
      <c r="N19" s="2">
        <v>7.6</v>
      </c>
      <c r="P19" s="2" t="s">
        <v>9</v>
      </c>
      <c r="Q19" s="2">
        <v>7.85</v>
      </c>
    </row>
    <row r="20" spans="1:17" x14ac:dyDescent="0.25">
      <c r="A20" s="46" t="s">
        <v>28</v>
      </c>
      <c r="B20" s="46"/>
      <c r="D20" s="46" t="s">
        <v>32</v>
      </c>
      <c r="E20" s="46"/>
      <c r="G20" s="46" t="s">
        <v>51</v>
      </c>
      <c r="H20" s="46"/>
      <c r="M20" s="2" t="s">
        <v>53</v>
      </c>
      <c r="N20" s="4">
        <f>3*0.00035/N18</f>
        <v>3</v>
      </c>
      <c r="P20" s="2" t="s">
        <v>53</v>
      </c>
      <c r="Q20" s="4">
        <f>3*0.00035/Q18</f>
        <v>0.21</v>
      </c>
    </row>
    <row r="21" spans="1:17" x14ac:dyDescent="0.25">
      <c r="A21" s="2" t="s">
        <v>36</v>
      </c>
      <c r="B21" s="2">
        <v>8940</v>
      </c>
      <c r="D21" t="s">
        <v>33</v>
      </c>
      <c r="E21" s="11">
        <f>(B22*(B7-20)*B23 + B22)*E5*E17/(E6*0.000001/E5)</f>
        <v>6.9155383487468916</v>
      </c>
      <c r="G21" t="s">
        <v>52</v>
      </c>
      <c r="H21" s="19">
        <f>E23*B24 + E18*B17</f>
        <v>5805.2488182030847</v>
      </c>
    </row>
    <row r="22" spans="1:17" x14ac:dyDescent="0.25">
      <c r="A22" s="2" t="s">
        <v>30</v>
      </c>
      <c r="B22" s="4">
        <v>1.6800000000000002E-8</v>
      </c>
      <c r="D22" t="s">
        <v>34</v>
      </c>
      <c r="E22" s="11">
        <f>(B22*(B7-20)*B23 + B22)*B10*E17/(E7*0.000001/B10)</f>
        <v>3.631347589134053</v>
      </c>
      <c r="G22" t="s">
        <v>55</v>
      </c>
      <c r="H22" s="20">
        <f>(H4/1000)*20*365*24*0.07</f>
        <v>61101.260612535705</v>
      </c>
    </row>
    <row r="23" spans="1:17" x14ac:dyDescent="0.25">
      <c r="A23" s="2" t="s">
        <v>31</v>
      </c>
      <c r="B23" s="2">
        <v>3.8E-3</v>
      </c>
      <c r="D23" t="s">
        <v>35</v>
      </c>
      <c r="E23" s="17">
        <f>(B21*E6*0.000001*E17)+(B21*E7*0.000001*E17)</f>
        <v>154.19075853665436</v>
      </c>
      <c r="M23" t="s">
        <v>58</v>
      </c>
      <c r="P23" t="s">
        <v>63</v>
      </c>
    </row>
    <row r="24" spans="1:17" x14ac:dyDescent="0.25">
      <c r="A24" s="2" t="s">
        <v>54</v>
      </c>
      <c r="B24" s="2">
        <v>8</v>
      </c>
      <c r="M24" s="2" t="s">
        <v>19</v>
      </c>
      <c r="N24" s="3">
        <v>1.55</v>
      </c>
      <c r="P24" s="2" t="s">
        <v>19</v>
      </c>
      <c r="Q24" s="3">
        <v>1.66</v>
      </c>
    </row>
    <row r="25" spans="1:17" x14ac:dyDescent="0.25">
      <c r="M25" s="2" t="s">
        <v>20</v>
      </c>
      <c r="N25" s="2">
        <v>493</v>
      </c>
      <c r="P25" s="2" t="s">
        <v>20</v>
      </c>
      <c r="Q25" s="2">
        <v>528</v>
      </c>
    </row>
    <row r="26" spans="1:17" x14ac:dyDescent="0.25">
      <c r="A26" s="46" t="s">
        <v>0</v>
      </c>
      <c r="B26" s="46"/>
      <c r="C26" s="1"/>
      <c r="D26" s="46" t="s">
        <v>1</v>
      </c>
      <c r="E26" s="46"/>
      <c r="G26" s="46" t="s">
        <v>38</v>
      </c>
      <c r="H26" s="46"/>
      <c r="M26" s="2" t="s">
        <v>8</v>
      </c>
      <c r="N26" s="2">
        <f>2.38*1.55/1.5</f>
        <v>2.4593333333333334</v>
      </c>
      <c r="P26" s="2" t="s">
        <v>8</v>
      </c>
      <c r="Q26" s="2">
        <f>7.9*1.66/1.5</f>
        <v>8.7426666666666666</v>
      </c>
    </row>
    <row r="27" spans="1:17" x14ac:dyDescent="0.25">
      <c r="A27" s="2" t="s">
        <v>13</v>
      </c>
      <c r="B27" s="2">
        <v>500000</v>
      </c>
      <c r="D27" t="s">
        <v>2</v>
      </c>
      <c r="E27" s="11">
        <f>B28/B29</f>
        <v>1.38</v>
      </c>
      <c r="G27" t="s">
        <v>41</v>
      </c>
      <c r="H27" s="7">
        <f>E28*E28*E46+E29*E29*E47</f>
        <v>2657.8498772309249</v>
      </c>
      <c r="M27" s="2" t="s">
        <v>21</v>
      </c>
      <c r="N27" s="4">
        <v>5.0000000000000001E-3</v>
      </c>
      <c r="P27" s="2" t="s">
        <v>21</v>
      </c>
      <c r="Q27" s="4">
        <v>6.4999999999999997E-3</v>
      </c>
    </row>
    <row r="28" spans="1:17" x14ac:dyDescent="0.25">
      <c r="A28" s="2" t="s">
        <v>14</v>
      </c>
      <c r="B28" s="2">
        <v>34500</v>
      </c>
      <c r="D28" t="s">
        <v>22</v>
      </c>
      <c r="E28" s="11">
        <f>B27/B28</f>
        <v>14.492753623188406</v>
      </c>
      <c r="G28" t="s">
        <v>42</v>
      </c>
      <c r="H28" s="8">
        <f>B39*E43</f>
        <v>2475.7373132183657</v>
      </c>
      <c r="M28" s="2" t="s">
        <v>9</v>
      </c>
      <c r="N28" s="2">
        <v>7.6</v>
      </c>
      <c r="P28" s="2" t="s">
        <v>9</v>
      </c>
      <c r="Q28" s="2">
        <v>7.8</v>
      </c>
    </row>
    <row r="29" spans="1:17" x14ac:dyDescent="0.25">
      <c r="A29" s="2" t="s">
        <v>15</v>
      </c>
      <c r="B29" s="2">
        <v>25000</v>
      </c>
      <c r="D29" t="s">
        <v>23</v>
      </c>
      <c r="E29" s="11">
        <f>B27/B29</f>
        <v>20</v>
      </c>
      <c r="G29" t="s">
        <v>43</v>
      </c>
      <c r="H29" s="6">
        <f>H27+H28</f>
        <v>5133.5871904492906</v>
      </c>
      <c r="M29" s="2" t="s">
        <v>53</v>
      </c>
      <c r="N29" s="4">
        <f>3*0.00035/N27</f>
        <v>0.21</v>
      </c>
      <c r="P29" s="2" t="s">
        <v>53</v>
      </c>
      <c r="Q29" s="4">
        <f>3*0.00035/Q27</f>
        <v>0.16153846153846155</v>
      </c>
    </row>
    <row r="30" spans="1:17" x14ac:dyDescent="0.25">
      <c r="A30" s="2" t="s">
        <v>16</v>
      </c>
      <c r="B30" s="2">
        <v>50</v>
      </c>
      <c r="D30" t="s">
        <v>5</v>
      </c>
      <c r="E30" s="17">
        <f>E27*B35</f>
        <v>1380</v>
      </c>
      <c r="G30" t="s">
        <v>40</v>
      </c>
      <c r="H30" s="9">
        <f>100*B27/(B27+H29)</f>
        <v>98.983716917538132</v>
      </c>
    </row>
    <row r="31" spans="1:17" x14ac:dyDescent="0.25">
      <c r="A31" s="2" t="s">
        <v>17</v>
      </c>
      <c r="B31" s="2">
        <v>-30</v>
      </c>
      <c r="D31" t="s">
        <v>45</v>
      </c>
      <c r="E31" s="11">
        <f>E30*(E28/B34)</f>
        <v>6666.666666666667</v>
      </c>
    </row>
    <row r="32" spans="1:17" x14ac:dyDescent="0.25">
      <c r="A32" s="2" t="s">
        <v>18</v>
      </c>
      <c r="B32" s="2">
        <v>50</v>
      </c>
      <c r="D32" t="s">
        <v>44</v>
      </c>
      <c r="E32" s="11">
        <f>B35*(E29/B34)</f>
        <v>6666.666666666667</v>
      </c>
      <c r="M32" t="s">
        <v>59</v>
      </c>
      <c r="P32" t="s">
        <v>64</v>
      </c>
    </row>
    <row r="33" spans="1:17" x14ac:dyDescent="0.25">
      <c r="A33" s="2" t="s">
        <v>7</v>
      </c>
      <c r="B33" s="2">
        <v>0.3</v>
      </c>
      <c r="D33" t="s">
        <v>11</v>
      </c>
      <c r="E33" s="13">
        <f>(E31+E32)*0.000001/B33</f>
        <v>4.4444444444444446E-2</v>
      </c>
      <c r="M33" s="2" t="s">
        <v>19</v>
      </c>
      <c r="N33" s="3">
        <v>1.56</v>
      </c>
      <c r="P33" s="2" t="s">
        <v>19</v>
      </c>
      <c r="Q33" s="3">
        <v>1.65</v>
      </c>
    </row>
    <row r="34" spans="1:17" x14ac:dyDescent="0.25">
      <c r="A34" s="2" t="s">
        <v>10</v>
      </c>
      <c r="B34" s="2">
        <v>3</v>
      </c>
      <c r="D34" t="s">
        <v>12</v>
      </c>
      <c r="E34" s="14">
        <f>SQRT(E33)</f>
        <v>0.21081851067789195</v>
      </c>
      <c r="M34" s="2" t="s">
        <v>20</v>
      </c>
      <c r="N34" s="2">
        <v>496</v>
      </c>
      <c r="P34" s="2" t="s">
        <v>20</v>
      </c>
      <c r="Q34" s="2">
        <v>525</v>
      </c>
    </row>
    <row r="35" spans="1:17" x14ac:dyDescent="0.25">
      <c r="A35" s="2" t="s">
        <v>6</v>
      </c>
      <c r="B35" s="21">
        <v>1000</v>
      </c>
      <c r="M35" s="2" t="s">
        <v>8</v>
      </c>
      <c r="N35" s="2">
        <f>1.56*2.9/1.5</f>
        <v>3.016</v>
      </c>
      <c r="P35" s="2" t="s">
        <v>8</v>
      </c>
      <c r="Q35" s="2">
        <f>8.89*1.65/1.5</f>
        <v>9.7789999999999999</v>
      </c>
    </row>
    <row r="36" spans="1:17" x14ac:dyDescent="0.25">
      <c r="A36" s="46" t="s">
        <v>3</v>
      </c>
      <c r="B36" s="46"/>
      <c r="D36" s="46" t="s">
        <v>4</v>
      </c>
      <c r="E36" s="46"/>
      <c r="G36" s="46" t="s">
        <v>46</v>
      </c>
      <c r="H36" s="46"/>
      <c r="M36" s="2" t="s">
        <v>21</v>
      </c>
      <c r="N36" s="4">
        <v>6.4999999999999997E-3</v>
      </c>
      <c r="P36" s="2" t="s">
        <v>21</v>
      </c>
      <c r="Q36" s="4">
        <v>0.01</v>
      </c>
    </row>
    <row r="37" spans="1:17" x14ac:dyDescent="0.25">
      <c r="A37" s="2" t="s">
        <v>19</v>
      </c>
      <c r="B37" s="3">
        <v>1.53</v>
      </c>
      <c r="D37" t="s">
        <v>24</v>
      </c>
      <c r="E37" s="10">
        <f>B28/(4.44*B30*E30*B37)</f>
        <v>7.3603014779485346E-2</v>
      </c>
      <c r="G37" t="s">
        <v>47</v>
      </c>
      <c r="H37" s="22">
        <f>E41/(E37*B38*4*PI()*0.0000001)</f>
        <v>42813.255043649471</v>
      </c>
      <c r="M37" s="2" t="s">
        <v>9</v>
      </c>
      <c r="N37" s="2">
        <v>7.6</v>
      </c>
      <c r="P37" s="2" t="s">
        <v>9</v>
      </c>
      <c r="Q37" s="2">
        <v>7.8</v>
      </c>
    </row>
    <row r="38" spans="1:17" x14ac:dyDescent="0.25">
      <c r="A38" s="2" t="s">
        <v>20</v>
      </c>
      <c r="B38" s="2">
        <v>487</v>
      </c>
      <c r="D38" t="s">
        <v>37</v>
      </c>
      <c r="E38" s="11">
        <f>SQRT(E37)</f>
        <v>0.2712987555804216</v>
      </c>
      <c r="G38" t="s">
        <v>48</v>
      </c>
      <c r="H38" s="16">
        <f>E30*E30/H37</f>
        <v>44.481551287291843</v>
      </c>
      <c r="M38" s="2" t="s">
        <v>53</v>
      </c>
      <c r="N38" s="4">
        <f>3*0.00035/N36</f>
        <v>0.16153846153846155</v>
      </c>
      <c r="P38" s="2" t="s">
        <v>53</v>
      </c>
      <c r="Q38" s="4">
        <f>3*0.00035/Q36</f>
        <v>0.105</v>
      </c>
    </row>
    <row r="39" spans="1:17" x14ac:dyDescent="0.25">
      <c r="A39" s="2" t="s">
        <v>8</v>
      </c>
      <c r="B39" s="2">
        <f>2.25*1.53/1.5</f>
        <v>2.2949999999999999</v>
      </c>
      <c r="D39" t="s">
        <v>25</v>
      </c>
      <c r="E39" s="12">
        <f>B37/(B38*4*0.0000001*PI())</f>
        <v>2500.0725146878835</v>
      </c>
      <c r="G39" t="s">
        <v>49</v>
      </c>
      <c r="H39" s="15">
        <f>(B28/E28)*0.02/(2*PI()*B30)</f>
        <v>0.15154733681210272</v>
      </c>
    </row>
    <row r="40" spans="1:17" x14ac:dyDescent="0.25">
      <c r="A40" s="2" t="s">
        <v>21</v>
      </c>
      <c r="B40" s="4">
        <v>3.5E-4</v>
      </c>
      <c r="D40" t="s">
        <v>26</v>
      </c>
      <c r="E40" s="15">
        <f>E38*2+E34</f>
        <v>0.75341602183873513</v>
      </c>
      <c r="F40" s="5"/>
      <c r="G40" t="s">
        <v>50</v>
      </c>
      <c r="H40" s="15">
        <f>(B29/E29)*0.02/(2*PI()*B30)</f>
        <v>7.9577471545947673E-2</v>
      </c>
    </row>
    <row r="41" spans="1:17" x14ac:dyDescent="0.25">
      <c r="A41" s="2" t="s">
        <v>9</v>
      </c>
      <c r="B41" s="2">
        <v>7.6</v>
      </c>
      <c r="D41" t="s">
        <v>27</v>
      </c>
      <c r="E41" s="11">
        <f>(E34+E38)*4</f>
        <v>1.9284690650332541</v>
      </c>
    </row>
    <row r="42" spans="1:17" x14ac:dyDescent="0.25">
      <c r="A42" s="2" t="s">
        <v>53</v>
      </c>
      <c r="B42" s="4">
        <f>3*0.00035/B40</f>
        <v>3</v>
      </c>
      <c r="D42" t="s">
        <v>29</v>
      </c>
      <c r="E42" s="15">
        <f>(E34/2+E38)*PI()</f>
        <v>1.1834631196527088</v>
      </c>
      <c r="M42" t="s">
        <v>60</v>
      </c>
      <c r="P42" s="44"/>
      <c r="Q42" s="44"/>
    </row>
    <row r="43" spans="1:17" x14ac:dyDescent="0.25">
      <c r="D43" t="s">
        <v>39</v>
      </c>
      <c r="E43" s="18">
        <f>E37*E41*B41*1000</f>
        <v>1078.7526419252138</v>
      </c>
      <c r="M43" s="2" t="s">
        <v>19</v>
      </c>
      <c r="N43" s="3">
        <v>1.59</v>
      </c>
      <c r="P43" s="44"/>
      <c r="Q43" s="24"/>
    </row>
    <row r="44" spans="1:17" x14ac:dyDescent="0.25">
      <c r="M44" s="2" t="s">
        <v>20</v>
      </c>
      <c r="N44" s="2">
        <v>506</v>
      </c>
      <c r="P44" s="44"/>
      <c r="Q44" s="44"/>
    </row>
    <row r="45" spans="1:17" x14ac:dyDescent="0.25">
      <c r="A45" s="46" t="s">
        <v>28</v>
      </c>
      <c r="B45" s="46"/>
      <c r="D45" s="46" t="s">
        <v>32</v>
      </c>
      <c r="E45" s="46"/>
      <c r="G45" s="46" t="s">
        <v>51</v>
      </c>
      <c r="H45" s="46"/>
      <c r="M45" s="2" t="s">
        <v>8</v>
      </c>
      <c r="N45" s="2">
        <f>1.59*8.89/1.5</f>
        <v>9.4234000000000009</v>
      </c>
      <c r="P45" s="44"/>
      <c r="Q45" s="44"/>
    </row>
    <row r="46" spans="1:17" x14ac:dyDescent="0.25">
      <c r="A46" s="2" t="s">
        <v>36</v>
      </c>
      <c r="B46" s="2">
        <v>8940</v>
      </c>
      <c r="D46" t="s">
        <v>33</v>
      </c>
      <c r="E46" s="11">
        <f>(B47*(B32-20)*B48 + B47)*E30*E42/(E31*0.000001/E30)</f>
        <v>6.3270116327482171</v>
      </c>
      <c r="G46" t="s">
        <v>52</v>
      </c>
      <c r="H46" s="19">
        <f>E48*B49 + E43*B42</f>
        <v>4364.8083566764644</v>
      </c>
      <c r="M46" s="2" t="s">
        <v>21</v>
      </c>
      <c r="N46" s="4">
        <v>0.01</v>
      </c>
      <c r="P46" s="44"/>
      <c r="Q46" s="45"/>
    </row>
    <row r="47" spans="1:17" x14ac:dyDescent="0.25">
      <c r="A47" s="2" t="s">
        <v>30</v>
      </c>
      <c r="B47" s="4">
        <v>1.6800000000000002E-8</v>
      </c>
      <c r="D47" t="s">
        <v>34</v>
      </c>
      <c r="E47" s="11">
        <f>(B47*(B32-20)*B48 + B47)*B35*E42/(E32*0.000001/B35)</f>
        <v>3.3223123465386566</v>
      </c>
      <c r="G47" t="s">
        <v>55</v>
      </c>
      <c r="H47" s="20">
        <f>(H29/1000)*20*365*24*0.07</f>
        <v>62958.313303670097</v>
      </c>
      <c r="M47" s="2" t="s">
        <v>9</v>
      </c>
      <c r="N47" s="2">
        <v>7.6</v>
      </c>
      <c r="P47" s="44"/>
      <c r="Q47" s="44"/>
    </row>
    <row r="48" spans="1:17" x14ac:dyDescent="0.25">
      <c r="A48" s="2" t="s">
        <v>31</v>
      </c>
      <c r="B48" s="2">
        <v>3.8E-3</v>
      </c>
      <c r="D48" t="s">
        <v>35</v>
      </c>
      <c r="E48" s="17">
        <f>(B46*E31*0.000001*E42)+(B46*E32*0.000001*E42)</f>
        <v>141.06880386260286</v>
      </c>
      <c r="M48" s="2" t="s">
        <v>53</v>
      </c>
      <c r="N48" s="4">
        <f>3*0.00035/N46</f>
        <v>0.105</v>
      </c>
      <c r="P48" s="44"/>
      <c r="Q48" s="44"/>
    </row>
    <row r="49" spans="1:8" x14ac:dyDescent="0.25">
      <c r="A49" s="2" t="s">
        <v>54</v>
      </c>
      <c r="B49" s="2">
        <v>8</v>
      </c>
    </row>
    <row r="51" spans="1:8" x14ac:dyDescent="0.25">
      <c r="A51" s="46" t="s">
        <v>0</v>
      </c>
      <c r="B51" s="46"/>
      <c r="C51" s="1"/>
      <c r="D51" s="46" t="s">
        <v>1</v>
      </c>
      <c r="E51" s="46"/>
      <c r="G51" s="46" t="s">
        <v>38</v>
      </c>
      <c r="H51" s="46"/>
    </row>
    <row r="52" spans="1:8" x14ac:dyDescent="0.25">
      <c r="A52" s="2" t="s">
        <v>13</v>
      </c>
      <c r="B52" s="2">
        <v>500000</v>
      </c>
      <c r="D52" t="s">
        <v>2</v>
      </c>
      <c r="E52" s="11">
        <f>B53/B54</f>
        <v>1.38</v>
      </c>
      <c r="G52" t="s">
        <v>41</v>
      </c>
      <c r="H52" s="7">
        <f>E53*E53*E71+E54*E54*E72</f>
        <v>2645.4605001123491</v>
      </c>
    </row>
    <row r="53" spans="1:8" x14ac:dyDescent="0.25">
      <c r="A53" s="2" t="s">
        <v>14</v>
      </c>
      <c r="B53" s="2">
        <v>34500</v>
      </c>
      <c r="D53" t="s">
        <v>22</v>
      </c>
      <c r="E53" s="11">
        <f>B52/B53</f>
        <v>14.492753623188406</v>
      </c>
      <c r="G53" t="s">
        <v>42</v>
      </c>
      <c r="H53" s="8">
        <f>B64*E68</f>
        <v>2609.2416306840132</v>
      </c>
    </row>
    <row r="54" spans="1:8" x14ac:dyDescent="0.25">
      <c r="A54" s="2" t="s">
        <v>15</v>
      </c>
      <c r="B54" s="2">
        <v>25000</v>
      </c>
      <c r="D54" t="s">
        <v>23</v>
      </c>
      <c r="E54" s="11">
        <f>B52/B54</f>
        <v>20</v>
      </c>
      <c r="G54" t="s">
        <v>43</v>
      </c>
      <c r="H54" s="6">
        <f>H52+H53</f>
        <v>5254.7021307963623</v>
      </c>
    </row>
    <row r="55" spans="1:8" x14ac:dyDescent="0.25">
      <c r="A55" s="2" t="s">
        <v>16</v>
      </c>
      <c r="B55" s="2">
        <v>50</v>
      </c>
      <c r="D55" t="s">
        <v>5</v>
      </c>
      <c r="E55" s="17">
        <f>E52*B60</f>
        <v>1380</v>
      </c>
      <c r="G55" t="s">
        <v>40</v>
      </c>
      <c r="H55" s="9">
        <f>100*B52/(B52+H54)</f>
        <v>98.959989464989462</v>
      </c>
    </row>
    <row r="56" spans="1:8" x14ac:dyDescent="0.25">
      <c r="A56" s="2" t="s">
        <v>17</v>
      </c>
      <c r="B56" s="2">
        <v>-30</v>
      </c>
      <c r="D56" t="s">
        <v>45</v>
      </c>
      <c r="E56" s="11">
        <f>E55*(E53/B59)</f>
        <v>6666.666666666667</v>
      </c>
    </row>
    <row r="57" spans="1:8" x14ac:dyDescent="0.25">
      <c r="A57" s="2" t="s">
        <v>18</v>
      </c>
      <c r="B57" s="2">
        <v>50</v>
      </c>
      <c r="D57" t="s">
        <v>44</v>
      </c>
      <c r="E57" s="11">
        <f>B60*(E54/B59)</f>
        <v>6666.666666666667</v>
      </c>
    </row>
    <row r="58" spans="1:8" x14ac:dyDescent="0.25">
      <c r="A58" s="2" t="s">
        <v>7</v>
      </c>
      <c r="B58" s="2">
        <v>0.3</v>
      </c>
      <c r="D58" t="s">
        <v>11</v>
      </c>
      <c r="E58" s="13">
        <f>(E56+E57)*0.000001/B58</f>
        <v>4.4444444444444446E-2</v>
      </c>
    </row>
    <row r="59" spans="1:8" x14ac:dyDescent="0.25">
      <c r="A59" s="2" t="s">
        <v>10</v>
      </c>
      <c r="B59" s="2">
        <v>3</v>
      </c>
      <c r="D59" t="s">
        <v>12</v>
      </c>
      <c r="E59" s="14">
        <f>SQRT(E58)</f>
        <v>0.21081851067789195</v>
      </c>
    </row>
    <row r="60" spans="1:8" x14ac:dyDescent="0.25">
      <c r="A60" s="2" t="s">
        <v>6</v>
      </c>
      <c r="B60" s="21">
        <v>1000</v>
      </c>
    </row>
    <row r="61" spans="1:8" x14ac:dyDescent="0.25">
      <c r="A61" s="46" t="s">
        <v>3</v>
      </c>
      <c r="B61" s="46"/>
      <c r="D61" s="46" t="s">
        <v>4</v>
      </c>
      <c r="E61" s="46"/>
      <c r="G61" s="46" t="s">
        <v>46</v>
      </c>
      <c r="H61" s="46"/>
    </row>
    <row r="62" spans="1:8" x14ac:dyDescent="0.25">
      <c r="A62" s="2" t="s">
        <v>19</v>
      </c>
      <c r="B62" s="3">
        <v>1.55</v>
      </c>
      <c r="D62" t="s">
        <v>24</v>
      </c>
      <c r="E62" s="10">
        <f>B53/(4.44*B55*E55*B62)</f>
        <v>7.2653298459750049E-2</v>
      </c>
      <c r="G62" t="s">
        <v>47</v>
      </c>
      <c r="H62" s="22">
        <f>E66/(E62*B63*4*PI()*0.0000001)</f>
        <v>42688.987594015591</v>
      </c>
    </row>
    <row r="63" spans="1:8" x14ac:dyDescent="0.25">
      <c r="A63" s="2" t="s">
        <v>20</v>
      </c>
      <c r="B63" s="2">
        <v>493</v>
      </c>
      <c r="D63" t="s">
        <v>37</v>
      </c>
      <c r="E63" s="11">
        <f>SQRT(E62)</f>
        <v>0.26954275812892847</v>
      </c>
      <c r="G63" t="s">
        <v>48</v>
      </c>
      <c r="H63" s="16">
        <f>E55*E55/H62</f>
        <v>44.611036881721944</v>
      </c>
    </row>
    <row r="64" spans="1:8" x14ac:dyDescent="0.25">
      <c r="A64" s="2" t="s">
        <v>8</v>
      </c>
      <c r="B64" s="2">
        <f>2.38*1.55/1.5</f>
        <v>2.4593333333333334</v>
      </c>
      <c r="D64" t="s">
        <v>25</v>
      </c>
      <c r="E64" s="12">
        <f>B62/(B63*4*0.0000001*PI())</f>
        <v>2501.9286185845617</v>
      </c>
      <c r="G64" t="s">
        <v>49</v>
      </c>
      <c r="H64" s="15">
        <f>(B53/E53)*0.02/(2*PI()*B55)</f>
        <v>0.15154733681210272</v>
      </c>
    </row>
    <row r="65" spans="1:8" x14ac:dyDescent="0.25">
      <c r="A65" s="2" t="s">
        <v>21</v>
      </c>
      <c r="B65" s="4">
        <v>5.0000000000000001E-3</v>
      </c>
      <c r="D65" t="s">
        <v>26</v>
      </c>
      <c r="E65" s="15">
        <f>E63*2+E59</f>
        <v>0.74990402693574887</v>
      </c>
      <c r="F65" s="5"/>
      <c r="G65" t="s">
        <v>50</v>
      </c>
      <c r="H65" s="15">
        <f>(B54/E54)*0.02/(2*PI()*B55)</f>
        <v>7.9577471545947673E-2</v>
      </c>
    </row>
    <row r="66" spans="1:8" x14ac:dyDescent="0.25">
      <c r="A66" s="2" t="s">
        <v>9</v>
      </c>
      <c r="B66" s="2">
        <v>7.6</v>
      </c>
      <c r="D66" t="s">
        <v>27</v>
      </c>
      <c r="E66" s="11">
        <f>(E59+E63)*4</f>
        <v>1.9214450752272816</v>
      </c>
    </row>
    <row r="67" spans="1:8" x14ac:dyDescent="0.25">
      <c r="A67" s="2" t="s">
        <v>53</v>
      </c>
      <c r="B67" s="4">
        <f>3*0.00035/B65</f>
        <v>0.21</v>
      </c>
      <c r="D67" t="s">
        <v>29</v>
      </c>
      <c r="E67" s="15">
        <f>(E59/2+E63)*PI()</f>
        <v>1.1779464909593755</v>
      </c>
    </row>
    <row r="68" spans="1:8" x14ac:dyDescent="0.25">
      <c r="D68" t="s">
        <v>39</v>
      </c>
      <c r="E68" s="18">
        <f>E62*E66*B66*1000</f>
        <v>1060.9548511862347</v>
      </c>
    </row>
    <row r="70" spans="1:8" x14ac:dyDescent="0.25">
      <c r="A70" s="46" t="s">
        <v>28</v>
      </c>
      <c r="B70" s="46"/>
      <c r="D70" s="46" t="s">
        <v>32</v>
      </c>
      <c r="E70" s="46"/>
      <c r="G70" s="46" t="s">
        <v>51</v>
      </c>
      <c r="H70" s="46"/>
    </row>
    <row r="71" spans="1:8" x14ac:dyDescent="0.25">
      <c r="A71" s="2" t="s">
        <v>36</v>
      </c>
      <c r="B71" s="2">
        <v>8940</v>
      </c>
      <c r="D71" t="s">
        <v>33</v>
      </c>
      <c r="E71" s="11">
        <f>(B72*(B57-20)*B73 + B72)*E55*E67/(E56*0.000001/E55)</f>
        <v>6.2975187205174468</v>
      </c>
      <c r="G71" t="s">
        <v>52</v>
      </c>
      <c r="H71" s="19">
        <f>E73*B74 + E68*B67</f>
        <v>1346.0902925279695</v>
      </c>
    </row>
    <row r="72" spans="1:8" x14ac:dyDescent="0.25">
      <c r="A72" s="2" t="s">
        <v>30</v>
      </c>
      <c r="B72" s="4">
        <v>1.6800000000000002E-8</v>
      </c>
      <c r="D72" t="s">
        <v>34</v>
      </c>
      <c r="E72" s="11">
        <f>(B72*(B57-20)*B73 + B72)*B60*E67/(E57*0.000001/B60)</f>
        <v>3.3068256251404358</v>
      </c>
      <c r="G72" t="s">
        <v>55</v>
      </c>
      <c r="H72" s="20">
        <f>(H54/1000)*20*365*24*0.07</f>
        <v>64443.666932086591</v>
      </c>
    </row>
    <row r="73" spans="1:8" x14ac:dyDescent="0.25">
      <c r="A73" s="2" t="s">
        <v>31</v>
      </c>
      <c r="B73" s="2">
        <v>3.8E-3</v>
      </c>
      <c r="D73" t="s">
        <v>35</v>
      </c>
      <c r="E73" s="17">
        <f>(B71*E56*0.000001*E67)+(B71*E57*0.000001*E67)</f>
        <v>140.41122172235754</v>
      </c>
    </row>
    <row r="74" spans="1:8" x14ac:dyDescent="0.25">
      <c r="A74" s="2" t="s">
        <v>54</v>
      </c>
      <c r="B74" s="2">
        <v>8</v>
      </c>
    </row>
    <row r="76" spans="1:8" x14ac:dyDescent="0.25">
      <c r="A76" s="46" t="s">
        <v>0</v>
      </c>
      <c r="B76" s="46"/>
      <c r="C76" s="1"/>
      <c r="D76" s="46" t="s">
        <v>1</v>
      </c>
      <c r="E76" s="46"/>
      <c r="G76" s="46" t="s">
        <v>38</v>
      </c>
      <c r="H76" s="46"/>
    </row>
    <row r="77" spans="1:8" x14ac:dyDescent="0.25">
      <c r="A77" s="2" t="s">
        <v>13</v>
      </c>
      <c r="B77" s="2">
        <v>500000</v>
      </c>
      <c r="D77" t="s">
        <v>2</v>
      </c>
      <c r="E77" s="11">
        <f>B78/B79</f>
        <v>1.38</v>
      </c>
      <c r="G77" t="s">
        <v>41</v>
      </c>
      <c r="H77" s="7">
        <f>E78*E78*E96+E79*E79*E97</f>
        <v>2639.3553502486134</v>
      </c>
    </row>
    <row r="78" spans="1:8" x14ac:dyDescent="0.25">
      <c r="A78" s="2" t="s">
        <v>14</v>
      </c>
      <c r="B78" s="2">
        <v>34500</v>
      </c>
      <c r="D78" t="s">
        <v>22</v>
      </c>
      <c r="E78" s="11">
        <f>B77/B78</f>
        <v>14.492753623188406</v>
      </c>
      <c r="G78" t="s">
        <v>42</v>
      </c>
      <c r="H78" s="8">
        <f>B89*E93</f>
        <v>3173.6008934995084</v>
      </c>
    </row>
    <row r="79" spans="1:8" x14ac:dyDescent="0.25">
      <c r="A79" s="2" t="s">
        <v>15</v>
      </c>
      <c r="B79" s="2">
        <v>25000</v>
      </c>
      <c r="D79" t="s">
        <v>23</v>
      </c>
      <c r="E79" s="11">
        <f>B77/B79</f>
        <v>20</v>
      </c>
      <c r="G79" t="s">
        <v>43</v>
      </c>
      <c r="H79" s="6">
        <f>H77+H78</f>
        <v>5812.9562437481218</v>
      </c>
    </row>
    <row r="80" spans="1:8" x14ac:dyDescent="0.25">
      <c r="A80" s="2" t="s">
        <v>16</v>
      </c>
      <c r="B80" s="2">
        <v>50</v>
      </c>
      <c r="D80" t="s">
        <v>5</v>
      </c>
      <c r="E80" s="17">
        <f>E77*B85</f>
        <v>1380</v>
      </c>
      <c r="G80" t="s">
        <v>40</v>
      </c>
      <c r="H80" s="9">
        <f>100*B77/(B77+H79)</f>
        <v>98.85076960327072</v>
      </c>
    </row>
    <row r="81" spans="1:8" x14ac:dyDescent="0.25">
      <c r="A81" s="2" t="s">
        <v>17</v>
      </c>
      <c r="B81" s="2">
        <v>-30</v>
      </c>
      <c r="D81" t="s">
        <v>45</v>
      </c>
      <c r="E81" s="11">
        <f>E80*(E78/B84)</f>
        <v>6666.666666666667</v>
      </c>
    </row>
    <row r="82" spans="1:8" x14ac:dyDescent="0.25">
      <c r="A82" s="2" t="s">
        <v>18</v>
      </c>
      <c r="B82" s="2">
        <v>50</v>
      </c>
      <c r="D82" t="s">
        <v>44</v>
      </c>
      <c r="E82" s="11">
        <f>B85*(E79/B84)</f>
        <v>6666.666666666667</v>
      </c>
    </row>
    <row r="83" spans="1:8" x14ac:dyDescent="0.25">
      <c r="A83" s="2" t="s">
        <v>7</v>
      </c>
      <c r="B83" s="2">
        <v>0.3</v>
      </c>
      <c r="D83" t="s">
        <v>11</v>
      </c>
      <c r="E83" s="13">
        <f>(E81+E82)*0.000001/B83</f>
        <v>4.4444444444444446E-2</v>
      </c>
    </row>
    <row r="84" spans="1:8" x14ac:dyDescent="0.25">
      <c r="A84" s="2" t="s">
        <v>10</v>
      </c>
      <c r="B84" s="2">
        <v>3</v>
      </c>
      <c r="D84" t="s">
        <v>12</v>
      </c>
      <c r="E84" s="14">
        <f>SQRT(E83)</f>
        <v>0.21081851067789195</v>
      </c>
    </row>
    <row r="85" spans="1:8" x14ac:dyDescent="0.25">
      <c r="A85" s="2" t="s">
        <v>6</v>
      </c>
      <c r="B85" s="21">
        <v>1000</v>
      </c>
    </row>
    <row r="86" spans="1:8" x14ac:dyDescent="0.25">
      <c r="A86" s="46" t="s">
        <v>3</v>
      </c>
      <c r="B86" s="46"/>
      <c r="D86" s="46" t="s">
        <v>4</v>
      </c>
      <c r="E86" s="46"/>
      <c r="G86" s="46" t="s">
        <v>46</v>
      </c>
      <c r="H86" s="46"/>
    </row>
    <row r="87" spans="1:8" x14ac:dyDescent="0.25">
      <c r="A87" s="2" t="s">
        <v>19</v>
      </c>
      <c r="B87" s="3">
        <v>1.56</v>
      </c>
      <c r="D87" t="s">
        <v>24</v>
      </c>
      <c r="E87" s="10">
        <f>B78/(4.44*B80*E80*B87)</f>
        <v>7.2187572187572172E-2</v>
      </c>
      <c r="G87" t="s">
        <v>47</v>
      </c>
      <c r="H87" s="22">
        <f>E91/(E87*B88*4*PI()*0.0000001)</f>
        <v>42627.608454050991</v>
      </c>
    </row>
    <row r="88" spans="1:8" x14ac:dyDescent="0.25">
      <c r="A88" s="2" t="s">
        <v>20</v>
      </c>
      <c r="B88" s="2">
        <v>496</v>
      </c>
      <c r="D88" t="s">
        <v>37</v>
      </c>
      <c r="E88" s="11">
        <f>SQRT(E87)</f>
        <v>0.26867745009131705</v>
      </c>
      <c r="G88" t="s">
        <v>48</v>
      </c>
      <c r="H88" s="16">
        <f>E80*E80/H87</f>
        <v>44.675271943833877</v>
      </c>
    </row>
    <row r="89" spans="1:8" x14ac:dyDescent="0.25">
      <c r="A89" s="2" t="s">
        <v>8</v>
      </c>
      <c r="B89" s="2">
        <f>1.56*2.9/1.5</f>
        <v>3.016</v>
      </c>
      <c r="D89" t="s">
        <v>25</v>
      </c>
      <c r="E89" s="12">
        <f>B87/(B88*4*0.0000001*PI())</f>
        <v>2502.8398308806127</v>
      </c>
      <c r="G89" t="s">
        <v>49</v>
      </c>
      <c r="H89" s="15">
        <f>(B78/E78)*0.02/(2*PI()*B80)</f>
        <v>0.15154733681210272</v>
      </c>
    </row>
    <row r="90" spans="1:8" x14ac:dyDescent="0.25">
      <c r="A90" s="2" t="s">
        <v>21</v>
      </c>
      <c r="B90" s="4">
        <v>6.4999999999999997E-3</v>
      </c>
      <c r="D90" t="s">
        <v>26</v>
      </c>
      <c r="E90" s="15">
        <f>E88*2+E84</f>
        <v>0.74817341086052602</v>
      </c>
      <c r="F90" s="5"/>
      <c r="G90" t="s">
        <v>50</v>
      </c>
      <c r="H90" s="15">
        <f>(B79/E79)*0.02/(2*PI()*B80)</f>
        <v>7.9577471545947673E-2</v>
      </c>
    </row>
    <row r="91" spans="1:8" x14ac:dyDescent="0.25">
      <c r="A91" s="2" t="s">
        <v>9</v>
      </c>
      <c r="B91" s="2">
        <v>7.6</v>
      </c>
      <c r="D91" t="s">
        <v>27</v>
      </c>
      <c r="E91" s="11">
        <f>(E84+E88)*4</f>
        <v>1.9179838430768359</v>
      </c>
    </row>
    <row r="92" spans="1:8" x14ac:dyDescent="0.25">
      <c r="A92" s="2" t="s">
        <v>53</v>
      </c>
      <c r="B92" s="4">
        <f>3*0.00035/B90</f>
        <v>0.16153846153846155</v>
      </c>
      <c r="D92" t="s">
        <v>29</v>
      </c>
      <c r="E92" s="15">
        <f>(E84/2+E88)*PI()</f>
        <v>1.1752280455853232</v>
      </c>
    </row>
    <row r="93" spans="1:8" x14ac:dyDescent="0.25">
      <c r="D93" t="s">
        <v>39</v>
      </c>
      <c r="E93" s="18">
        <f>E87*E91*B91*1000</f>
        <v>1052.2549381629669</v>
      </c>
    </row>
    <row r="95" spans="1:8" x14ac:dyDescent="0.25">
      <c r="A95" s="46" t="s">
        <v>28</v>
      </c>
      <c r="B95" s="46"/>
      <c r="D95" s="46" t="s">
        <v>32</v>
      </c>
      <c r="E95" s="46"/>
      <c r="G95" s="46" t="s">
        <v>51</v>
      </c>
      <c r="H95" s="46"/>
    </row>
    <row r="96" spans="1:8" x14ac:dyDescent="0.25">
      <c r="A96" s="2" t="s">
        <v>36</v>
      </c>
      <c r="B96" s="2">
        <v>8940</v>
      </c>
      <c r="D96" t="s">
        <v>33</v>
      </c>
      <c r="E96" s="11">
        <f>(B97*(B82-20)*B98 + B97)*E80*E92/(E81*0.000001/E80)</f>
        <v>6.2829854112668242</v>
      </c>
      <c r="G96" t="s">
        <v>52</v>
      </c>
      <c r="H96" s="19">
        <f>E98*B99 + E93*B92</f>
        <v>1290.6771081272589</v>
      </c>
    </row>
    <row r="97" spans="1:8" x14ac:dyDescent="0.25">
      <c r="A97" s="2" t="s">
        <v>30</v>
      </c>
      <c r="B97" s="4">
        <v>1.6800000000000002E-8</v>
      </c>
      <c r="D97" t="s">
        <v>34</v>
      </c>
      <c r="E97" s="11">
        <f>(B97*(B82-20)*B98 + B97)*B85*E92/(E82*0.000001/B85)</f>
        <v>3.2991941878107665</v>
      </c>
      <c r="G97" t="s">
        <v>55</v>
      </c>
      <c r="H97" s="20">
        <f>(H79/1000)*20*365*24*0.07</f>
        <v>71290.095373326971</v>
      </c>
    </row>
    <row r="98" spans="1:8" x14ac:dyDescent="0.25">
      <c r="A98" s="2" t="s">
        <v>31</v>
      </c>
      <c r="B98" s="2">
        <v>3.8E-3</v>
      </c>
      <c r="D98" t="s">
        <v>35</v>
      </c>
      <c r="E98" s="17">
        <f>(B96*E81*0.000001*E92)+(B96*E82*0.000001*E92)</f>
        <v>140.08718303377051</v>
      </c>
    </row>
    <row r="99" spans="1:8" x14ac:dyDescent="0.25">
      <c r="A99" s="2" t="s">
        <v>54</v>
      </c>
      <c r="B99" s="2">
        <v>8</v>
      </c>
    </row>
    <row r="101" spans="1:8" x14ac:dyDescent="0.25">
      <c r="A101" s="46" t="s">
        <v>0</v>
      </c>
      <c r="B101" s="46"/>
      <c r="C101" s="1"/>
      <c r="D101" s="46" t="s">
        <v>1</v>
      </c>
      <c r="E101" s="46"/>
      <c r="G101" s="46" t="s">
        <v>38</v>
      </c>
      <c r="H101" s="46"/>
    </row>
    <row r="102" spans="1:8" x14ac:dyDescent="0.25">
      <c r="A102" s="2" t="s">
        <v>13</v>
      </c>
      <c r="B102" s="2">
        <v>500000</v>
      </c>
      <c r="D102" t="s">
        <v>2</v>
      </c>
      <c r="E102" s="11">
        <f>B103/B104</f>
        <v>1.38</v>
      </c>
      <c r="G102" t="s">
        <v>41</v>
      </c>
      <c r="H102" s="7">
        <f>E103*E103*E121+E104*E104*E122</f>
        <v>2621.3867539610037</v>
      </c>
    </row>
    <row r="103" spans="1:8" x14ac:dyDescent="0.25">
      <c r="A103" s="2" t="s">
        <v>14</v>
      </c>
      <c r="B103" s="2">
        <v>34500</v>
      </c>
      <c r="D103" t="s">
        <v>22</v>
      </c>
      <c r="E103" s="11">
        <f>B102/B103</f>
        <v>14.492753623188406</v>
      </c>
      <c r="G103" t="s">
        <v>42</v>
      </c>
      <c r="H103" s="8">
        <f>B114*E118</f>
        <v>9677.0557318027422</v>
      </c>
    </row>
    <row r="104" spans="1:8" x14ac:dyDescent="0.25">
      <c r="A104" s="2" t="s">
        <v>15</v>
      </c>
      <c r="B104" s="2">
        <v>25000</v>
      </c>
      <c r="D104" t="s">
        <v>23</v>
      </c>
      <c r="E104" s="11">
        <f>B102/B104</f>
        <v>20</v>
      </c>
      <c r="G104" t="s">
        <v>43</v>
      </c>
      <c r="H104" s="6">
        <f>H102+H103</f>
        <v>12298.442485763746</v>
      </c>
    </row>
    <row r="105" spans="1:8" x14ac:dyDescent="0.25">
      <c r="A105" s="2" t="s">
        <v>16</v>
      </c>
      <c r="B105" s="2">
        <v>50</v>
      </c>
      <c r="D105" t="s">
        <v>5</v>
      </c>
      <c r="E105" s="17">
        <f>E102*B110</f>
        <v>1380</v>
      </c>
      <c r="G105" t="s">
        <v>40</v>
      </c>
      <c r="H105" s="9">
        <f>100*B102/(B102+H104)</f>
        <v>97.599359774335937</v>
      </c>
    </row>
    <row r="106" spans="1:8" x14ac:dyDescent="0.25">
      <c r="A106" s="2" t="s">
        <v>17</v>
      </c>
      <c r="B106" s="2">
        <v>-30</v>
      </c>
      <c r="D106" t="s">
        <v>45</v>
      </c>
      <c r="E106" s="11">
        <f>E105*(E103/B109)</f>
        <v>6666.666666666667</v>
      </c>
    </row>
    <row r="107" spans="1:8" x14ac:dyDescent="0.25">
      <c r="A107" s="2" t="s">
        <v>18</v>
      </c>
      <c r="B107" s="2">
        <v>50</v>
      </c>
      <c r="D107" t="s">
        <v>44</v>
      </c>
      <c r="E107" s="11">
        <f>B110*(E104/B109)</f>
        <v>6666.666666666667</v>
      </c>
    </row>
    <row r="108" spans="1:8" x14ac:dyDescent="0.25">
      <c r="A108" s="2" t="s">
        <v>7</v>
      </c>
      <c r="B108" s="2">
        <v>0.3</v>
      </c>
      <c r="D108" t="s">
        <v>11</v>
      </c>
      <c r="E108" s="13">
        <f>(E106+E107)*0.000001/B108</f>
        <v>4.4444444444444446E-2</v>
      </c>
    </row>
    <row r="109" spans="1:8" x14ac:dyDescent="0.25">
      <c r="A109" s="2" t="s">
        <v>10</v>
      </c>
      <c r="B109" s="2">
        <v>3</v>
      </c>
      <c r="D109" t="s">
        <v>12</v>
      </c>
      <c r="E109" s="14">
        <f>SQRT(E108)</f>
        <v>0.21081851067789195</v>
      </c>
    </row>
    <row r="110" spans="1:8" x14ac:dyDescent="0.25">
      <c r="A110" s="2" t="s">
        <v>6</v>
      </c>
      <c r="B110" s="21">
        <v>1000</v>
      </c>
    </row>
    <row r="111" spans="1:8" x14ac:dyDescent="0.25">
      <c r="A111" s="46" t="s">
        <v>3</v>
      </c>
      <c r="B111" s="46"/>
      <c r="D111" s="46" t="s">
        <v>4</v>
      </c>
      <c r="E111" s="46"/>
      <c r="G111" s="46" t="s">
        <v>46</v>
      </c>
      <c r="H111" s="46"/>
    </row>
    <row r="112" spans="1:8" x14ac:dyDescent="0.25">
      <c r="A112" s="2" t="s">
        <v>19</v>
      </c>
      <c r="B112" s="3">
        <v>1.59</v>
      </c>
      <c r="D112" t="s">
        <v>24</v>
      </c>
      <c r="E112" s="10">
        <f>B103/(4.44*B105*E105*B112)</f>
        <v>7.0825542523655707E-2</v>
      </c>
      <c r="G112" t="s">
        <v>47</v>
      </c>
      <c r="H112" s="22">
        <f>E116/(E112*B113*4*PI()*0.0000001)</f>
        <v>42362.523528196551</v>
      </c>
    </row>
    <row r="113" spans="1:8" x14ac:dyDescent="0.25">
      <c r="A113" s="2" t="s">
        <v>20</v>
      </c>
      <c r="B113" s="2">
        <v>506</v>
      </c>
      <c r="D113" t="s">
        <v>37</v>
      </c>
      <c r="E113" s="11">
        <f>SQRT(E112)</f>
        <v>0.26613068692590808</v>
      </c>
      <c r="G113" t="s">
        <v>48</v>
      </c>
      <c r="H113" s="16">
        <f>E105*E105/H112</f>
        <v>44.954828971235123</v>
      </c>
    </row>
    <row r="114" spans="1:8" x14ac:dyDescent="0.25">
      <c r="A114" s="2" t="s">
        <v>8</v>
      </c>
      <c r="B114" s="2">
        <f>1.59*8.89/1.5</f>
        <v>9.4234000000000009</v>
      </c>
      <c r="D114" t="s">
        <v>25</v>
      </c>
      <c r="E114" s="12">
        <f>B112/(B113*4*0.0000001*PI())</f>
        <v>2500.5569122145616</v>
      </c>
      <c r="G114" t="s">
        <v>49</v>
      </c>
      <c r="H114" s="15">
        <f>(B103/E103)*0.02/(2*PI()*B105)</f>
        <v>0.15154733681210272</v>
      </c>
    </row>
    <row r="115" spans="1:8" x14ac:dyDescent="0.25">
      <c r="A115" s="2" t="s">
        <v>21</v>
      </c>
      <c r="B115" s="4">
        <v>0.01</v>
      </c>
      <c r="D115" t="s">
        <v>26</v>
      </c>
      <c r="E115" s="15">
        <f>E113*2+E109</f>
        <v>0.74307988452970808</v>
      </c>
      <c r="F115" s="5"/>
      <c r="G115" t="s">
        <v>50</v>
      </c>
      <c r="H115" s="15">
        <f>(B104/E104)*0.02/(2*PI()*B105)</f>
        <v>7.9577471545947673E-2</v>
      </c>
    </row>
    <row r="116" spans="1:8" x14ac:dyDescent="0.25">
      <c r="A116" s="2" t="s">
        <v>9</v>
      </c>
      <c r="B116" s="2">
        <v>7.6</v>
      </c>
      <c r="D116" t="s">
        <v>27</v>
      </c>
      <c r="E116" s="11">
        <f>(E109+E113)*4</f>
        <v>1.9077967904152002</v>
      </c>
    </row>
    <row r="117" spans="1:8" x14ac:dyDescent="0.25">
      <c r="A117" s="2" t="s">
        <v>53</v>
      </c>
      <c r="B117" s="4">
        <f>3*0.00035/B115</f>
        <v>0.105</v>
      </c>
      <c r="D117" t="s">
        <v>29</v>
      </c>
      <c r="E117" s="15">
        <f>(E109/2+E113)*PI()</f>
        <v>1.1672271531344414</v>
      </c>
    </row>
    <row r="118" spans="1:8" x14ac:dyDescent="0.25">
      <c r="D118" t="s">
        <v>39</v>
      </c>
      <c r="E118" s="18">
        <f>E112*E116*B116*1000</f>
        <v>1026.9176445659466</v>
      </c>
    </row>
    <row r="120" spans="1:8" x14ac:dyDescent="0.25">
      <c r="A120" s="46" t="s">
        <v>28</v>
      </c>
      <c r="B120" s="46"/>
      <c r="D120" s="46" t="s">
        <v>32</v>
      </c>
      <c r="E120" s="46"/>
      <c r="G120" s="46" t="s">
        <v>51</v>
      </c>
      <c r="H120" s="46"/>
    </row>
    <row r="121" spans="1:8" x14ac:dyDescent="0.25">
      <c r="A121" s="2" t="s">
        <v>36</v>
      </c>
      <c r="B121" s="2">
        <v>8940</v>
      </c>
      <c r="D121" t="s">
        <v>33</v>
      </c>
      <c r="E121" s="11">
        <f>(B122*(B107-20)*B123 + B122)*E105*E117/(E106*0.000001/E105)</f>
        <v>6.2402111678041701</v>
      </c>
      <c r="G121" t="s">
        <v>52</v>
      </c>
      <c r="H121" s="19">
        <f>E123*B124 + E118*B117</f>
        <v>1220.8941659084276</v>
      </c>
    </row>
    <row r="122" spans="1:8" x14ac:dyDescent="0.25">
      <c r="A122" s="2" t="s">
        <v>30</v>
      </c>
      <c r="B122" s="4">
        <v>1.6800000000000002E-8</v>
      </c>
      <c r="D122" t="s">
        <v>34</v>
      </c>
      <c r="E122" s="11">
        <f>(B122*(B107-20)*B123 + B122)*B110*E117/(E107*0.000001/B110)</f>
        <v>3.2767334424512544</v>
      </c>
      <c r="G122" t="s">
        <v>55</v>
      </c>
      <c r="H122" s="20">
        <f>(H104/1000)*20*365*24*0.07</f>
        <v>150828.09864540657</v>
      </c>
    </row>
    <row r="123" spans="1:8" x14ac:dyDescent="0.25">
      <c r="A123" s="2" t="s">
        <v>31</v>
      </c>
      <c r="B123" s="2">
        <v>3.8E-3</v>
      </c>
      <c r="D123" t="s">
        <v>35</v>
      </c>
      <c r="E123" s="17">
        <f>(B121*E106*0.000001*E117)+(B121*E107*0.000001*E117)</f>
        <v>139.13347665362539</v>
      </c>
    </row>
    <row r="124" spans="1:8" x14ac:dyDescent="0.25">
      <c r="A124" s="2" t="s">
        <v>54</v>
      </c>
      <c r="B124" s="2">
        <v>8</v>
      </c>
    </row>
    <row r="126" spans="1:8" x14ac:dyDescent="0.25">
      <c r="A126" s="46" t="s">
        <v>0</v>
      </c>
      <c r="B126" s="46"/>
      <c r="C126" s="1"/>
      <c r="D126" s="46" t="s">
        <v>1</v>
      </c>
      <c r="E126" s="46"/>
      <c r="G126" s="46" t="s">
        <v>38</v>
      </c>
      <c r="H126" s="46"/>
    </row>
    <row r="127" spans="1:8" x14ac:dyDescent="0.25">
      <c r="A127" s="2" t="s">
        <v>13</v>
      </c>
      <c r="B127" s="2">
        <v>500000</v>
      </c>
      <c r="D127" t="s">
        <v>2</v>
      </c>
      <c r="E127" s="11">
        <f>B128/B129</f>
        <v>1.38</v>
      </c>
      <c r="G127" t="s">
        <v>41</v>
      </c>
      <c r="H127" s="7">
        <f>E128*E128*E146+E129*E129*E147</f>
        <v>2598.2046857450632</v>
      </c>
    </row>
    <row r="128" spans="1:8" x14ac:dyDescent="0.25">
      <c r="A128" s="2" t="s">
        <v>14</v>
      </c>
      <c r="B128" s="2">
        <v>34500</v>
      </c>
      <c r="D128" t="s">
        <v>22</v>
      </c>
      <c r="E128" s="11">
        <f>B127/B128</f>
        <v>14.492753623188406</v>
      </c>
      <c r="G128" t="s">
        <v>42</v>
      </c>
      <c r="H128" s="8">
        <f>B139*E143</f>
        <v>7337.5563978668688</v>
      </c>
    </row>
    <row r="129" spans="1:8" x14ac:dyDescent="0.25">
      <c r="A129" s="2" t="s">
        <v>15</v>
      </c>
      <c r="B129" s="2">
        <v>25000</v>
      </c>
      <c r="D129" t="s">
        <v>23</v>
      </c>
      <c r="E129" s="11">
        <f>B127/B129</f>
        <v>20</v>
      </c>
      <c r="G129" t="s">
        <v>43</v>
      </c>
      <c r="H129" s="6">
        <f>H127+H128</f>
        <v>9935.7610836119311</v>
      </c>
    </row>
    <row r="130" spans="1:8" x14ac:dyDescent="0.25">
      <c r="A130" s="2" t="s">
        <v>16</v>
      </c>
      <c r="B130" s="2">
        <v>50</v>
      </c>
      <c r="D130" t="s">
        <v>5</v>
      </c>
      <c r="E130" s="17">
        <f>E127*B135</f>
        <v>1380</v>
      </c>
      <c r="G130" t="s">
        <v>40</v>
      </c>
      <c r="H130" s="9">
        <f>100*B127/(B127+H129)</f>
        <v>98.051566130114409</v>
      </c>
    </row>
    <row r="131" spans="1:8" x14ac:dyDescent="0.25">
      <c r="A131" s="2" t="s">
        <v>17</v>
      </c>
      <c r="B131" s="2">
        <v>-30</v>
      </c>
      <c r="D131" t="s">
        <v>45</v>
      </c>
      <c r="E131" s="11">
        <f>E130*(E128/B134)</f>
        <v>6666.666666666667</v>
      </c>
    </row>
    <row r="132" spans="1:8" x14ac:dyDescent="0.25">
      <c r="A132" s="2" t="s">
        <v>18</v>
      </c>
      <c r="B132" s="2">
        <v>50</v>
      </c>
      <c r="D132" t="s">
        <v>44</v>
      </c>
      <c r="E132" s="11">
        <f>B135*(E129/B134)</f>
        <v>6666.666666666667</v>
      </c>
    </row>
    <row r="133" spans="1:8" x14ac:dyDescent="0.25">
      <c r="A133" s="2" t="s">
        <v>7</v>
      </c>
      <c r="B133" s="2">
        <v>0.3</v>
      </c>
      <c r="D133" t="s">
        <v>11</v>
      </c>
      <c r="E133" s="13">
        <f>(E131+E132)*0.000001/B133</f>
        <v>4.4444444444444446E-2</v>
      </c>
    </row>
    <row r="134" spans="1:8" x14ac:dyDescent="0.25">
      <c r="A134" s="2" t="s">
        <v>10</v>
      </c>
      <c r="B134" s="2">
        <v>3</v>
      </c>
      <c r="D134" t="s">
        <v>12</v>
      </c>
      <c r="E134" s="14">
        <f>SQRT(E133)</f>
        <v>0.21081851067789195</v>
      </c>
    </row>
    <row r="135" spans="1:8" x14ac:dyDescent="0.25">
      <c r="A135" s="2" t="s">
        <v>6</v>
      </c>
      <c r="B135" s="21">
        <v>1000</v>
      </c>
    </row>
    <row r="136" spans="1:8" x14ac:dyDescent="0.25">
      <c r="A136" s="46" t="s">
        <v>3</v>
      </c>
      <c r="B136" s="46"/>
      <c r="D136" s="46" t="s">
        <v>4</v>
      </c>
      <c r="E136" s="46"/>
      <c r="G136" s="46" t="s">
        <v>46</v>
      </c>
      <c r="H136" s="46"/>
    </row>
    <row r="137" spans="1:8" x14ac:dyDescent="0.25">
      <c r="A137" s="2" t="s">
        <v>19</v>
      </c>
      <c r="B137" s="3">
        <v>1.63</v>
      </c>
      <c r="D137" t="s">
        <v>24</v>
      </c>
      <c r="E137" s="10">
        <f>B128/(4.44*B130*E130*B137)</f>
        <v>6.908749240037583E-2</v>
      </c>
      <c r="G137" t="s">
        <v>47</v>
      </c>
      <c r="H137" s="22">
        <f>E141/(E137*B138*4*PI()*0.0000001)</f>
        <v>42129.942311828534</v>
      </c>
    </row>
    <row r="138" spans="1:8" x14ac:dyDescent="0.25">
      <c r="A138" s="2" t="s">
        <v>20</v>
      </c>
      <c r="B138" s="2">
        <v>518</v>
      </c>
      <c r="D138" t="s">
        <v>37</v>
      </c>
      <c r="E138" s="11">
        <f>SQRT(E137)</f>
        <v>0.2628449969095395</v>
      </c>
      <c r="G138" t="s">
        <v>48</v>
      </c>
      <c r="H138" s="16">
        <f>E130*E130/H137</f>
        <v>45.203005166833918</v>
      </c>
    </row>
    <row r="139" spans="1:8" x14ac:dyDescent="0.25">
      <c r="A139" s="2" t="s">
        <v>8</v>
      </c>
      <c r="B139" s="2">
        <f>5.5*1.96/1.5</f>
        <v>7.1866666666666665</v>
      </c>
      <c r="D139" t="s">
        <v>25</v>
      </c>
      <c r="E139" s="12">
        <f>B137/(B138*4*0.0000001*PI())</f>
        <v>2504.078737835805</v>
      </c>
      <c r="G139" t="s">
        <v>49</v>
      </c>
      <c r="H139" s="15">
        <f>(B128/E128)*0.02/(2*PI()*B130)</f>
        <v>0.15154733681210272</v>
      </c>
    </row>
    <row r="140" spans="1:8" x14ac:dyDescent="0.25">
      <c r="A140" s="2" t="s">
        <v>21</v>
      </c>
      <c r="B140" s="4">
        <v>3.5E-4</v>
      </c>
      <c r="D140" t="s">
        <v>26</v>
      </c>
      <c r="E140" s="15">
        <f>E138*2+E134</f>
        <v>0.73650850449697092</v>
      </c>
      <c r="F140" s="5"/>
      <c r="G140" t="s">
        <v>50</v>
      </c>
      <c r="H140" s="15">
        <f>(B129/E129)*0.02/(2*PI()*B130)</f>
        <v>7.9577471545947673E-2</v>
      </c>
    </row>
    <row r="141" spans="1:8" x14ac:dyDescent="0.25">
      <c r="A141" s="2" t="s">
        <v>9</v>
      </c>
      <c r="B141" s="2">
        <v>7.8</v>
      </c>
      <c r="D141" t="s">
        <v>27</v>
      </c>
      <c r="E141" s="11">
        <f>(E134+E138)*4</f>
        <v>1.8946540303497259</v>
      </c>
    </row>
    <row r="142" spans="1:8" x14ac:dyDescent="0.25">
      <c r="A142" s="2" t="s">
        <v>53</v>
      </c>
      <c r="B142" s="4">
        <f>3*0.00035/B140</f>
        <v>3</v>
      </c>
      <c r="D142" t="s">
        <v>29</v>
      </c>
      <c r="E142" s="15">
        <f>(E134/2+E138)*PI()</f>
        <v>1.1569048535170445</v>
      </c>
    </row>
    <row r="143" spans="1:8" x14ac:dyDescent="0.25">
      <c r="D143" t="s">
        <v>39</v>
      </c>
      <c r="E143" s="18">
        <f>E137*E141*B141*1000</f>
        <v>1020.9957882003993</v>
      </c>
    </row>
    <row r="145" spans="1:8" x14ac:dyDescent="0.25">
      <c r="A145" s="46" t="s">
        <v>28</v>
      </c>
      <c r="B145" s="46"/>
      <c r="D145" s="46" t="s">
        <v>32</v>
      </c>
      <c r="E145" s="46"/>
      <c r="G145" s="46" t="s">
        <v>51</v>
      </c>
      <c r="H145" s="46"/>
    </row>
    <row r="146" spans="1:8" x14ac:dyDescent="0.25">
      <c r="A146" s="2" t="s">
        <v>36</v>
      </c>
      <c r="B146" s="2">
        <v>8940</v>
      </c>
      <c r="D146" t="s">
        <v>33</v>
      </c>
      <c r="E146" s="11">
        <f>(B147*(B132-20)*B148 + B147)*E130*E142/(E131*0.000001/E130)</f>
        <v>6.1850262544161234</v>
      </c>
      <c r="G146" t="s">
        <v>52</v>
      </c>
      <c r="H146" s="19">
        <f>E148*B149 + E143*B142</f>
        <v>4166.2118329150517</v>
      </c>
    </row>
    <row r="147" spans="1:8" x14ac:dyDescent="0.25">
      <c r="A147" s="2" t="s">
        <v>30</v>
      </c>
      <c r="B147" s="4">
        <v>1.6800000000000002E-8</v>
      </c>
      <c r="D147" t="s">
        <v>34</v>
      </c>
      <c r="E147" s="11">
        <f>(B147*(B132-20)*B148 + B147)*B135*E142/(E132*0.000001/B135)</f>
        <v>3.2477558571813292</v>
      </c>
      <c r="G147" t="s">
        <v>55</v>
      </c>
      <c r="H147" s="20">
        <f>(H129/1000)*20*365*24*0.07</f>
        <v>121852.17392941672</v>
      </c>
    </row>
    <row r="148" spans="1:8" x14ac:dyDescent="0.25">
      <c r="A148" s="2" t="s">
        <v>31</v>
      </c>
      <c r="B148" s="2">
        <v>3.8E-3</v>
      </c>
      <c r="D148" t="s">
        <v>35</v>
      </c>
      <c r="E148" s="17">
        <f>(B146*E131*0.000001*E142)+(B146*E132*0.000001*E142)</f>
        <v>137.90305853923169</v>
      </c>
    </row>
    <row r="149" spans="1:8" x14ac:dyDescent="0.25">
      <c r="A149" s="2" t="s">
        <v>54</v>
      </c>
      <c r="B149" s="2">
        <v>8</v>
      </c>
    </row>
    <row r="150" spans="1:8" x14ac:dyDescent="0.25">
      <c r="A150" s="24"/>
      <c r="B150" s="24"/>
      <c r="C150" s="24"/>
      <c r="D150" s="24"/>
      <c r="E150" s="24"/>
      <c r="F150" s="24"/>
      <c r="G150" s="24"/>
      <c r="H150" s="24"/>
    </row>
    <row r="151" spans="1:8" x14ac:dyDescent="0.25">
      <c r="A151" s="46" t="s">
        <v>0</v>
      </c>
      <c r="B151" s="46"/>
      <c r="C151" s="1"/>
      <c r="D151" s="46" t="s">
        <v>1</v>
      </c>
      <c r="E151" s="46"/>
      <c r="G151" s="46" t="s">
        <v>38</v>
      </c>
      <c r="H151" s="46"/>
    </row>
    <row r="152" spans="1:8" x14ac:dyDescent="0.25">
      <c r="A152" s="2" t="s">
        <v>13</v>
      </c>
      <c r="B152" s="2">
        <v>500000</v>
      </c>
      <c r="D152" t="s">
        <v>2</v>
      </c>
      <c r="E152" s="11">
        <f>B153/B154</f>
        <v>1.38</v>
      </c>
      <c r="G152" t="s">
        <v>41</v>
      </c>
      <c r="H152" s="7">
        <f>E153*E153*E171+E154*E154*E172</f>
        <v>2586.9310647964039</v>
      </c>
    </row>
    <row r="153" spans="1:8" x14ac:dyDescent="0.25">
      <c r="A153" s="2" t="s">
        <v>14</v>
      </c>
      <c r="B153" s="2">
        <v>34500</v>
      </c>
      <c r="D153" t="s">
        <v>22</v>
      </c>
      <c r="E153" s="11">
        <f>B152/B153</f>
        <v>14.492753623188406</v>
      </c>
      <c r="G153" t="s">
        <v>42</v>
      </c>
      <c r="H153" s="8">
        <f>B164*E168</f>
        <v>8401.8471357282433</v>
      </c>
    </row>
    <row r="154" spans="1:8" x14ac:dyDescent="0.25">
      <c r="A154" s="2" t="s">
        <v>15</v>
      </c>
      <c r="B154" s="2">
        <v>25000</v>
      </c>
      <c r="D154" t="s">
        <v>23</v>
      </c>
      <c r="E154" s="11">
        <f>B152/B154</f>
        <v>20</v>
      </c>
      <c r="G154" t="s">
        <v>43</v>
      </c>
      <c r="H154" s="6">
        <f>H152+H153</f>
        <v>10988.778200524648</v>
      </c>
    </row>
    <row r="155" spans="1:8" x14ac:dyDescent="0.25">
      <c r="A155" s="2" t="s">
        <v>16</v>
      </c>
      <c r="B155" s="2">
        <v>50</v>
      </c>
      <c r="D155" t="s">
        <v>5</v>
      </c>
      <c r="E155" s="17">
        <f>E152*B160</f>
        <v>1380</v>
      </c>
      <c r="G155" t="s">
        <v>40</v>
      </c>
      <c r="H155" s="9">
        <f>100*B152/(B152+H154)</f>
        <v>97.84950694235944</v>
      </c>
    </row>
    <row r="156" spans="1:8" x14ac:dyDescent="0.25">
      <c r="A156" s="2" t="s">
        <v>17</v>
      </c>
      <c r="B156" s="2">
        <v>-30</v>
      </c>
      <c r="D156" t="s">
        <v>45</v>
      </c>
      <c r="E156" s="11">
        <f>E155*(E153/B159)</f>
        <v>6666.666666666667</v>
      </c>
    </row>
    <row r="157" spans="1:8" x14ac:dyDescent="0.25">
      <c r="A157" s="2" t="s">
        <v>18</v>
      </c>
      <c r="B157" s="2">
        <v>50</v>
      </c>
      <c r="D157" t="s">
        <v>44</v>
      </c>
      <c r="E157" s="11">
        <f>B160*(E154/B159)</f>
        <v>6666.666666666667</v>
      </c>
    </row>
    <row r="158" spans="1:8" x14ac:dyDescent="0.25">
      <c r="A158" s="2" t="s">
        <v>7</v>
      </c>
      <c r="B158" s="2">
        <v>0.3</v>
      </c>
      <c r="D158" t="s">
        <v>11</v>
      </c>
      <c r="E158" s="13">
        <f>(E156+E157)*0.000001/B158</f>
        <v>4.4444444444444446E-2</v>
      </c>
    </row>
    <row r="159" spans="1:8" x14ac:dyDescent="0.25">
      <c r="A159" s="2" t="s">
        <v>10</v>
      </c>
      <c r="B159" s="2">
        <v>3</v>
      </c>
      <c r="D159" t="s">
        <v>12</v>
      </c>
      <c r="E159" s="14">
        <f>SQRT(E158)</f>
        <v>0.21081851067789195</v>
      </c>
    </row>
    <row r="160" spans="1:8" x14ac:dyDescent="0.25">
      <c r="A160" s="2" t="s">
        <v>6</v>
      </c>
      <c r="B160" s="21">
        <v>1000</v>
      </c>
    </row>
    <row r="161" spans="1:8" x14ac:dyDescent="0.25">
      <c r="A161" s="46" t="s">
        <v>3</v>
      </c>
      <c r="B161" s="46"/>
      <c r="D161" s="46" t="s">
        <v>4</v>
      </c>
      <c r="E161" s="46"/>
      <c r="G161" s="46" t="s">
        <v>46</v>
      </c>
      <c r="H161" s="46"/>
    </row>
    <row r="162" spans="1:8" x14ac:dyDescent="0.25">
      <c r="A162" s="2" t="s">
        <v>19</v>
      </c>
      <c r="B162" s="3">
        <v>1.65</v>
      </c>
      <c r="D162" t="s">
        <v>24</v>
      </c>
      <c r="E162" s="10">
        <f>B153/(4.44*B155*E155*B162)</f>
        <v>6.8250068250068241E-2</v>
      </c>
      <c r="G162" t="s">
        <v>47</v>
      </c>
      <c r="H162" s="22">
        <f>E166/(E162*B163*4*PI()*0.0000001)</f>
        <v>41936.302342612384</v>
      </c>
    </row>
    <row r="163" spans="1:8" x14ac:dyDescent="0.25">
      <c r="A163" s="2" t="s">
        <v>20</v>
      </c>
      <c r="B163" s="2">
        <v>525</v>
      </c>
      <c r="D163" t="s">
        <v>37</v>
      </c>
      <c r="E163" s="11">
        <f>SQRT(E162)</f>
        <v>0.26124714017586537</v>
      </c>
      <c r="G163" t="s">
        <v>48</v>
      </c>
      <c r="H163" s="16">
        <f>E155*E155/H162</f>
        <v>45.41172906570015</v>
      </c>
    </row>
    <row r="164" spans="1:8" x14ac:dyDescent="0.25">
      <c r="A164" s="2" t="s">
        <v>8</v>
      </c>
      <c r="B164" s="2">
        <f>1.65*7.55/1.5</f>
        <v>8.3049999999999997</v>
      </c>
      <c r="D164" t="s">
        <v>25</v>
      </c>
      <c r="E164" s="12">
        <f>B162/(B163*4*0.0000001*PI())</f>
        <v>2501.0062485869271</v>
      </c>
      <c r="G164" t="s">
        <v>49</v>
      </c>
      <c r="H164" s="15">
        <f>(B153/E153)*0.02/(2*PI()*B155)</f>
        <v>0.15154733681210272</v>
      </c>
    </row>
    <row r="165" spans="1:8" x14ac:dyDescent="0.25">
      <c r="A165" s="2" t="s">
        <v>21</v>
      </c>
      <c r="B165" s="4">
        <v>5.0000000000000001E-3</v>
      </c>
      <c r="D165" t="s">
        <v>26</v>
      </c>
      <c r="E165" s="15">
        <f>E163*2+E159</f>
        <v>0.73331279102962266</v>
      </c>
      <c r="F165" s="5"/>
      <c r="G165" t="s">
        <v>50</v>
      </c>
      <c r="H165" s="15">
        <f>(B154/E154)*0.02/(2*PI()*B155)</f>
        <v>7.9577471545947673E-2</v>
      </c>
    </row>
    <row r="166" spans="1:8" x14ac:dyDescent="0.25">
      <c r="A166" s="2" t="s">
        <v>9</v>
      </c>
      <c r="B166" s="2">
        <v>7.85</v>
      </c>
      <c r="D166" t="s">
        <v>27</v>
      </c>
      <c r="E166" s="11">
        <f>(E159+E163)*4</f>
        <v>1.8882626034150292</v>
      </c>
    </row>
    <row r="167" spans="1:8" x14ac:dyDescent="0.25">
      <c r="A167" s="2" t="s">
        <v>53</v>
      </c>
      <c r="B167" s="4">
        <f>3*0.00035/B165</f>
        <v>0.21</v>
      </c>
      <c r="D167" t="s">
        <v>29</v>
      </c>
      <c r="E167" s="15">
        <f>(E159/2+E163)*PI()</f>
        <v>1.1518850385410448</v>
      </c>
    </row>
    <row r="168" spans="1:8" x14ac:dyDescent="0.25">
      <c r="D168" t="s">
        <v>39</v>
      </c>
      <c r="E168" s="18">
        <f>E162*E166*B166*1000</f>
        <v>1011.661304723449</v>
      </c>
    </row>
    <row r="170" spans="1:8" x14ac:dyDescent="0.25">
      <c r="A170" s="46" t="s">
        <v>28</v>
      </c>
      <c r="B170" s="46"/>
      <c r="D170" s="46" t="s">
        <v>32</v>
      </c>
      <c r="E170" s="46"/>
      <c r="G170" s="46" t="s">
        <v>51</v>
      </c>
      <c r="H170" s="46"/>
    </row>
    <row r="171" spans="1:8" x14ac:dyDescent="0.25">
      <c r="A171" s="2" t="s">
        <v>36</v>
      </c>
      <c r="B171" s="2">
        <v>8940</v>
      </c>
      <c r="D171" t="s">
        <v>33</v>
      </c>
      <c r="E171" s="11">
        <f>(B172*(B157-20)*B173 + B172)*E155*E167/(E156*0.000001/E155)</f>
        <v>6.1581893997478394</v>
      </c>
      <c r="G171" t="s">
        <v>52</v>
      </c>
      <c r="H171" s="19">
        <f>E173*B174 + E168*B167</f>
        <v>1310.8864467446645</v>
      </c>
    </row>
    <row r="172" spans="1:8" x14ac:dyDescent="0.25">
      <c r="A172" s="2" t="s">
        <v>30</v>
      </c>
      <c r="B172" s="4">
        <v>1.6800000000000002E-8</v>
      </c>
      <c r="D172" t="s">
        <v>34</v>
      </c>
      <c r="E172" s="11">
        <f>(B172*(B157-20)*B173 + B172)*B160*E167/(E157*0.000001/B160)</f>
        <v>3.2336638309955044</v>
      </c>
      <c r="G172" t="s">
        <v>55</v>
      </c>
      <c r="H172" s="20">
        <f>(H154/1000)*20*365*24*0.07</f>
        <v>134766.3758512343</v>
      </c>
    </row>
    <row r="173" spans="1:8" x14ac:dyDescent="0.25">
      <c r="A173" s="2" t="s">
        <v>31</v>
      </c>
      <c r="B173" s="2">
        <v>3.8E-3</v>
      </c>
      <c r="D173" t="s">
        <v>35</v>
      </c>
      <c r="E173" s="17">
        <f>(B171*E156*0.000001*E167)+(B171*E157*0.000001*E167)</f>
        <v>137.30469659409252</v>
      </c>
    </row>
    <row r="174" spans="1:8" x14ac:dyDescent="0.25">
      <c r="A174" s="2" t="s">
        <v>54</v>
      </c>
      <c r="B174" s="2">
        <v>8</v>
      </c>
    </row>
    <row r="175" spans="1:8" x14ac:dyDescent="0.25">
      <c r="A175" s="24"/>
      <c r="B175" s="24"/>
      <c r="C175" s="24"/>
      <c r="D175" s="24"/>
      <c r="E175" s="24"/>
      <c r="F175" s="24"/>
      <c r="G175" s="24"/>
      <c r="H175" s="24"/>
    </row>
    <row r="176" spans="1:8" x14ac:dyDescent="0.25">
      <c r="A176" s="46" t="s">
        <v>0</v>
      </c>
      <c r="B176" s="46"/>
      <c r="C176" s="1"/>
      <c r="D176" s="46" t="s">
        <v>1</v>
      </c>
      <c r="E176" s="46"/>
      <c r="G176" s="46" t="s">
        <v>38</v>
      </c>
      <c r="H176" s="46"/>
    </row>
    <row r="177" spans="1:8" x14ac:dyDescent="0.25">
      <c r="A177" s="2" t="s">
        <v>13</v>
      </c>
      <c r="B177" s="2">
        <v>500000</v>
      </c>
      <c r="D177" t="s">
        <v>2</v>
      </c>
      <c r="E177" s="11">
        <f>B178/B179</f>
        <v>1.38</v>
      </c>
      <c r="G177" t="s">
        <v>41</v>
      </c>
      <c r="H177" s="7">
        <f>E178*E178*E196+E179*E179*E197</f>
        <v>2581.3708112846539</v>
      </c>
    </row>
    <row r="178" spans="1:8" x14ac:dyDescent="0.25">
      <c r="A178" s="2" t="s">
        <v>14</v>
      </c>
      <c r="B178" s="2">
        <v>34500</v>
      </c>
      <c r="D178" t="s">
        <v>22</v>
      </c>
      <c r="E178" s="11">
        <f>B177/B178</f>
        <v>14.492753623188406</v>
      </c>
      <c r="G178" t="s">
        <v>42</v>
      </c>
      <c r="H178" s="8">
        <f>B189*E193</f>
        <v>8720.7579765319661</v>
      </c>
    </row>
    <row r="179" spans="1:8" x14ac:dyDescent="0.25">
      <c r="A179" s="2" t="s">
        <v>15</v>
      </c>
      <c r="B179" s="2">
        <v>25000</v>
      </c>
      <c r="D179" t="s">
        <v>23</v>
      </c>
      <c r="E179" s="11">
        <f>B177/B179</f>
        <v>20</v>
      </c>
      <c r="G179" t="s">
        <v>43</v>
      </c>
      <c r="H179" s="6">
        <f>H177+H178</f>
        <v>11302.12878781662</v>
      </c>
    </row>
    <row r="180" spans="1:8" x14ac:dyDescent="0.25">
      <c r="A180" s="2" t="s">
        <v>16</v>
      </c>
      <c r="B180" s="2">
        <v>50</v>
      </c>
      <c r="D180" t="s">
        <v>5</v>
      </c>
      <c r="E180" s="17">
        <f>E177*B185</f>
        <v>1380</v>
      </c>
      <c r="G180" t="s">
        <v>40</v>
      </c>
      <c r="H180" s="9">
        <f>100*B177/(B177+H179)</f>
        <v>97.789540048540104</v>
      </c>
    </row>
    <row r="181" spans="1:8" x14ac:dyDescent="0.25">
      <c r="A181" s="2" t="s">
        <v>17</v>
      </c>
      <c r="B181" s="2">
        <v>-30</v>
      </c>
      <c r="D181" t="s">
        <v>45</v>
      </c>
      <c r="E181" s="11">
        <f>E180*(E178/B184)</f>
        <v>6666.666666666667</v>
      </c>
    </row>
    <row r="182" spans="1:8" x14ac:dyDescent="0.25">
      <c r="A182" s="2" t="s">
        <v>18</v>
      </c>
      <c r="B182" s="2">
        <v>50</v>
      </c>
      <c r="D182" t="s">
        <v>44</v>
      </c>
      <c r="E182" s="11">
        <f>B185*(E179/B184)</f>
        <v>6666.666666666667</v>
      </c>
    </row>
    <row r="183" spans="1:8" x14ac:dyDescent="0.25">
      <c r="A183" s="2" t="s">
        <v>7</v>
      </c>
      <c r="B183" s="2">
        <v>0.3</v>
      </c>
      <c r="D183" t="s">
        <v>11</v>
      </c>
      <c r="E183" s="13">
        <f>(E181+E182)*0.000001/B183</f>
        <v>4.4444444444444446E-2</v>
      </c>
    </row>
    <row r="184" spans="1:8" x14ac:dyDescent="0.25">
      <c r="A184" s="2" t="s">
        <v>10</v>
      </c>
      <c r="B184" s="2">
        <v>3</v>
      </c>
      <c r="D184" t="s">
        <v>12</v>
      </c>
      <c r="E184" s="14">
        <f>SQRT(E183)</f>
        <v>0.21081851067789195</v>
      </c>
    </row>
    <row r="185" spans="1:8" x14ac:dyDescent="0.25">
      <c r="A185" s="2" t="s">
        <v>6</v>
      </c>
      <c r="B185" s="21">
        <v>1000</v>
      </c>
    </row>
    <row r="186" spans="1:8" x14ac:dyDescent="0.25">
      <c r="A186" s="46" t="s">
        <v>3</v>
      </c>
      <c r="B186" s="46"/>
      <c r="D186" s="46" t="s">
        <v>4</v>
      </c>
      <c r="E186" s="46"/>
      <c r="G186" s="46" t="s">
        <v>46</v>
      </c>
      <c r="H186" s="46"/>
    </row>
    <row r="187" spans="1:8" x14ac:dyDescent="0.25">
      <c r="A187" s="2" t="s">
        <v>19</v>
      </c>
      <c r="B187" s="3">
        <v>1.66</v>
      </c>
      <c r="D187" t="s">
        <v>24</v>
      </c>
      <c r="E187" s="10">
        <f>B178/(4.44*B180*E180*B187)</f>
        <v>6.7838923260610001E-2</v>
      </c>
      <c r="G187" t="s">
        <v>47</v>
      </c>
      <c r="H187" s="22">
        <f>E191/(E187*B188*4*PI()*0.0000001)</f>
        <v>41880.709648875156</v>
      </c>
    </row>
    <row r="188" spans="1:8" x14ac:dyDescent="0.25">
      <c r="A188" s="2" t="s">
        <v>20</v>
      </c>
      <c r="B188" s="2">
        <v>528</v>
      </c>
      <c r="D188" t="s">
        <v>37</v>
      </c>
      <c r="E188" s="11">
        <f>SQRT(E187)</f>
        <v>0.26045906254267676</v>
      </c>
      <c r="G188" t="s">
        <v>48</v>
      </c>
      <c r="H188" s="16">
        <f>E180*E180/H187</f>
        <v>45.472008854824857</v>
      </c>
    </row>
    <row r="189" spans="1:8" x14ac:dyDescent="0.25">
      <c r="A189" s="2" t="s">
        <v>8</v>
      </c>
      <c r="B189" s="2">
        <f>7.9*1.66/1.5</f>
        <v>8.7426666666666666</v>
      </c>
      <c r="D189" t="s">
        <v>25</v>
      </c>
      <c r="E189" s="12">
        <f>B187/(B188*4*0.0000001*PI())</f>
        <v>2501.8674766339609</v>
      </c>
      <c r="G189" t="s">
        <v>49</v>
      </c>
      <c r="H189" s="15">
        <f>(B178/E178)*0.02/(2*PI()*B180)</f>
        <v>0.15154733681210272</v>
      </c>
    </row>
    <row r="190" spans="1:8" x14ac:dyDescent="0.25">
      <c r="A190" s="2" t="s">
        <v>21</v>
      </c>
      <c r="B190" s="4">
        <v>6.4999999999999997E-3</v>
      </c>
      <c r="D190" t="s">
        <v>26</v>
      </c>
      <c r="E190" s="15">
        <f>E188*2+E184</f>
        <v>0.73173663576324544</v>
      </c>
      <c r="F190" s="5"/>
      <c r="G190" t="s">
        <v>50</v>
      </c>
      <c r="H190" s="15">
        <f>(B179/E179)*0.02/(2*PI()*B180)</f>
        <v>7.9577471545947673E-2</v>
      </c>
    </row>
    <row r="191" spans="1:8" x14ac:dyDescent="0.25">
      <c r="A191" s="2" t="s">
        <v>9</v>
      </c>
      <c r="B191" s="2">
        <v>7.8</v>
      </c>
      <c r="D191" t="s">
        <v>27</v>
      </c>
      <c r="E191" s="11">
        <f>(E184+E188)*4</f>
        <v>1.8851102928822749</v>
      </c>
    </row>
    <row r="192" spans="1:8" x14ac:dyDescent="0.25">
      <c r="A192" s="2" t="s">
        <v>53</v>
      </c>
      <c r="B192" s="4">
        <f>3*0.00035/B190</f>
        <v>0.16153846153846155</v>
      </c>
      <c r="D192" t="s">
        <v>29</v>
      </c>
      <c r="E192" s="15">
        <f>(E184/2+E188)*PI()</f>
        <v>1.1494092196381611</v>
      </c>
    </row>
    <row r="193" spans="1:8" x14ac:dyDescent="0.25">
      <c r="D193" t="s">
        <v>39</v>
      </c>
      <c r="E193" s="18">
        <f>E187*E191*B191*1000</f>
        <v>997.49404947368828</v>
      </c>
    </row>
    <row r="195" spans="1:8" x14ac:dyDescent="0.25">
      <c r="A195" s="46" t="s">
        <v>28</v>
      </c>
      <c r="B195" s="46"/>
      <c r="D195" s="46" t="s">
        <v>32</v>
      </c>
      <c r="E195" s="46"/>
      <c r="G195" s="46" t="s">
        <v>51</v>
      </c>
      <c r="H195" s="46"/>
    </row>
    <row r="196" spans="1:8" x14ac:dyDescent="0.25">
      <c r="A196" s="2" t="s">
        <v>36</v>
      </c>
      <c r="B196" s="2">
        <v>8940</v>
      </c>
      <c r="D196" t="s">
        <v>33</v>
      </c>
      <c r="E196" s="11">
        <f>(B197*(B182-20)*B198 + B197)*E180*E192/(E181*0.000001/E180)</f>
        <v>6.1449532162631186</v>
      </c>
      <c r="G196" t="s">
        <v>52</v>
      </c>
      <c r="H196" s="19">
        <f>E198*B199 + E193*B192</f>
        <v>1257.2102859926999</v>
      </c>
    </row>
    <row r="197" spans="1:8" x14ac:dyDescent="0.25">
      <c r="A197" s="2" t="s">
        <v>30</v>
      </c>
      <c r="B197" s="4">
        <v>1.6800000000000002E-8</v>
      </c>
      <c r="D197" t="s">
        <v>34</v>
      </c>
      <c r="E197" s="11">
        <f>(B197*(B182-20)*B198 + B197)*B185*E192/(E182*0.000001/B185)</f>
        <v>3.2267135141058172</v>
      </c>
      <c r="G197" t="s">
        <v>55</v>
      </c>
      <c r="H197" s="20">
        <f>(H179/1000)*20*365*24*0.07</f>
        <v>138609.30745378305</v>
      </c>
    </row>
    <row r="198" spans="1:8" x14ac:dyDescent="0.25">
      <c r="A198" s="2" t="s">
        <v>31</v>
      </c>
      <c r="B198" s="2">
        <v>3.8E-3</v>
      </c>
      <c r="D198" t="s">
        <v>35</v>
      </c>
      <c r="E198" s="17">
        <f>(B196*E181*0.000001*E192)+(B196*E182*0.000001*E192)</f>
        <v>137.00957898086878</v>
      </c>
    </row>
    <row r="199" spans="1:8" x14ac:dyDescent="0.25">
      <c r="A199" s="2" t="s">
        <v>54</v>
      </c>
      <c r="B199" s="2">
        <v>8</v>
      </c>
    </row>
    <row r="200" spans="1:8" x14ac:dyDescent="0.25">
      <c r="A200" s="24"/>
      <c r="B200" s="24"/>
      <c r="C200" s="24"/>
      <c r="D200" s="24"/>
      <c r="E200" s="24"/>
      <c r="F200" s="24"/>
      <c r="G200" s="24"/>
      <c r="H200" s="24"/>
    </row>
    <row r="201" spans="1:8" x14ac:dyDescent="0.25">
      <c r="A201" s="46" t="s">
        <v>0</v>
      </c>
      <c r="B201" s="46"/>
      <c r="C201" s="1"/>
      <c r="D201" s="46" t="s">
        <v>1</v>
      </c>
      <c r="E201" s="46"/>
      <c r="G201" s="46" t="s">
        <v>38</v>
      </c>
      <c r="H201" s="46"/>
    </row>
    <row r="202" spans="1:8" x14ac:dyDescent="0.25">
      <c r="A202" s="2" t="s">
        <v>13</v>
      </c>
      <c r="B202" s="2">
        <v>500000</v>
      </c>
      <c r="D202" t="s">
        <v>2</v>
      </c>
      <c r="E202" s="11">
        <f>B203/B204</f>
        <v>1.38</v>
      </c>
      <c r="G202" t="s">
        <v>41</v>
      </c>
      <c r="H202" s="7">
        <f>E203*E203*E221+E204*E204*E222</f>
        <v>2586.9310647964039</v>
      </c>
    </row>
    <row r="203" spans="1:8" x14ac:dyDescent="0.25">
      <c r="A203" s="2" t="s">
        <v>14</v>
      </c>
      <c r="B203" s="2">
        <v>34500</v>
      </c>
      <c r="D203" t="s">
        <v>22</v>
      </c>
      <c r="E203" s="11">
        <f>B202/B203</f>
        <v>14.492753623188406</v>
      </c>
      <c r="G203" t="s">
        <v>42</v>
      </c>
      <c r="H203" s="8">
        <f>B214*E218</f>
        <v>9830.0229313817508</v>
      </c>
    </row>
    <row r="204" spans="1:8" x14ac:dyDescent="0.25">
      <c r="A204" s="2" t="s">
        <v>15</v>
      </c>
      <c r="B204" s="2">
        <v>25000</v>
      </c>
      <c r="D204" t="s">
        <v>23</v>
      </c>
      <c r="E204" s="11">
        <f>B202/B204</f>
        <v>20</v>
      </c>
      <c r="G204" t="s">
        <v>43</v>
      </c>
      <c r="H204" s="6">
        <f>H202+H203</f>
        <v>12416.953996178156</v>
      </c>
    </row>
    <row r="205" spans="1:8" x14ac:dyDescent="0.25">
      <c r="A205" s="2" t="s">
        <v>16</v>
      </c>
      <c r="B205" s="2">
        <v>50</v>
      </c>
      <c r="D205" t="s">
        <v>5</v>
      </c>
      <c r="E205" s="17">
        <f>E202*B210</f>
        <v>1380</v>
      </c>
      <c r="G205" t="s">
        <v>40</v>
      </c>
      <c r="H205" s="9">
        <f>100*B202/(B202+H204)</f>
        <v>97.576787048253919</v>
      </c>
    </row>
    <row r="206" spans="1:8" x14ac:dyDescent="0.25">
      <c r="A206" s="2" t="s">
        <v>17</v>
      </c>
      <c r="B206" s="2">
        <v>-30</v>
      </c>
      <c r="D206" t="s">
        <v>45</v>
      </c>
      <c r="E206" s="11">
        <f>E205*(E203/B209)</f>
        <v>6666.666666666667</v>
      </c>
    </row>
    <row r="207" spans="1:8" x14ac:dyDescent="0.25">
      <c r="A207" s="2" t="s">
        <v>18</v>
      </c>
      <c r="B207" s="2">
        <v>50</v>
      </c>
      <c r="D207" t="s">
        <v>44</v>
      </c>
      <c r="E207" s="11">
        <f>B210*(E204/B209)</f>
        <v>6666.666666666667</v>
      </c>
    </row>
    <row r="208" spans="1:8" x14ac:dyDescent="0.25">
      <c r="A208" s="2" t="s">
        <v>7</v>
      </c>
      <c r="B208" s="2">
        <v>0.3</v>
      </c>
      <c r="D208" t="s">
        <v>11</v>
      </c>
      <c r="E208" s="13">
        <f>(E206+E207)*0.000001/B208</f>
        <v>4.4444444444444446E-2</v>
      </c>
    </row>
    <row r="209" spans="1:8" x14ac:dyDescent="0.25">
      <c r="A209" s="2" t="s">
        <v>10</v>
      </c>
      <c r="B209" s="2">
        <v>3</v>
      </c>
      <c r="D209" t="s">
        <v>12</v>
      </c>
      <c r="E209" s="14">
        <f>SQRT(E208)</f>
        <v>0.21081851067789195</v>
      </c>
    </row>
    <row r="210" spans="1:8" x14ac:dyDescent="0.25">
      <c r="A210" s="2" t="s">
        <v>6</v>
      </c>
      <c r="B210" s="21">
        <v>1000</v>
      </c>
    </row>
    <row r="211" spans="1:8" x14ac:dyDescent="0.25">
      <c r="A211" s="46" t="s">
        <v>3</v>
      </c>
      <c r="B211" s="46"/>
      <c r="D211" s="46" t="s">
        <v>4</v>
      </c>
      <c r="E211" s="46"/>
      <c r="G211" s="46" t="s">
        <v>46</v>
      </c>
      <c r="H211" s="46"/>
    </row>
    <row r="212" spans="1:8" x14ac:dyDescent="0.25">
      <c r="A212" s="2" t="s">
        <v>19</v>
      </c>
      <c r="B212" s="3">
        <v>1.65</v>
      </c>
      <c r="D212" t="s">
        <v>24</v>
      </c>
      <c r="E212" s="10">
        <f>B203/(4.44*B205*E205*B212)</f>
        <v>6.8250068250068241E-2</v>
      </c>
      <c r="G212" t="s">
        <v>47</v>
      </c>
      <c r="H212" s="22">
        <f>E216/(E212*B213*4*PI()*0.0000001)</f>
        <v>41936.302342612384</v>
      </c>
    </row>
    <row r="213" spans="1:8" x14ac:dyDescent="0.25">
      <c r="A213" s="2" t="s">
        <v>20</v>
      </c>
      <c r="B213" s="2">
        <v>525</v>
      </c>
      <c r="D213" t="s">
        <v>37</v>
      </c>
      <c r="E213" s="11">
        <f>SQRT(E212)</f>
        <v>0.26124714017586537</v>
      </c>
      <c r="G213" t="s">
        <v>48</v>
      </c>
      <c r="H213" s="16">
        <f>E205*E205/H212</f>
        <v>45.41172906570015</v>
      </c>
    </row>
    <row r="214" spans="1:8" x14ac:dyDescent="0.25">
      <c r="A214" s="2" t="s">
        <v>8</v>
      </c>
      <c r="B214" s="2">
        <f>8.89*1.65/1.5</f>
        <v>9.7789999999999999</v>
      </c>
      <c r="D214" t="s">
        <v>25</v>
      </c>
      <c r="E214" s="12">
        <f>B212/(B213*4*0.0000001*PI())</f>
        <v>2501.0062485869271</v>
      </c>
      <c r="G214" t="s">
        <v>49</v>
      </c>
      <c r="H214" s="15">
        <f>(B203/E203)*0.02/(2*PI()*B205)</f>
        <v>0.15154733681210272</v>
      </c>
    </row>
    <row r="215" spans="1:8" x14ac:dyDescent="0.25">
      <c r="A215" s="2" t="s">
        <v>21</v>
      </c>
      <c r="B215" s="4">
        <v>0.01</v>
      </c>
      <c r="D215" t="s">
        <v>26</v>
      </c>
      <c r="E215" s="15">
        <f>E213*2+E209</f>
        <v>0.73331279102962266</v>
      </c>
      <c r="F215" s="5"/>
      <c r="G215" t="s">
        <v>50</v>
      </c>
      <c r="H215" s="15">
        <f>(B204/E204)*0.02/(2*PI()*B205)</f>
        <v>7.9577471545947673E-2</v>
      </c>
    </row>
    <row r="216" spans="1:8" x14ac:dyDescent="0.25">
      <c r="A216" s="2" t="s">
        <v>9</v>
      </c>
      <c r="B216" s="2">
        <v>7.8</v>
      </c>
      <c r="D216" t="s">
        <v>27</v>
      </c>
      <c r="E216" s="11">
        <f>(E209+E213)*4</f>
        <v>1.8882626034150292</v>
      </c>
    </row>
    <row r="217" spans="1:8" x14ac:dyDescent="0.25">
      <c r="A217" s="2" t="s">
        <v>53</v>
      </c>
      <c r="B217" s="4">
        <f>3*0.00035/B215</f>
        <v>0.105</v>
      </c>
      <c r="D217" t="s">
        <v>29</v>
      </c>
      <c r="E217" s="15">
        <f>(E209/2+E213)*PI()</f>
        <v>1.1518850385410448</v>
      </c>
    </row>
    <row r="218" spans="1:8" x14ac:dyDescent="0.25">
      <c r="D218" t="s">
        <v>39</v>
      </c>
      <c r="E218" s="18">
        <f>E212*E216*B216*1000</f>
        <v>1005.2176021455928</v>
      </c>
    </row>
    <row r="220" spans="1:8" x14ac:dyDescent="0.25">
      <c r="A220" s="46" t="s">
        <v>28</v>
      </c>
      <c r="B220" s="46"/>
      <c r="D220" s="46" t="s">
        <v>32</v>
      </c>
      <c r="E220" s="46"/>
      <c r="G220" s="46" t="s">
        <v>51</v>
      </c>
      <c r="H220" s="46"/>
    </row>
    <row r="221" spans="1:8" x14ac:dyDescent="0.25">
      <c r="A221" s="2" t="s">
        <v>36</v>
      </c>
      <c r="B221" s="2">
        <v>8940</v>
      </c>
      <c r="D221" t="s">
        <v>33</v>
      </c>
      <c r="E221" s="11">
        <f>(B222*(B207-20)*B223 + B222)*E205*E217/(E206*0.000001/E205)</f>
        <v>6.1581893997478394</v>
      </c>
      <c r="G221" t="s">
        <v>52</v>
      </c>
      <c r="H221" s="19">
        <f>E223*B224 + E218*B217</f>
        <v>1203.9854209780274</v>
      </c>
    </row>
    <row r="222" spans="1:8" x14ac:dyDescent="0.25">
      <c r="A222" s="2" t="s">
        <v>30</v>
      </c>
      <c r="B222" s="4">
        <v>1.6800000000000002E-8</v>
      </c>
      <c r="D222" t="s">
        <v>34</v>
      </c>
      <c r="E222" s="11">
        <f>(B222*(B207-20)*B223 + B222)*B210*E217/(E207*0.000001/B210)</f>
        <v>3.2336638309955044</v>
      </c>
      <c r="G222" t="s">
        <v>55</v>
      </c>
      <c r="H222" s="20">
        <f>(H204/1000)*20*365*24*0.07</f>
        <v>152281.52380912891</v>
      </c>
    </row>
    <row r="223" spans="1:8" x14ac:dyDescent="0.25">
      <c r="A223" s="2" t="s">
        <v>31</v>
      </c>
      <c r="B223" s="2">
        <v>3.8E-3</v>
      </c>
      <c r="D223" t="s">
        <v>35</v>
      </c>
      <c r="E223" s="17">
        <f>(B221*E206*0.000001*E217)+(B221*E207*0.000001*E217)</f>
        <v>137.30469659409252</v>
      </c>
    </row>
    <row r="224" spans="1:8" x14ac:dyDescent="0.25">
      <c r="A224" s="2" t="s">
        <v>54</v>
      </c>
      <c r="B224" s="2">
        <v>8</v>
      </c>
    </row>
    <row r="225" spans="1:8" x14ac:dyDescent="0.25">
      <c r="A225" s="24"/>
      <c r="B225" s="24"/>
      <c r="C225" s="24"/>
      <c r="D225" s="24"/>
      <c r="E225" s="24"/>
      <c r="F225" s="24"/>
      <c r="G225" s="24"/>
      <c r="H225" s="24"/>
    </row>
    <row r="226" spans="1:8" x14ac:dyDescent="0.25">
      <c r="A226" s="47"/>
      <c r="B226" s="47"/>
      <c r="C226" s="23"/>
      <c r="D226" s="47"/>
      <c r="E226" s="47"/>
      <c r="F226" s="24"/>
      <c r="G226" s="47"/>
      <c r="H226" s="47"/>
    </row>
    <row r="227" spans="1:8" x14ac:dyDescent="0.25">
      <c r="A227" s="24"/>
      <c r="B227" s="24"/>
      <c r="C227" s="24"/>
      <c r="D227" s="24"/>
      <c r="E227" s="25"/>
      <c r="F227" s="24"/>
      <c r="G227" s="24"/>
      <c r="H227" s="26"/>
    </row>
    <row r="228" spans="1:8" x14ac:dyDescent="0.25">
      <c r="A228" s="24"/>
      <c r="B228" s="24"/>
      <c r="C228" s="24"/>
      <c r="D228" s="24"/>
      <c r="E228" s="25"/>
      <c r="F228" s="24"/>
      <c r="G228" s="24"/>
      <c r="H228" s="27"/>
    </row>
    <row r="229" spans="1:8" x14ac:dyDescent="0.25">
      <c r="A229" s="24"/>
      <c r="B229" s="24"/>
      <c r="C229" s="24"/>
      <c r="D229" s="24"/>
      <c r="E229" s="25"/>
      <c r="F229" s="24"/>
      <c r="G229" s="24"/>
      <c r="H229" s="28"/>
    </row>
    <row r="230" spans="1:8" x14ac:dyDescent="0.25">
      <c r="A230" s="24"/>
      <c r="B230" s="24"/>
      <c r="C230" s="24"/>
      <c r="D230" s="24"/>
      <c r="E230" s="29"/>
      <c r="F230" s="24"/>
      <c r="G230" s="24"/>
      <c r="H230" s="30"/>
    </row>
    <row r="231" spans="1:8" x14ac:dyDescent="0.25">
      <c r="A231" s="24"/>
      <c r="B231" s="24"/>
      <c r="C231" s="24"/>
      <c r="D231" s="24"/>
      <c r="E231" s="25"/>
      <c r="F231" s="24"/>
      <c r="G231" s="24"/>
      <c r="H231" s="24"/>
    </row>
    <row r="232" spans="1:8" x14ac:dyDescent="0.25">
      <c r="A232" s="24"/>
      <c r="B232" s="24"/>
      <c r="C232" s="24"/>
      <c r="D232" s="24"/>
      <c r="E232" s="25"/>
      <c r="F232" s="24"/>
      <c r="G232" s="24"/>
      <c r="H232" s="24"/>
    </row>
    <row r="233" spans="1:8" x14ac:dyDescent="0.25">
      <c r="A233" s="24"/>
      <c r="B233" s="24"/>
      <c r="C233" s="24"/>
      <c r="D233" s="24"/>
      <c r="E233" s="31"/>
      <c r="F233" s="24"/>
      <c r="G233" s="24"/>
      <c r="H233" s="24"/>
    </row>
    <row r="234" spans="1:8" x14ac:dyDescent="0.25">
      <c r="A234" s="24"/>
      <c r="B234" s="24"/>
      <c r="C234" s="24"/>
      <c r="D234" s="24"/>
      <c r="E234" s="32"/>
      <c r="F234" s="24"/>
      <c r="G234" s="24"/>
      <c r="H234" s="24"/>
    </row>
    <row r="235" spans="1:8" x14ac:dyDescent="0.25">
      <c r="A235" s="24"/>
      <c r="B235" s="33"/>
      <c r="C235" s="24"/>
      <c r="D235" s="24"/>
      <c r="E235" s="24"/>
      <c r="F235" s="24"/>
      <c r="G235" s="24"/>
      <c r="H235" s="24"/>
    </row>
    <row r="236" spans="1:8" x14ac:dyDescent="0.25">
      <c r="A236" s="47"/>
      <c r="B236" s="47"/>
      <c r="C236" s="24"/>
      <c r="D236" s="47"/>
      <c r="E236" s="47"/>
      <c r="F236" s="24"/>
      <c r="G236" s="47"/>
      <c r="H236" s="47"/>
    </row>
    <row r="237" spans="1:8" x14ac:dyDescent="0.25">
      <c r="A237" s="24"/>
      <c r="B237" s="24"/>
      <c r="C237" s="24"/>
      <c r="D237" s="24"/>
      <c r="E237" s="34"/>
      <c r="F237" s="24"/>
      <c r="G237" s="24"/>
      <c r="H237" s="35"/>
    </row>
    <row r="238" spans="1:8" x14ac:dyDescent="0.25">
      <c r="A238" s="24"/>
      <c r="B238" s="24"/>
      <c r="C238" s="24"/>
      <c r="D238" s="24"/>
      <c r="E238" s="25"/>
      <c r="F238" s="24"/>
      <c r="G238" s="24"/>
      <c r="H238" s="36"/>
    </row>
    <row r="239" spans="1:8" x14ac:dyDescent="0.25">
      <c r="A239" s="24"/>
      <c r="B239" s="24"/>
      <c r="C239" s="24"/>
      <c r="D239" s="24"/>
      <c r="E239" s="37"/>
      <c r="F239" s="24"/>
      <c r="G239" s="24"/>
      <c r="H239" s="38"/>
    </row>
    <row r="240" spans="1:8" x14ac:dyDescent="0.25">
      <c r="A240" s="24"/>
      <c r="B240" s="39"/>
      <c r="C240" s="24"/>
      <c r="D240" s="24"/>
      <c r="E240" s="38"/>
      <c r="F240" s="40"/>
      <c r="G240" s="24"/>
      <c r="H240" s="38"/>
    </row>
    <row r="241" spans="1:8" x14ac:dyDescent="0.25">
      <c r="A241" s="24"/>
      <c r="B241" s="24"/>
      <c r="C241" s="24"/>
      <c r="D241" s="24"/>
      <c r="E241" s="25"/>
      <c r="F241" s="24"/>
      <c r="G241" s="24"/>
      <c r="H241" s="24"/>
    </row>
    <row r="242" spans="1:8" x14ac:dyDescent="0.25">
      <c r="A242" s="24"/>
      <c r="B242" s="24"/>
      <c r="C242" s="24"/>
      <c r="D242" s="24"/>
      <c r="E242" s="38"/>
      <c r="F242" s="24"/>
      <c r="G242" s="24"/>
      <c r="H242" s="24"/>
    </row>
    <row r="243" spans="1:8" x14ac:dyDescent="0.25">
      <c r="A243" s="24"/>
      <c r="B243" s="24"/>
      <c r="C243" s="24"/>
      <c r="D243" s="24"/>
      <c r="E243" s="41"/>
      <c r="F243" s="24"/>
      <c r="G243" s="24"/>
      <c r="H243" s="24"/>
    </row>
    <row r="244" spans="1:8" x14ac:dyDescent="0.25">
      <c r="A244" s="24"/>
      <c r="B244" s="24"/>
      <c r="C244" s="24"/>
      <c r="D244" s="24"/>
      <c r="E244" s="24"/>
      <c r="F244" s="24"/>
      <c r="G244" s="24"/>
      <c r="H244" s="24"/>
    </row>
    <row r="245" spans="1:8" x14ac:dyDescent="0.25">
      <c r="A245" s="47"/>
      <c r="B245" s="47"/>
      <c r="C245" s="24"/>
      <c r="D245" s="47"/>
      <c r="E245" s="47"/>
      <c r="F245" s="24"/>
      <c r="G245" s="47"/>
      <c r="H245" s="47"/>
    </row>
    <row r="246" spans="1:8" x14ac:dyDescent="0.25">
      <c r="A246" s="24"/>
      <c r="B246" s="24"/>
      <c r="C246" s="24"/>
      <c r="D246" s="24"/>
      <c r="E246" s="25"/>
      <c r="F246" s="24"/>
      <c r="G246" s="24"/>
      <c r="H246" s="42"/>
    </row>
    <row r="247" spans="1:8" x14ac:dyDescent="0.25">
      <c r="A247" s="24"/>
      <c r="B247" s="39"/>
      <c r="C247" s="24"/>
      <c r="D247" s="24"/>
      <c r="E247" s="25"/>
      <c r="F247" s="24"/>
      <c r="G247" s="24"/>
      <c r="H247" s="43"/>
    </row>
    <row r="248" spans="1:8" x14ac:dyDescent="0.25">
      <c r="A248" s="24"/>
      <c r="B248" s="24"/>
      <c r="C248" s="24"/>
      <c r="D248" s="24"/>
      <c r="E248" s="29"/>
      <c r="F248" s="24"/>
      <c r="G248" s="24"/>
      <c r="H248" s="24"/>
    </row>
    <row r="249" spans="1:8" x14ac:dyDescent="0.25">
      <c r="A249" s="24"/>
      <c r="B249" s="24"/>
      <c r="C249" s="24"/>
      <c r="D249" s="24"/>
      <c r="E249" s="24"/>
      <c r="F249" s="24"/>
      <c r="G249" s="24"/>
      <c r="H249" s="24"/>
    </row>
  </sheetData>
  <mergeCells count="90">
    <mergeCell ref="A1:B1"/>
    <mergeCell ref="D1:E1"/>
    <mergeCell ref="G1:H1"/>
    <mergeCell ref="A11:B11"/>
    <mergeCell ref="D11:E11"/>
    <mergeCell ref="G11:H11"/>
    <mergeCell ref="A20:B20"/>
    <mergeCell ref="D20:E20"/>
    <mergeCell ref="G20:H20"/>
    <mergeCell ref="A26:B26"/>
    <mergeCell ref="D26:E26"/>
    <mergeCell ref="G26:H26"/>
    <mergeCell ref="A36:B36"/>
    <mergeCell ref="D36:E36"/>
    <mergeCell ref="G36:H36"/>
    <mergeCell ref="A45:B45"/>
    <mergeCell ref="D45:E45"/>
    <mergeCell ref="G45:H45"/>
    <mergeCell ref="A51:B51"/>
    <mergeCell ref="D51:E51"/>
    <mergeCell ref="G51:H51"/>
    <mergeCell ref="A61:B61"/>
    <mergeCell ref="D61:E61"/>
    <mergeCell ref="G61:H61"/>
    <mergeCell ref="A70:B70"/>
    <mergeCell ref="D70:E70"/>
    <mergeCell ref="G70:H70"/>
    <mergeCell ref="A76:B76"/>
    <mergeCell ref="D76:E76"/>
    <mergeCell ref="G76:H76"/>
    <mergeCell ref="A86:B86"/>
    <mergeCell ref="D86:E86"/>
    <mergeCell ref="G86:H86"/>
    <mergeCell ref="A95:B95"/>
    <mergeCell ref="D95:E95"/>
    <mergeCell ref="G95:H95"/>
    <mergeCell ref="A101:B101"/>
    <mergeCell ref="D101:E101"/>
    <mergeCell ref="G101:H101"/>
    <mergeCell ref="A111:B111"/>
    <mergeCell ref="D111:E111"/>
    <mergeCell ref="G111:H111"/>
    <mergeCell ref="A120:B120"/>
    <mergeCell ref="D120:E120"/>
    <mergeCell ref="G120:H120"/>
    <mergeCell ref="A126:B126"/>
    <mergeCell ref="D126:E126"/>
    <mergeCell ref="G126:H126"/>
    <mergeCell ref="A136:B136"/>
    <mergeCell ref="D136:E136"/>
    <mergeCell ref="G136:H136"/>
    <mergeCell ref="A145:B145"/>
    <mergeCell ref="D145:E145"/>
    <mergeCell ref="G145:H145"/>
    <mergeCell ref="A151:B151"/>
    <mergeCell ref="D151:E151"/>
    <mergeCell ref="G151:H151"/>
    <mergeCell ref="A161:B161"/>
    <mergeCell ref="D161:E161"/>
    <mergeCell ref="G161:H161"/>
    <mergeCell ref="A170:B170"/>
    <mergeCell ref="D170:E170"/>
    <mergeCell ref="G170:H170"/>
    <mergeCell ref="A176:B176"/>
    <mergeCell ref="D176:E176"/>
    <mergeCell ref="G176:H176"/>
    <mergeCell ref="A186:B186"/>
    <mergeCell ref="D186:E186"/>
    <mergeCell ref="G186:H186"/>
    <mergeCell ref="A195:B195"/>
    <mergeCell ref="D195:E195"/>
    <mergeCell ref="G195:H195"/>
    <mergeCell ref="A201:B201"/>
    <mergeCell ref="D201:E201"/>
    <mergeCell ref="G201:H201"/>
    <mergeCell ref="A211:B211"/>
    <mergeCell ref="D211:E211"/>
    <mergeCell ref="G211:H211"/>
    <mergeCell ref="A220:B220"/>
    <mergeCell ref="D220:E220"/>
    <mergeCell ref="G220:H220"/>
    <mergeCell ref="A226:B226"/>
    <mergeCell ref="D226:E226"/>
    <mergeCell ref="G226:H226"/>
    <mergeCell ref="A236:B236"/>
    <mergeCell ref="D236:E236"/>
    <mergeCell ref="G236:H236"/>
    <mergeCell ref="A245:B245"/>
    <mergeCell ref="D245:E245"/>
    <mergeCell ref="G245:H2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Single Design</vt:lpstr>
      <vt:lpstr>Turn Number changes</vt:lpstr>
      <vt:lpstr>Core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2018-03-28T12:44:32Z</dcterms:modified>
</cp:coreProperties>
</file>