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80" windowHeight="1177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I7" i="1"/>
  <c r="F8"/>
  <c r="I11" s="1"/>
  <c r="I13"/>
  <c r="I24"/>
  <c r="B5"/>
  <c r="I21" s="1"/>
  <c r="B2"/>
  <c r="B3"/>
  <c r="I20"/>
  <c r="I19"/>
  <c r="I18"/>
  <c r="I17"/>
  <c r="I16"/>
  <c r="I14"/>
  <c r="I12"/>
  <c r="I5"/>
  <c r="B22"/>
  <c r="B21"/>
  <c r="B14"/>
  <c r="F2"/>
  <c r="F3"/>
  <c r="F6" s="1"/>
  <c r="F5"/>
  <c r="F4"/>
  <c r="B15"/>
  <c r="B10"/>
  <c r="B7"/>
  <c r="B6"/>
  <c r="B4"/>
  <c r="I15" l="1"/>
  <c r="E22"/>
  <c r="B19"/>
  <c r="B20" s="1"/>
  <c r="I10"/>
  <c r="I2"/>
  <c r="B8"/>
  <c r="B12" s="1"/>
  <c r="B11"/>
  <c r="I3" l="1"/>
  <c r="I6" s="1"/>
  <c r="I4"/>
  <c r="I9" l="1"/>
  <c r="I23" s="1"/>
  <c r="I25" s="1"/>
  <c r="I8"/>
</calcChain>
</file>

<file path=xl/sharedStrings.xml><?xml version="1.0" encoding="utf-8"?>
<sst xmlns="http://schemas.openxmlformats.org/spreadsheetml/2006/main" count="67" uniqueCount="66">
  <si>
    <t>Vin</t>
  </si>
  <si>
    <t>Vout</t>
  </si>
  <si>
    <t>Iout</t>
  </si>
  <si>
    <t>freq</t>
  </si>
  <si>
    <t>Kind</t>
  </si>
  <si>
    <t>delta I ind</t>
  </si>
  <si>
    <t>L min</t>
  </si>
  <si>
    <t>C out min</t>
  </si>
  <si>
    <t>desired ripple</t>
  </si>
  <si>
    <t>C out min for over shoot</t>
  </si>
  <si>
    <t>over shoot 5%</t>
  </si>
  <si>
    <t>power losses</t>
  </si>
  <si>
    <t>selected L</t>
  </si>
  <si>
    <t>selected C out</t>
  </si>
  <si>
    <t>converter specs</t>
  </si>
  <si>
    <t>I p</t>
  </si>
  <si>
    <t>I v</t>
  </si>
  <si>
    <t>Rds on</t>
  </si>
  <si>
    <t>mosfet selection</t>
  </si>
  <si>
    <t>inductor ripple</t>
  </si>
  <si>
    <t xml:space="preserve">max duty or duty </t>
  </si>
  <si>
    <t>Isw max</t>
  </si>
  <si>
    <t>P on H mos</t>
  </si>
  <si>
    <t>P on L mos</t>
  </si>
  <si>
    <t>P sw H mos</t>
  </si>
  <si>
    <t>driver selection??</t>
  </si>
  <si>
    <t>Ceq</t>
  </si>
  <si>
    <t>Qg max</t>
  </si>
  <si>
    <t>desired rise fall time</t>
  </si>
  <si>
    <t>driving Vgs</t>
  </si>
  <si>
    <t>P sw L mos</t>
  </si>
  <si>
    <t>P L dcr</t>
  </si>
  <si>
    <t>L dcr</t>
  </si>
  <si>
    <t>I peak min required</t>
  </si>
  <si>
    <t>P Reverse R L</t>
  </si>
  <si>
    <t>Dead time loss</t>
  </si>
  <si>
    <t>Dead time</t>
  </si>
  <si>
    <t>conduction loss</t>
  </si>
  <si>
    <t>switching loss</t>
  </si>
  <si>
    <t>mosfet treshold</t>
  </si>
  <si>
    <t>Crss(Cgd)</t>
  </si>
  <si>
    <t>Ciss(Cgd+Cgs)</t>
  </si>
  <si>
    <t>c voltage divider</t>
  </si>
  <si>
    <t>closing miller??</t>
  </si>
  <si>
    <t>max Iout</t>
  </si>
  <si>
    <t>rise+fall time</t>
  </si>
  <si>
    <t>Irr</t>
  </si>
  <si>
    <t>tRR</t>
  </si>
  <si>
    <t>??</t>
  </si>
  <si>
    <t>Schottky's Irr</t>
  </si>
  <si>
    <t>Vd</t>
  </si>
  <si>
    <t>Schottky's Vd</t>
  </si>
  <si>
    <t>average</t>
  </si>
  <si>
    <t>missing parts</t>
  </si>
  <si>
    <t>Qg H</t>
  </si>
  <si>
    <t>Qg L</t>
  </si>
  <si>
    <t>P gate</t>
  </si>
  <si>
    <t>gate charge loss</t>
  </si>
  <si>
    <t>Gate Voltage</t>
  </si>
  <si>
    <t>ic/operation loss</t>
  </si>
  <si>
    <t>capacitor losses</t>
  </si>
  <si>
    <t>Total Power Loss</t>
  </si>
  <si>
    <t>efficiency</t>
  </si>
  <si>
    <t>output power</t>
  </si>
  <si>
    <t>rising is less because of Schottky</t>
  </si>
  <si>
    <t>(for miller)</t>
  </si>
</sst>
</file>

<file path=xl/styles.xml><?xml version="1.0" encoding="utf-8"?>
<styleSheet xmlns="http://schemas.openxmlformats.org/spreadsheetml/2006/main">
  <numFmts count="3">
    <numFmt numFmtId="164" formatCode="0.000E+00"/>
    <numFmt numFmtId="165" formatCode="0.000"/>
    <numFmt numFmtId="166" formatCode="0.0000"/>
  </numFmts>
  <fonts count="1">
    <font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455543</xdr:colOff>
      <xdr:row>23</xdr:row>
      <xdr:rowOff>49696</xdr:rowOff>
    </xdr:from>
    <xdr:to>
      <xdr:col>5</xdr:col>
      <xdr:colOff>373524</xdr:colOff>
      <xdr:row>31</xdr:row>
      <xdr:rowOff>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8282" y="4431196"/>
          <a:ext cx="2278525" cy="14743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505239</xdr:colOff>
      <xdr:row>27</xdr:row>
      <xdr:rowOff>124240</xdr:rowOff>
    </xdr:from>
    <xdr:to>
      <xdr:col>8</xdr:col>
      <xdr:colOff>264630</xdr:colOff>
      <xdr:row>30</xdr:row>
      <xdr:rowOff>114715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28522" y="5267740"/>
          <a:ext cx="2252456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7"/>
  <sheetViews>
    <sheetView tabSelected="1" zoomScale="115" zoomScaleNormal="115" workbookViewId="0">
      <selection activeCell="F22" sqref="F22"/>
    </sheetView>
  </sheetViews>
  <sheetFormatPr defaultRowHeight="15"/>
  <cols>
    <col min="1" max="1" width="22.7109375" style="1" bestFit="1" customWidth="1"/>
    <col min="2" max="2" width="11.7109375" style="1" bestFit="1" customWidth="1"/>
    <col min="3" max="3" width="16" style="1" bestFit="1" customWidth="1"/>
    <col min="4" max="4" width="15.7109375" style="1" bestFit="1" customWidth="1"/>
    <col min="5" max="5" width="19.5703125" style="1" bestFit="1" customWidth="1"/>
    <col min="6" max="6" width="12.28515625" style="1" bestFit="1" customWidth="1"/>
    <col min="7" max="7" width="9.140625" style="1"/>
    <col min="8" max="8" width="15.85546875" style="1" bestFit="1" customWidth="1"/>
    <col min="9" max="9" width="13.42578125" style="1" bestFit="1" customWidth="1"/>
    <col min="10" max="10" width="30.28515625" style="1" bestFit="1" customWidth="1"/>
    <col min="11" max="16384" width="9.140625" style="1"/>
  </cols>
  <sheetData>
    <row r="1" spans="1:10">
      <c r="A1" s="20" t="s">
        <v>14</v>
      </c>
      <c r="B1" s="7"/>
      <c r="C1" s="8"/>
      <c r="E1" s="20" t="s">
        <v>25</v>
      </c>
      <c r="F1" s="8"/>
      <c r="H1" s="3" t="s">
        <v>11</v>
      </c>
    </row>
    <row r="2" spans="1:10">
      <c r="A2" s="15" t="s">
        <v>0</v>
      </c>
      <c r="B2" s="10">
        <f>18</f>
        <v>18</v>
      </c>
      <c r="C2" s="13"/>
      <c r="E2" s="15" t="s">
        <v>27</v>
      </c>
      <c r="F2" s="23">
        <f>63*10^-9</f>
        <v>6.3000000000000008E-8</v>
      </c>
      <c r="H2" s="1" t="s">
        <v>5</v>
      </c>
      <c r="I2" s="2">
        <f>(B2-B3)*B3/(B5*B14*B2)</f>
        <v>0.88888888888888906</v>
      </c>
    </row>
    <row r="3" spans="1:10">
      <c r="A3" s="15" t="s">
        <v>1</v>
      </c>
      <c r="B3" s="10">
        <f>2</f>
        <v>2</v>
      </c>
      <c r="C3" s="13"/>
      <c r="E3" s="15" t="s">
        <v>28</v>
      </c>
      <c r="F3" s="23">
        <f>150*10^-9</f>
        <v>1.5000000000000002E-7</v>
      </c>
      <c r="H3" s="1" t="s">
        <v>15</v>
      </c>
      <c r="I3" s="2">
        <f>B4+(I2/2)</f>
        <v>6.4444444444444446</v>
      </c>
    </row>
    <row r="4" spans="1:10">
      <c r="A4" s="15" t="s">
        <v>2</v>
      </c>
      <c r="B4" s="10">
        <f>6</f>
        <v>6</v>
      </c>
      <c r="C4" s="13"/>
      <c r="E4" s="15" t="s">
        <v>29</v>
      </c>
      <c r="F4" s="13">
        <f>19</f>
        <v>19</v>
      </c>
      <c r="H4" s="1" t="s">
        <v>16</v>
      </c>
      <c r="I4" s="2">
        <f>B4-(I2/2)</f>
        <v>5.5555555555555554</v>
      </c>
    </row>
    <row r="5" spans="1:10">
      <c r="A5" s="15" t="s">
        <v>3</v>
      </c>
      <c r="B5" s="10">
        <f>200000</f>
        <v>200000</v>
      </c>
      <c r="C5" s="13"/>
      <c r="E5" s="9" t="s">
        <v>26</v>
      </c>
      <c r="F5" s="24">
        <f>F2/F4</f>
        <v>3.3157894736842109E-9</v>
      </c>
      <c r="H5" s="4" t="s">
        <v>32</v>
      </c>
      <c r="I5" s="1">
        <f>0.03</f>
        <v>0.03</v>
      </c>
    </row>
    <row r="6" spans="1:10">
      <c r="A6" s="15" t="s">
        <v>4</v>
      </c>
      <c r="B6" s="10">
        <f>0.3</f>
        <v>0.3</v>
      </c>
      <c r="C6" s="13"/>
      <c r="E6" s="16" t="s">
        <v>33</v>
      </c>
      <c r="F6" s="25">
        <f>F5*F4/F3</f>
        <v>0.42</v>
      </c>
      <c r="H6" s="1" t="s">
        <v>31</v>
      </c>
      <c r="I6" s="1">
        <f>(B4*B4+(I3-I4)^2/2)*I5</f>
        <v>1.0918518518518519</v>
      </c>
    </row>
    <row r="7" spans="1:10">
      <c r="A7" s="9" t="s">
        <v>5</v>
      </c>
      <c r="B7" s="10">
        <f>B4*B6</f>
        <v>1.7999999999999998</v>
      </c>
      <c r="C7" s="13"/>
      <c r="H7" s="4" t="s">
        <v>17</v>
      </c>
      <c r="I7" s="1">
        <f>0.078</f>
        <v>7.8E-2</v>
      </c>
    </row>
    <row r="8" spans="1:10">
      <c r="A8" s="9" t="s">
        <v>6</v>
      </c>
      <c r="B8" s="14">
        <f>(B3*(B2-B3))/(B7*B5*B2)</f>
        <v>4.9382716049382725E-6</v>
      </c>
      <c r="C8" s="13"/>
      <c r="E8" s="4" t="s">
        <v>45</v>
      </c>
      <c r="F8" s="5">
        <f>10*10^-9</f>
        <v>1E-8</v>
      </c>
      <c r="H8" s="1" t="s">
        <v>22</v>
      </c>
      <c r="I8" s="1">
        <f>(B4*B4+((I3-I4)^2)/12)*I7*B3/B2</f>
        <v>0.31257064471879281</v>
      </c>
      <c r="J8" s="1" t="s">
        <v>37</v>
      </c>
    </row>
    <row r="9" spans="1:10">
      <c r="A9" s="9"/>
      <c r="B9" s="11"/>
      <c r="C9" s="13"/>
      <c r="E9" s="29"/>
      <c r="F9" s="5"/>
      <c r="H9" s="1" t="s">
        <v>23</v>
      </c>
      <c r="I9" s="1">
        <f>(B4*B4+((I3-I4)^2)/12)*I7*(1-(B3/B2))</f>
        <v>2.5005651577503425</v>
      </c>
    </row>
    <row r="10" spans="1:10">
      <c r="A10" s="15" t="s">
        <v>8</v>
      </c>
      <c r="B10" s="10">
        <f>0.01</f>
        <v>0.01</v>
      </c>
      <c r="C10" s="13"/>
      <c r="H10" s="1" t="s">
        <v>24</v>
      </c>
      <c r="I10" s="26">
        <f>B2*B4*F8*B5/2</f>
        <v>0.108</v>
      </c>
      <c r="J10" s="1" t="s">
        <v>38</v>
      </c>
    </row>
    <row r="11" spans="1:10">
      <c r="A11" s="9" t="s">
        <v>7</v>
      </c>
      <c r="B11" s="14">
        <f>B7/(8*B5*B10*B3)</f>
        <v>5.6249999999999992E-5</v>
      </c>
      <c r="C11" s="13"/>
      <c r="H11" s="1" t="s">
        <v>30</v>
      </c>
      <c r="I11" s="26">
        <f>I14*B4*F8*B5/2</f>
        <v>2.7000000000000001E-3</v>
      </c>
      <c r="J11" s="1" t="s">
        <v>64</v>
      </c>
    </row>
    <row r="12" spans="1:10">
      <c r="A12" s="9" t="s">
        <v>9</v>
      </c>
      <c r="B12" s="14">
        <f>B7^2*B8/(2*B3*0.05)</f>
        <v>7.9999999999999993E-5</v>
      </c>
      <c r="C12" s="13" t="s">
        <v>10</v>
      </c>
      <c r="H12" s="4" t="s">
        <v>46</v>
      </c>
      <c r="I12" s="5">
        <f>0.25*10^-3</f>
        <v>2.5000000000000001E-4</v>
      </c>
      <c r="J12" s="1" t="s">
        <v>49</v>
      </c>
    </row>
    <row r="13" spans="1:10">
      <c r="A13" s="9"/>
      <c r="B13" s="10"/>
      <c r="C13" s="13"/>
      <c r="H13" s="4" t="s">
        <v>47</v>
      </c>
      <c r="I13" s="5">
        <f>100*10^-9</f>
        <v>1.0000000000000001E-7</v>
      </c>
      <c r="J13" s="1" t="s">
        <v>48</v>
      </c>
    </row>
    <row r="14" spans="1:10">
      <c r="A14" s="15" t="s">
        <v>12</v>
      </c>
      <c r="B14" s="14">
        <f>10*10^-6</f>
        <v>9.9999999999999991E-6</v>
      </c>
      <c r="C14" s="13"/>
      <c r="H14" s="4" t="s">
        <v>50</v>
      </c>
      <c r="I14" s="1">
        <f>0.45</f>
        <v>0.45</v>
      </c>
      <c r="J14" s="1" t="s">
        <v>51</v>
      </c>
    </row>
    <row r="15" spans="1:10">
      <c r="A15" s="21" t="s">
        <v>13</v>
      </c>
      <c r="B15" s="17">
        <f>100*10^-6</f>
        <v>9.9999999999999991E-5</v>
      </c>
      <c r="C15" s="19"/>
      <c r="H15" s="1" t="s">
        <v>34</v>
      </c>
      <c r="I15" s="5">
        <f>B2*I12*I13*B5/2</f>
        <v>4.500000000000001E-5</v>
      </c>
    </row>
    <row r="16" spans="1:10">
      <c r="H16" s="4" t="s">
        <v>36</v>
      </c>
      <c r="I16" s="5">
        <f>150*10^-9</f>
        <v>1.5000000000000002E-7</v>
      </c>
      <c r="J16" s="1" t="s">
        <v>52</v>
      </c>
    </row>
    <row r="17" spans="1:10">
      <c r="H17" s="1" t="s">
        <v>35</v>
      </c>
      <c r="I17" s="27">
        <f>I14*B4*(I16*2)*B5</f>
        <v>0.16200000000000003</v>
      </c>
    </row>
    <row r="18" spans="1:10">
      <c r="A18" s="20" t="s">
        <v>18</v>
      </c>
      <c r="B18" s="6"/>
      <c r="C18" s="7"/>
      <c r="D18" s="22" t="s">
        <v>43</v>
      </c>
      <c r="E18" s="8" t="s">
        <v>65</v>
      </c>
      <c r="H18" s="4" t="s">
        <v>54</v>
      </c>
      <c r="I18" s="1">
        <f>14.5*10^-9</f>
        <v>1.4500000000000001E-8</v>
      </c>
    </row>
    <row r="19" spans="1:10">
      <c r="A19" s="9" t="s">
        <v>20</v>
      </c>
      <c r="B19" s="10">
        <f>B3/(B2*0.9)</f>
        <v>0.1234567901234568</v>
      </c>
      <c r="C19" s="11"/>
      <c r="D19" s="12" t="s">
        <v>39</v>
      </c>
      <c r="E19" s="13">
        <v>2</v>
      </c>
      <c r="H19" s="4" t="s">
        <v>55</v>
      </c>
      <c r="I19" s="1">
        <f>14.5*10^-9</f>
        <v>1.4500000000000001E-8</v>
      </c>
    </row>
    <row r="20" spans="1:10">
      <c r="A20" s="9" t="s">
        <v>19</v>
      </c>
      <c r="B20" s="14">
        <f>(B2-B3)*B19/(B5*B14)</f>
        <v>0.98765432098765449</v>
      </c>
      <c r="C20" s="11"/>
      <c r="D20" s="12" t="s">
        <v>41</v>
      </c>
      <c r="E20" s="13">
        <v>550</v>
      </c>
      <c r="H20" s="4" t="s">
        <v>58</v>
      </c>
      <c r="I20" s="1">
        <f>18</f>
        <v>18</v>
      </c>
    </row>
    <row r="21" spans="1:10">
      <c r="A21" s="15" t="s">
        <v>44</v>
      </c>
      <c r="B21" s="11">
        <f>8</f>
        <v>8</v>
      </c>
      <c r="C21" s="11"/>
      <c r="D21" s="12" t="s">
        <v>40</v>
      </c>
      <c r="E21" s="13">
        <v>20</v>
      </c>
      <c r="H21" s="1" t="s">
        <v>56</v>
      </c>
      <c r="I21" s="27">
        <f>(I18+I19)*I20*B5</f>
        <v>0.10440000000000001</v>
      </c>
      <c r="J21" s="1" t="s">
        <v>57</v>
      </c>
    </row>
    <row r="22" spans="1:10">
      <c r="A22" s="16" t="s">
        <v>21</v>
      </c>
      <c r="B22" s="17">
        <f>(B7/2)+B21</f>
        <v>8.9</v>
      </c>
      <c r="C22" s="18"/>
      <c r="D22" s="18" t="s">
        <v>42</v>
      </c>
      <c r="E22" s="19">
        <f>B2*E21/E20</f>
        <v>0.65454545454545454</v>
      </c>
    </row>
    <row r="23" spans="1:10">
      <c r="B23" s="2"/>
      <c r="H23" s="1" t="s">
        <v>61</v>
      </c>
      <c r="I23" s="26">
        <f>SUM(I6,I8,I9,I10,I11,I15,I17,I21)</f>
        <v>4.2821326543209866</v>
      </c>
    </row>
    <row r="24" spans="1:10">
      <c r="B24" s="2"/>
      <c r="H24" s="1" t="s">
        <v>63</v>
      </c>
      <c r="I24" s="27">
        <f>B3*B4</f>
        <v>12</v>
      </c>
    </row>
    <row r="25" spans="1:10">
      <c r="B25" s="2"/>
      <c r="C25" s="28" t="s">
        <v>53</v>
      </c>
      <c r="H25" s="1" t="s">
        <v>62</v>
      </c>
      <c r="I25" s="1">
        <f>I24/(I23+I24)</f>
        <v>0.73700419071425605</v>
      </c>
    </row>
    <row r="26" spans="1:10">
      <c r="B26" s="2"/>
      <c r="C26" s="1" t="s">
        <v>59</v>
      </c>
    </row>
    <row r="27" spans="1:10">
      <c r="B27" s="2"/>
      <c r="C27" s="1" t="s">
        <v>60</v>
      </c>
    </row>
    <row r="28" spans="1:10">
      <c r="B28" s="2"/>
    </row>
    <row r="29" spans="1:10">
      <c r="B29" s="2"/>
    </row>
    <row r="30" spans="1:10">
      <c r="B30" s="2"/>
    </row>
    <row r="31" spans="1:10">
      <c r="B31" s="2"/>
    </row>
    <row r="32" spans="1:10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</sheetData>
  <conditionalFormatting sqref="E22">
    <cfRule type="cellIs" dxfId="0" priority="1" operator="greaterThan">
      <formula>$E$19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MAKAÇI</dc:creator>
  <cp:lastModifiedBy>Furkan MAKAÇI</cp:lastModifiedBy>
  <dcterms:created xsi:type="dcterms:W3CDTF">2024-02-23T20:53:22Z</dcterms:created>
  <dcterms:modified xsi:type="dcterms:W3CDTF">2024-05-22T07:00:01Z</dcterms:modified>
</cp:coreProperties>
</file>