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B.Sc. Energy Engineering\3rd Semester\Heat &amp;  Mass Transfer\Final Term\"/>
    </mc:Choice>
  </mc:AlternateContent>
  <xr:revisionPtr revIDLastSave="0" documentId="13_ncr:1_{584FB3FE-6AD9-4E64-A57E-8C09095C7081}" xr6:coauthVersionLast="47" xr6:coauthVersionMax="47" xr10:uidLastSave="{00000000-0000-0000-0000-000000000000}"/>
  <bookViews>
    <workbookView xWindow="-120" yWindow="-120" windowWidth="19440" windowHeight="10440" activeTab="1" xr2:uid="{00000000-000D-0000-FFFF-FFFF00000000}"/>
  </bookViews>
  <sheets>
    <sheet name="Student Info" sheetId="3" r:id="rId1"/>
    <sheet name="Thermophysical Properties" sheetId="2" r:id="rId2"/>
    <sheet name="Design (Kern)" sheetId="4" r:id="rId3"/>
  </sheet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4" l="1"/>
  <c r="G49" i="4"/>
  <c r="F20" i="4"/>
  <c r="F19" i="4"/>
  <c r="F28" i="4"/>
  <c r="F29" i="4"/>
  <c r="B11" i="4"/>
  <c r="D49" i="4"/>
  <c r="B49" i="4"/>
  <c r="B48" i="4"/>
  <c r="B47" i="4"/>
  <c r="E44" i="4" l="1"/>
  <c r="E43" i="4"/>
  <c r="E42" i="4"/>
  <c r="E41" i="4"/>
  <c r="E40" i="4"/>
  <c r="E39" i="4"/>
  <c r="B35" i="4"/>
  <c r="B34" i="4"/>
  <c r="D28" i="4"/>
  <c r="B28" i="4"/>
  <c r="B25" i="4"/>
  <c r="D21" i="4"/>
  <c r="F17" i="4"/>
  <c r="F14" i="4"/>
  <c r="D14" i="4"/>
  <c r="D13" i="4"/>
  <c r="B13" i="4"/>
  <c r="D11" i="4"/>
  <c r="F3" i="2"/>
  <c r="F5" i="2"/>
  <c r="F6" i="2"/>
  <c r="F4" i="2"/>
  <c r="C4" i="2"/>
  <c r="C5" i="2"/>
  <c r="C6" i="2"/>
  <c r="C3" i="2"/>
  <c r="D24" i="4" l="1"/>
  <c r="D34" i="4"/>
  <c r="D15" i="4"/>
  <c r="B14" i="4" s="1"/>
  <c r="F13" i="4" l="1"/>
  <c r="F15" i="4" l="1"/>
  <c r="F52" i="4"/>
  <c r="B52" i="4"/>
  <c r="B53" i="4"/>
  <c r="D52" i="4"/>
  <c r="F23" i="4"/>
  <c r="F25" i="4" s="1"/>
  <c r="F16" i="4"/>
  <c r="D53" i="4" l="1"/>
  <c r="F53" i="4" s="1"/>
  <c r="F27" i="4"/>
  <c r="D48" i="4"/>
  <c r="F18" i="4"/>
  <c r="B24" i="4" s="1"/>
  <c r="D25" i="4" l="1"/>
  <c r="D26" i="4"/>
  <c r="D32" i="4" s="1"/>
  <c r="D35" i="4"/>
  <c r="B29" i="4"/>
  <c r="D47" i="4"/>
  <c r="C39" i="4" l="1"/>
  <c r="F39" i="4"/>
  <c r="F40" i="4" s="1"/>
  <c r="F41" i="4" s="1"/>
  <c r="F42" i="4" s="1"/>
  <c r="F43" i="4" s="1"/>
  <c r="F44" i="4" s="1"/>
  <c r="D29" i="4"/>
  <c r="D30" i="4"/>
  <c r="F47" i="4"/>
  <c r="F49" i="4" s="1"/>
  <c r="B26" i="4" l="1"/>
  <c r="B39" i="4"/>
  <c r="A39" i="4"/>
  <c r="C40" i="4" l="1"/>
  <c r="B40" i="4" s="1"/>
  <c r="A40" i="4" l="1"/>
  <c r="C41" i="4" s="1"/>
  <c r="B41" i="4" s="1"/>
  <c r="A41" i="4" l="1"/>
  <c r="C42" i="4" s="1"/>
  <c r="A42" i="4" s="1"/>
  <c r="B42" i="4" l="1"/>
  <c r="C43" i="4" s="1"/>
  <c r="A43" i="4" l="1"/>
  <c r="B43" i="4"/>
  <c r="C44" i="4" l="1"/>
  <c r="B44" i="4" s="1"/>
  <c r="A44" i="4" l="1"/>
  <c r="F34" i="4"/>
  <c r="F35" i="4" s="1"/>
  <c r="F36" i="4" s="1"/>
  <c r="G36" i="4" s="1"/>
</calcChain>
</file>

<file path=xl/sharedStrings.xml><?xml version="1.0" encoding="utf-8"?>
<sst xmlns="http://schemas.openxmlformats.org/spreadsheetml/2006/main" count="136" uniqueCount="111">
  <si>
    <t>Number of Tubes</t>
  </si>
  <si>
    <t>Properties</t>
  </si>
  <si>
    <t>Velocity (m/s)</t>
  </si>
  <si>
    <t>R</t>
  </si>
  <si>
    <t>F</t>
  </si>
  <si>
    <t>Name</t>
  </si>
  <si>
    <t>Furqan Shakeel</t>
  </si>
  <si>
    <t>Roll #</t>
  </si>
  <si>
    <t>EN-21M-22</t>
  </si>
  <si>
    <t>Subject</t>
  </si>
  <si>
    <t>HMT</t>
  </si>
  <si>
    <t>Heat Exchnager Type</t>
  </si>
  <si>
    <t>Shell &amp; Tube (One Shell Two Tube Pass)</t>
  </si>
  <si>
    <t>Hot Fluid</t>
  </si>
  <si>
    <t>Cold Fluid</t>
  </si>
  <si>
    <t>Shell Side</t>
  </si>
  <si>
    <t>Tube Side</t>
  </si>
  <si>
    <t>Inlet Pressure (psig)</t>
  </si>
  <si>
    <t>Inlet Temperature (F)</t>
  </si>
  <si>
    <t>Outlet Temperature (F)</t>
  </si>
  <si>
    <t>Mass Flow Rate (lb/h)</t>
  </si>
  <si>
    <t>Fouling Factor (hr2.ft.F/Btu)</t>
  </si>
  <si>
    <t>Allowable Pressure Drop (psi)</t>
  </si>
  <si>
    <t>Outlet</t>
  </si>
  <si>
    <t>Inlet</t>
  </si>
  <si>
    <t>Density (lbm/ft3)</t>
  </si>
  <si>
    <t>Mean</t>
  </si>
  <si>
    <t>Viscosity (cp)</t>
  </si>
  <si>
    <t>Thermal Conductivity (Btu/(h·ft·°F))</t>
  </si>
  <si>
    <t>Specific Heat Capacity (Btu/(lb·°F))</t>
  </si>
  <si>
    <t>Calculations</t>
  </si>
  <si>
    <t>Q (Tube Side)</t>
  </si>
  <si>
    <t xml:space="preserve">Q (Shell Side) </t>
  </si>
  <si>
    <t>Heat Duty (Btu/hr)</t>
  </si>
  <si>
    <t>LMTD</t>
  </si>
  <si>
    <t>LMTD (F)</t>
  </si>
  <si>
    <t>S</t>
  </si>
  <si>
    <t>Corrected LMTD (F)</t>
  </si>
  <si>
    <t xml:space="preserve">Material Used for Shell </t>
  </si>
  <si>
    <t>Material Used for Tubes</t>
  </si>
  <si>
    <t>Tube Outer Diameter (in)</t>
  </si>
  <si>
    <t>Tube Inner Diameter (in)</t>
  </si>
  <si>
    <t>Tube Length (ft)</t>
  </si>
  <si>
    <t>Shell Pass</t>
  </si>
  <si>
    <t>Tube Pass</t>
  </si>
  <si>
    <t>Estimated Layout</t>
  </si>
  <si>
    <t>Estimated U</t>
  </si>
  <si>
    <t>U (Btu/(ft2·h·°F))</t>
  </si>
  <si>
    <t>Size</t>
  </si>
  <si>
    <t>Area (ft2)</t>
  </si>
  <si>
    <t>Area of One Tube (ft2)</t>
  </si>
  <si>
    <t>Brine Solution (50 %)</t>
  </si>
  <si>
    <t>Number of Tubes / Pass</t>
  </si>
  <si>
    <t>Tube Cross Sentional Area (ft2)</t>
  </si>
  <si>
    <t>Area / Pass (ft2)</t>
  </si>
  <si>
    <t>Volumetric Flow Rate (Tube Side) (ft3/s)</t>
  </si>
  <si>
    <t>Tube Side Velocity (ft/s)</t>
  </si>
  <si>
    <t>K1</t>
  </si>
  <si>
    <t>n1</t>
  </si>
  <si>
    <t xml:space="preserve">Square Pitch (in) </t>
  </si>
  <si>
    <t>Bundle Diameter (in)</t>
  </si>
  <si>
    <t>Bundle Shell Clearence (in)</t>
  </si>
  <si>
    <t>Shell Diameter (in)</t>
  </si>
  <si>
    <t>Tube Side Heat Transfer Coefficient</t>
  </si>
  <si>
    <t>Reynolds Number</t>
  </si>
  <si>
    <t>Prandtl Number</t>
  </si>
  <si>
    <t>Length Diameter Ratio</t>
  </si>
  <si>
    <t>Nusselt Number</t>
  </si>
  <si>
    <t>h (Btu/(ft2·h·°F))</t>
  </si>
  <si>
    <t>Shell Side Heat Transfer Coefficient</t>
  </si>
  <si>
    <t>Equivalent Diameter (in)</t>
  </si>
  <si>
    <t>Baffle Spacing (in)</t>
  </si>
  <si>
    <t>Area Shell Side (ft2)</t>
  </si>
  <si>
    <t>Volumetric Flow Rate (Shell Side) (ft3/s)</t>
  </si>
  <si>
    <t>Shell Side Velocity (ft/s)</t>
  </si>
  <si>
    <t>J Factor (Bell-Delaware Method)</t>
  </si>
  <si>
    <t>J Factor (Dittus-Boelter Correlation)</t>
  </si>
  <si>
    <t>Overall Heat Transfer Coefficient</t>
  </si>
  <si>
    <t>k (Btu/hr.ft.F)</t>
  </si>
  <si>
    <t>U (Btu/hr.ft2.F)</t>
  </si>
  <si>
    <t xml:space="preserve">Pressure Drop Across Tube </t>
  </si>
  <si>
    <t>L (m)</t>
  </si>
  <si>
    <t>Tube Inner Diameter (m)</t>
  </si>
  <si>
    <t>Density (kg/m3)</t>
  </si>
  <si>
    <t>Initial Guess for J(f) (Darcy-Weisbach)</t>
  </si>
  <si>
    <t>J(f) (Colebrook Equation)</t>
  </si>
  <si>
    <t>J(f) (Derivative)</t>
  </si>
  <si>
    <t>Newton Raphson Method</t>
  </si>
  <si>
    <t>Tube Side Reynolds Number</t>
  </si>
  <si>
    <t>Pressure Drop (Pa)</t>
  </si>
  <si>
    <t>Shell Side Pressure Drop</t>
  </si>
  <si>
    <t>Length of Baffle Spacing (m)</t>
  </si>
  <si>
    <t>Shell Diameter (m)</t>
  </si>
  <si>
    <t>Shell Equivalent Diameter (m)</t>
  </si>
  <si>
    <t>Pressure Drop (psi)</t>
  </si>
  <si>
    <t>J(f) (Bell-Delaware Method)</t>
  </si>
  <si>
    <t>e (Roughness of Carbon Steel)</t>
  </si>
  <si>
    <t>Cost Estimation (USD)</t>
  </si>
  <si>
    <t>Exchanger Type Cost Factor (FD) (Fixed Head)</t>
  </si>
  <si>
    <t>Design Pressure Cost Factor (FP) (600-900(psig))</t>
  </si>
  <si>
    <t>Material of Construction Cost Factor (FM)</t>
  </si>
  <si>
    <t>Stainless Steel (304)</t>
  </si>
  <si>
    <t xml:space="preserve">Heat Exchanger Cost (CE) </t>
  </si>
  <si>
    <t>Updated Heat Exchanger Cost (CE)</t>
  </si>
  <si>
    <t>Base Cost of Heat Exchanger (CB)</t>
  </si>
  <si>
    <t>Cost Index of Calculation Year (Jan 2019)</t>
  </si>
  <si>
    <t>Cost Index of Base Year (2016)</t>
  </si>
  <si>
    <t>Crude Oil</t>
  </si>
  <si>
    <t xml:space="preserve">Note: For SG of Crude Oil </t>
  </si>
  <si>
    <t>0.8-0.9</t>
  </si>
  <si>
    <t>h (Btu/(ft2·h·°F)) (Gnielinski Correlation)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</si>
</sst>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/>
    <xf numFmtId="11" fontId="0" fillId="0" borderId="0" xfId="0" applyNumberFormat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2" fontId="0" fillId="0" borderId="0" xfId="0" applyNumberFormat="1"/>
    <xf numFmtId="2" fontId="0" fillId="3" borderId="0" xfId="0" applyNumberFormat="1" applyFill="1"/>
    <xf numFmtId="0" fontId="0" fillId="5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619B-DBC2-4555-8F66-9E47F2FBE6E4}">
  <dimension ref="A1:B8"/>
  <sheetViews>
    <sheetView workbookViewId="0">
      <selection activeCell="B6" sqref="B6"/>
    </sheetView>
  </sheetViews>
  <sheetFormatPr defaultRowHeight="15" x14ac:dyDescent="0.25"/>
  <cols>
    <col min="1" max="1" width="19.5703125" bestFit="1" customWidth="1"/>
    <col min="2" max="2" width="36.7109375" bestFit="1" customWidth="1"/>
  </cols>
  <sheetData>
    <row r="1" spans="1:2" x14ac:dyDescent="0.25">
      <c r="A1" s="1" t="s">
        <v>5</v>
      </c>
      <c r="B1" t="s">
        <v>6</v>
      </c>
    </row>
    <row r="2" spans="1:2" x14ac:dyDescent="0.25">
      <c r="A2" s="1" t="s">
        <v>7</v>
      </c>
      <c r="B2" t="s">
        <v>8</v>
      </c>
    </row>
    <row r="3" spans="1:2" x14ac:dyDescent="0.25">
      <c r="A3" s="1" t="s">
        <v>9</v>
      </c>
      <c r="B3" t="s">
        <v>10</v>
      </c>
    </row>
    <row r="4" spans="1:2" x14ac:dyDescent="0.25">
      <c r="A4" s="1" t="s">
        <v>11</v>
      </c>
      <c r="B4" t="s">
        <v>12</v>
      </c>
    </row>
    <row r="5" spans="1:2" x14ac:dyDescent="0.25">
      <c r="A5" s="1" t="s">
        <v>13</v>
      </c>
      <c r="B5" t="s">
        <v>107</v>
      </c>
    </row>
    <row r="6" spans="1:2" x14ac:dyDescent="0.25">
      <c r="A6" s="1" t="s">
        <v>14</v>
      </c>
      <c r="B6" t="s">
        <v>51</v>
      </c>
    </row>
    <row r="7" spans="1:2" x14ac:dyDescent="0.25">
      <c r="A7" s="1" t="s">
        <v>15</v>
      </c>
      <c r="B7" t="s">
        <v>51</v>
      </c>
    </row>
    <row r="8" spans="1:2" x14ac:dyDescent="0.25">
      <c r="A8" s="1" t="s">
        <v>16</v>
      </c>
      <c r="B8" t="s">
        <v>107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6C41-ECD1-42A6-8FC2-A3AC4FDBD442}">
  <dimension ref="A1:I9"/>
  <sheetViews>
    <sheetView tabSelected="1" workbookViewId="0">
      <selection activeCell="B5" sqref="B5"/>
    </sheetView>
  </sheetViews>
  <sheetFormatPr defaultRowHeight="15" x14ac:dyDescent="0.25"/>
  <cols>
    <col min="1" max="1" width="33.140625" bestFit="1" customWidth="1"/>
    <col min="2" max="4" width="7" bestFit="1" customWidth="1"/>
    <col min="5" max="5" width="6" bestFit="1" customWidth="1"/>
    <col min="6" max="6" width="7" bestFit="1" customWidth="1"/>
    <col min="7" max="7" width="6.7109375" bestFit="1" customWidth="1"/>
    <col min="8" max="8" width="26.140625" bestFit="1" customWidth="1"/>
    <col min="9" max="9" width="17.5703125" bestFit="1" customWidth="1"/>
  </cols>
  <sheetData>
    <row r="1" spans="1:9" x14ac:dyDescent="0.25">
      <c r="A1" s="1" t="s">
        <v>1</v>
      </c>
      <c r="B1" s="11" t="s">
        <v>16</v>
      </c>
      <c r="C1" s="11"/>
      <c r="D1" s="11"/>
      <c r="E1" s="11" t="s">
        <v>15</v>
      </c>
      <c r="F1" s="11"/>
      <c r="G1" s="11"/>
      <c r="H1" s="1"/>
      <c r="I1" s="1"/>
    </row>
    <row r="2" spans="1:9" x14ac:dyDescent="0.25">
      <c r="B2" t="s">
        <v>24</v>
      </c>
      <c r="C2" t="s">
        <v>26</v>
      </c>
      <c r="D2" t="s">
        <v>23</v>
      </c>
      <c r="E2" t="s">
        <v>24</v>
      </c>
      <c r="F2" t="s">
        <v>26</v>
      </c>
      <c r="G2" t="s">
        <v>23</v>
      </c>
    </row>
    <row r="3" spans="1:9" x14ac:dyDescent="0.25">
      <c r="A3" t="s">
        <v>25</v>
      </c>
      <c r="B3">
        <v>49.843000000000004</v>
      </c>
      <c r="C3">
        <f>(B3+D3)/2</f>
        <v>53.015000000000001</v>
      </c>
      <c r="D3">
        <v>56.186999999999998</v>
      </c>
      <c r="E3">
        <v>63.4</v>
      </c>
      <c r="F3">
        <f>(E3+G3)/2</f>
        <v>62.05</v>
      </c>
      <c r="G3">
        <v>60.7</v>
      </c>
    </row>
    <row r="4" spans="1:9" x14ac:dyDescent="0.25">
      <c r="A4" t="s">
        <v>27</v>
      </c>
      <c r="B4">
        <v>8</v>
      </c>
      <c r="C4">
        <f t="shared" ref="C4:C6" si="0">(B4+D4)/2</f>
        <v>9</v>
      </c>
      <c r="D4">
        <v>10</v>
      </c>
      <c r="E4">
        <v>18.899999999999999</v>
      </c>
      <c r="F4">
        <f>(E4+G4)/2</f>
        <v>14.149999999999999</v>
      </c>
      <c r="G4">
        <v>9.4</v>
      </c>
    </row>
    <row r="5" spans="1:9" x14ac:dyDescent="0.25">
      <c r="A5" t="s">
        <v>28</v>
      </c>
      <c r="B5">
        <v>0.155</v>
      </c>
      <c r="C5">
        <f t="shared" si="0"/>
        <v>0.13750000000000001</v>
      </c>
      <c r="D5">
        <v>0.12</v>
      </c>
      <c r="E5">
        <v>1.1000000000000001</v>
      </c>
      <c r="F5">
        <f t="shared" ref="F5:F6" si="1">(E5+G5)/2</f>
        <v>1.1499999999999999</v>
      </c>
      <c r="G5">
        <v>1.2</v>
      </c>
    </row>
    <row r="6" spans="1:9" x14ac:dyDescent="0.25">
      <c r="A6" t="s">
        <v>29</v>
      </c>
      <c r="B6">
        <v>0.65</v>
      </c>
      <c r="C6">
        <f t="shared" si="0"/>
        <v>0.625</v>
      </c>
      <c r="D6">
        <v>0.6</v>
      </c>
      <c r="E6" s="2">
        <v>1.05</v>
      </c>
      <c r="F6">
        <f t="shared" si="1"/>
        <v>1.048</v>
      </c>
      <c r="G6" s="2">
        <v>1.046</v>
      </c>
    </row>
    <row r="9" spans="1:9" x14ac:dyDescent="0.25">
      <c r="A9" s="9" t="s">
        <v>108</v>
      </c>
      <c r="B9" s="9" t="s">
        <v>109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E427-96CF-412A-A29F-39554E2231A9}">
  <dimension ref="A1:G54"/>
  <sheetViews>
    <sheetView zoomScale="80" zoomScaleNormal="80" workbookViewId="0">
      <selection activeCell="D32" sqref="D32"/>
    </sheetView>
  </sheetViews>
  <sheetFormatPr defaultRowHeight="15" x14ac:dyDescent="0.25"/>
  <cols>
    <col min="1" max="1" width="38.140625" bestFit="1" customWidth="1"/>
    <col min="2" max="2" width="19" bestFit="1" customWidth="1"/>
    <col min="3" max="3" width="41.7109375" bestFit="1" customWidth="1"/>
    <col min="4" max="4" width="28.140625" bestFit="1" customWidth="1"/>
    <col min="5" max="5" width="44" bestFit="1" customWidth="1"/>
    <col min="6" max="6" width="26.5703125" bestFit="1" customWidth="1"/>
    <col min="7" max="7" width="19.28515625" bestFit="1" customWidth="1"/>
  </cols>
  <sheetData>
    <row r="1" spans="1:6" x14ac:dyDescent="0.25">
      <c r="A1" s="11" t="s">
        <v>15</v>
      </c>
      <c r="B1" s="11"/>
      <c r="C1" s="11" t="s">
        <v>16</v>
      </c>
      <c r="D1" s="11"/>
    </row>
    <row r="2" spans="1:6" x14ac:dyDescent="0.25">
      <c r="A2" t="s">
        <v>20</v>
      </c>
      <c r="B2">
        <v>500</v>
      </c>
      <c r="C2" t="s">
        <v>20</v>
      </c>
      <c r="D2">
        <v>450</v>
      </c>
    </row>
    <row r="3" spans="1:6" x14ac:dyDescent="0.25">
      <c r="A3" t="s">
        <v>18</v>
      </c>
      <c r="B3">
        <v>86</v>
      </c>
      <c r="C3" t="s">
        <v>18</v>
      </c>
      <c r="D3">
        <v>266</v>
      </c>
    </row>
    <row r="4" spans="1:6" x14ac:dyDescent="0.25">
      <c r="A4" t="s">
        <v>19</v>
      </c>
      <c r="B4">
        <v>158</v>
      </c>
      <c r="C4" t="s">
        <v>19</v>
      </c>
      <c r="D4">
        <v>140</v>
      </c>
    </row>
    <row r="5" spans="1:6" x14ac:dyDescent="0.25">
      <c r="A5" t="s">
        <v>17</v>
      </c>
      <c r="B5">
        <v>100</v>
      </c>
      <c r="C5" t="s">
        <v>17</v>
      </c>
      <c r="D5">
        <v>90</v>
      </c>
    </row>
    <row r="6" spans="1:6" x14ac:dyDescent="0.25">
      <c r="A6" t="s">
        <v>22</v>
      </c>
      <c r="B6">
        <v>5</v>
      </c>
      <c r="C6" t="s">
        <v>22</v>
      </c>
      <c r="D6">
        <v>5</v>
      </c>
    </row>
    <row r="7" spans="1:6" x14ac:dyDescent="0.25">
      <c r="A7" t="s">
        <v>21</v>
      </c>
      <c r="B7">
        <v>2.3592370000000001E-7</v>
      </c>
      <c r="C7" t="s">
        <v>21</v>
      </c>
      <c r="D7">
        <v>1.1000000000000001E-6</v>
      </c>
    </row>
    <row r="9" spans="1:6" ht="18.75" x14ac:dyDescent="0.3">
      <c r="A9" s="12" t="s">
        <v>30</v>
      </c>
      <c r="B9" s="12"/>
      <c r="C9" s="12"/>
      <c r="D9" s="12"/>
      <c r="E9" s="12"/>
      <c r="F9" s="12"/>
    </row>
    <row r="10" spans="1:6" x14ac:dyDescent="0.25">
      <c r="A10" s="11" t="s">
        <v>33</v>
      </c>
      <c r="B10" s="11"/>
      <c r="C10" s="11"/>
      <c r="D10" s="11"/>
      <c r="E10" s="11" t="s">
        <v>46</v>
      </c>
      <c r="F10" s="11"/>
    </row>
    <row r="11" spans="1:6" x14ac:dyDescent="0.25">
      <c r="A11" s="4" t="s">
        <v>32</v>
      </c>
      <c r="B11" s="4">
        <f>(B2*'Thermophysical Properties'!F6*ABS('Design (Kern)'!B4-'Design (Kern)'!B3))</f>
        <v>37728</v>
      </c>
      <c r="C11" t="s">
        <v>31</v>
      </c>
      <c r="D11">
        <f>(D2*'Thermophysical Properties'!C6*ABS('Design (Kern)'!D4-'Design (Kern)'!D3))</f>
        <v>35437.5</v>
      </c>
      <c r="E11" t="s">
        <v>47</v>
      </c>
      <c r="F11">
        <v>15</v>
      </c>
    </row>
    <row r="12" spans="1:6" x14ac:dyDescent="0.25">
      <c r="A12" s="11" t="s">
        <v>34</v>
      </c>
      <c r="B12" s="11"/>
      <c r="C12" s="11"/>
      <c r="D12" s="11"/>
      <c r="E12" s="11" t="s">
        <v>48</v>
      </c>
      <c r="F12" s="11"/>
    </row>
    <row r="13" spans="1:6" x14ac:dyDescent="0.25">
      <c r="A13" t="s">
        <v>35</v>
      </c>
      <c r="B13">
        <f>((D3-B4)-(D4-B3))/LN((D3-B4)-(D4-B3))</f>
        <v>13.53728151570583</v>
      </c>
      <c r="C13" t="s">
        <v>3</v>
      </c>
      <c r="D13">
        <f>(D3-D4)/(B4-B3)</f>
        <v>1.75</v>
      </c>
      <c r="E13" s="6" t="s">
        <v>49</v>
      </c>
      <c r="F13" s="6">
        <f>(B11)/(F11*B14)</f>
        <v>289.36781017359789</v>
      </c>
    </row>
    <row r="14" spans="1:6" x14ac:dyDescent="0.25">
      <c r="A14" s="4" t="s">
        <v>37</v>
      </c>
      <c r="B14" s="4">
        <f>(B13*D15)</f>
        <v>8.6920518163063054</v>
      </c>
      <c r="C14" t="s">
        <v>36</v>
      </c>
      <c r="D14">
        <f>(B4-B3)/(D3-B3)</f>
        <v>0.4</v>
      </c>
      <c r="E14" s="6" t="s">
        <v>50</v>
      </c>
      <c r="F14" s="6">
        <f>3.14159*(D18/12)*D20</f>
        <v>1.5707949999999999</v>
      </c>
    </row>
    <row r="15" spans="1:6" x14ac:dyDescent="0.25">
      <c r="C15" t="s">
        <v>4</v>
      </c>
      <c r="D15">
        <f>(((D13^2+1)^0.5)*LN((1-D14)/(1-D13*D14))/((D13-1)*LN((2-D14*(D13+1-(D13^2+1)^0.5))/(2-D14*(D13+1+(D13^2+1)^0.5)))))</f>
        <v>0.64208251902140512</v>
      </c>
      <c r="E15" s="6" t="s">
        <v>0</v>
      </c>
      <c r="F15" s="6">
        <f>INT(F13/F14)</f>
        <v>184</v>
      </c>
    </row>
    <row r="16" spans="1:6" x14ac:dyDescent="0.25">
      <c r="A16" s="11" t="s">
        <v>45</v>
      </c>
      <c r="B16" s="11"/>
      <c r="C16" s="11"/>
      <c r="D16" s="11"/>
      <c r="E16" s="6" t="s">
        <v>52</v>
      </c>
      <c r="F16" s="6">
        <f>INT(F15/D22)</f>
        <v>92</v>
      </c>
    </row>
    <row r="17" spans="1:6" x14ac:dyDescent="0.25">
      <c r="A17" t="s">
        <v>38</v>
      </c>
      <c r="B17" t="s">
        <v>101</v>
      </c>
      <c r="C17" t="s">
        <v>39</v>
      </c>
      <c r="D17" t="s">
        <v>101</v>
      </c>
      <c r="E17" s="6" t="s">
        <v>53</v>
      </c>
      <c r="F17" s="6">
        <f>(3.141/4)*((D19/12)^2)</f>
        <v>1.85791071578125E-3</v>
      </c>
    </row>
    <row r="18" spans="1:6" x14ac:dyDescent="0.25">
      <c r="A18" t="s">
        <v>43</v>
      </c>
      <c r="B18">
        <v>1</v>
      </c>
      <c r="C18" t="s">
        <v>40</v>
      </c>
      <c r="D18">
        <v>0.75</v>
      </c>
      <c r="E18" s="6" t="s">
        <v>54</v>
      </c>
      <c r="F18" s="6">
        <f>(F17/F16)</f>
        <v>2.0194681693274458E-5</v>
      </c>
    </row>
    <row r="19" spans="1:6" x14ac:dyDescent="0.25">
      <c r="C19" t="s">
        <v>41</v>
      </c>
      <c r="D19">
        <v>0.5837</v>
      </c>
      <c r="E19" s="6" t="s">
        <v>55</v>
      </c>
      <c r="F19" s="6">
        <f>(D2/3600)*(1/'Thermophysical Properties'!C3)</f>
        <v>2.3578232575686125E-3</v>
      </c>
    </row>
    <row r="20" spans="1:6" x14ac:dyDescent="0.25">
      <c r="C20" t="s">
        <v>42</v>
      </c>
      <c r="D20">
        <v>8</v>
      </c>
      <c r="E20" s="6" t="s">
        <v>56</v>
      </c>
      <c r="F20" s="6">
        <f>(F19/F17)</f>
        <v>1.2690724250315493</v>
      </c>
    </row>
    <row r="21" spans="1:6" x14ac:dyDescent="0.25">
      <c r="C21" t="s">
        <v>59</v>
      </c>
      <c r="D21">
        <f>1.25*D18</f>
        <v>0.9375</v>
      </c>
      <c r="E21" s="6" t="s">
        <v>57</v>
      </c>
      <c r="F21" s="6">
        <v>0.156</v>
      </c>
    </row>
    <row r="22" spans="1:6" x14ac:dyDescent="0.25">
      <c r="C22" t="s">
        <v>44</v>
      </c>
      <c r="D22">
        <v>2</v>
      </c>
      <c r="E22" s="6" t="s">
        <v>58</v>
      </c>
      <c r="F22" s="6">
        <v>2.2909999999999999</v>
      </c>
    </row>
    <row r="23" spans="1:6" x14ac:dyDescent="0.25">
      <c r="A23" s="11" t="s">
        <v>63</v>
      </c>
      <c r="B23" s="11"/>
      <c r="C23" s="11"/>
      <c r="E23" s="6" t="s">
        <v>60</v>
      </c>
      <c r="F23" s="6">
        <f>(0.75*((F15/F21)^(1/F22)))</f>
        <v>16.437150420112626</v>
      </c>
    </row>
    <row r="24" spans="1:6" x14ac:dyDescent="0.25">
      <c r="A24" t="s">
        <v>64</v>
      </c>
      <c r="B24">
        <f>('Thermophysical Properties'!C3*F20*3600*(D19/12))/('Thermophysical Properties'!C4*2.42)</f>
        <v>540.9264850087585</v>
      </c>
      <c r="C24" t="s">
        <v>65</v>
      </c>
      <c r="D24">
        <f>('Thermophysical Properties'!C4*'Thermophysical Properties'!C6*2.42)/'Thermophysical Properties'!C5</f>
        <v>98.999999999999986</v>
      </c>
      <c r="E24" s="6" t="s">
        <v>61</v>
      </c>
      <c r="F24" s="6">
        <v>2</v>
      </c>
    </row>
    <row r="25" spans="1:6" x14ac:dyDescent="0.25">
      <c r="A25" t="s">
        <v>66</v>
      </c>
      <c r="B25">
        <f>(D20/(D19/12))</f>
        <v>164.46804865513107</v>
      </c>
      <c r="C25" s="10" t="s">
        <v>76</v>
      </c>
      <c r="D25" s="10">
        <f>(0.023*B24^0.8*D24^0.4)</f>
        <v>22.207133873423995</v>
      </c>
      <c r="E25" s="6" t="s">
        <v>62</v>
      </c>
      <c r="F25" s="6">
        <f>F23+F24</f>
        <v>18.437150420112626</v>
      </c>
    </row>
    <row r="26" spans="1:6" x14ac:dyDescent="0.25">
      <c r="A26" t="s">
        <v>67</v>
      </c>
      <c r="B26">
        <f>D25*B24*((D24)^0.33)</f>
        <v>54725.579729303587</v>
      </c>
      <c r="C26" s="4" t="s">
        <v>110</v>
      </c>
      <c r="D26" s="4">
        <f>0.023 * (B24^0.8) * (D24^0.4) * ('Thermophysical Properties'!C5 / 'Design (Kern)'!D19)</f>
        <v>5.2312504841456224</v>
      </c>
      <c r="E26" s="6" t="s">
        <v>71</v>
      </c>
      <c r="F26" s="6">
        <v>3</v>
      </c>
    </row>
    <row r="27" spans="1:6" x14ac:dyDescent="0.25">
      <c r="A27" s="11" t="s">
        <v>69</v>
      </c>
      <c r="B27" s="11"/>
      <c r="C27" s="11"/>
      <c r="E27" s="6" t="s">
        <v>72</v>
      </c>
      <c r="F27" s="6">
        <f>(((D21-D18)/D21)*F25*F26)/144</f>
        <v>7.6821460083802612E-2</v>
      </c>
    </row>
    <row r="28" spans="1:6" x14ac:dyDescent="0.25">
      <c r="A28" t="s">
        <v>70</v>
      </c>
      <c r="B28">
        <f>(1.27/D18)*((D21^2)-0.785*(D18^2))</f>
        <v>0.74056875</v>
      </c>
      <c r="C28" t="s">
        <v>65</v>
      </c>
      <c r="D28">
        <f>('Thermophysical Properties'!F6*'Thermophysical Properties'!F4)/'Thermophysical Properties'!F5</f>
        <v>12.894956521739131</v>
      </c>
      <c r="E28" s="6" t="s">
        <v>73</v>
      </c>
      <c r="F28" s="6">
        <f>(B2/3600)*(1/'Thermophysical Properties'!F3)</f>
        <v>2.2383382576775007E-3</v>
      </c>
    </row>
    <row r="29" spans="1:6" x14ac:dyDescent="0.25">
      <c r="A29" t="s">
        <v>64</v>
      </c>
      <c r="B29">
        <f>('Thermophysical Properties'!F3*F29*3600*(B28/12))/('Thermophysical Properties'!F4*2.42)</f>
        <v>11.730047676537797</v>
      </c>
      <c r="C29" t="s">
        <v>75</v>
      </c>
      <c r="D29">
        <f>(0.35+0.5*(B29/1000000)*0.6*(D28^0.33-1))</f>
        <v>0.35000466298791949</v>
      </c>
      <c r="E29" s="6" t="s">
        <v>74</v>
      </c>
      <c r="F29" s="6">
        <f>F28/F27</f>
        <v>2.9136887729493209E-2</v>
      </c>
    </row>
    <row r="30" spans="1:6" x14ac:dyDescent="0.25">
      <c r="C30" s="4" t="s">
        <v>68</v>
      </c>
      <c r="D30" s="4">
        <f>('Thermophysical Properties'!F5/('Design (Kern)'!B28/12))*'Design (Kern)'!B29*'Design (Kern)'!D29*(('Design (Kern)'!D28)^0.33)</f>
        <v>177.87948897484316</v>
      </c>
    </row>
    <row r="31" spans="1:6" x14ac:dyDescent="0.25">
      <c r="A31" s="11" t="s">
        <v>77</v>
      </c>
      <c r="B31" s="11"/>
      <c r="C31" s="11"/>
    </row>
    <row r="32" spans="1:6" x14ac:dyDescent="0.25">
      <c r="A32" t="s">
        <v>78</v>
      </c>
      <c r="B32">
        <v>16</v>
      </c>
      <c r="C32" s="4" t="s">
        <v>79</v>
      </c>
      <c r="D32" s="4">
        <f>1/((((1/D26)+D7)*(D18/D19))+(((D18/12)*(LN(D18/D19)))/(2*B32))+(1/D30)+B7)</f>
        <v>3.9724412600413603</v>
      </c>
    </row>
    <row r="33" spans="1:7" x14ac:dyDescent="0.25">
      <c r="A33" s="11" t="s">
        <v>80</v>
      </c>
      <c r="B33" s="11"/>
      <c r="C33" s="11"/>
      <c r="D33" s="11"/>
      <c r="E33" s="11"/>
      <c r="F33" s="11"/>
    </row>
    <row r="34" spans="1:7" x14ac:dyDescent="0.25">
      <c r="A34" t="s">
        <v>81</v>
      </c>
      <c r="B34">
        <f>D20/3.28</f>
        <v>2.4390243902439024</v>
      </c>
      <c r="C34" t="s">
        <v>83</v>
      </c>
      <c r="D34">
        <f>'Thermophysical Properties'!C3*16.01</f>
        <v>848.77015000000006</v>
      </c>
      <c r="E34" t="s">
        <v>85</v>
      </c>
      <c r="F34" s="7">
        <f>C44</f>
        <v>7.8764997416058316E-2</v>
      </c>
    </row>
    <row r="35" spans="1:7" x14ac:dyDescent="0.25">
      <c r="A35" t="s">
        <v>82</v>
      </c>
      <c r="B35">
        <f>D19/(12*3.28)</f>
        <v>1.4829776422764228E-2</v>
      </c>
      <c r="C35" t="s">
        <v>2</v>
      </c>
      <c r="D35">
        <f>F20/3.28</f>
        <v>0.38691232470474063</v>
      </c>
      <c r="E35" s="4" t="s">
        <v>89</v>
      </c>
      <c r="F35" s="8">
        <f>D22*(8*F34*(B34/B35)+2.5)*((D34*D35^2)/2)</f>
        <v>13485.660651584307</v>
      </c>
    </row>
    <row r="36" spans="1:7" x14ac:dyDescent="0.25">
      <c r="E36" s="4" t="s">
        <v>94</v>
      </c>
      <c r="F36" s="8">
        <f>F35*14.7/101325</f>
        <v>1.9564689028205211</v>
      </c>
      <c r="G36" s="9" t="str">
        <f>(IF(F36&lt;D6,"Allowable","Not Allowable"))</f>
        <v>Allowable</v>
      </c>
    </row>
    <row r="37" spans="1:7" x14ac:dyDescent="0.25">
      <c r="A37" s="13" t="s">
        <v>87</v>
      </c>
      <c r="B37" s="13"/>
      <c r="C37" s="13"/>
      <c r="D37" s="13"/>
      <c r="E37" s="13"/>
      <c r="F37" s="13"/>
    </row>
    <row r="38" spans="1:7" x14ac:dyDescent="0.25">
      <c r="A38" t="s">
        <v>85</v>
      </c>
      <c r="B38" t="s">
        <v>86</v>
      </c>
      <c r="C38" t="s">
        <v>84</v>
      </c>
      <c r="D38" t="s">
        <v>96</v>
      </c>
      <c r="E38" t="s">
        <v>41</v>
      </c>
      <c r="F38" t="s">
        <v>88</v>
      </c>
    </row>
    <row r="39" spans="1:7" x14ac:dyDescent="0.25">
      <c r="A39" s="3">
        <f>1 / SQRT(C39) + 2 *LOG10((D39 / (3.7 * E39)) + (2.51 / (F39 * SQRT(C39))))</f>
        <v>0.42026475662716622</v>
      </c>
      <c r="B39" s="3">
        <f>-1 / (2 * SQRT(C39) * C39) - 2 * (C39 / (3.7 * E39)) / (F39 * SQRT(C39) * (C39 / (3.7 * E39) + 2.51 / (F39 * SQRT(C39))))</f>
        <v>-29.762821598747397</v>
      </c>
      <c r="C39">
        <f>0.3164/(B24^0.25)</f>
        <v>6.560726195112522E-2</v>
      </c>
      <c r="D39" s="3">
        <v>7.9999999999999996E-7</v>
      </c>
      <c r="E39">
        <f>D19</f>
        <v>0.5837</v>
      </c>
      <c r="F39">
        <f>B24</f>
        <v>540.9264850087585</v>
      </c>
    </row>
    <row r="40" spans="1:7" x14ac:dyDescent="0.25">
      <c r="A40" s="3">
        <f>1 / SQRT(C40) + 2 *LOG10((D40 / (3.7 * E40)) + (2.51 / (F40 * SQRT(C40))))</f>
        <v>-2.6952989701589658E-2</v>
      </c>
      <c r="B40" s="3">
        <f>-1 / (2 * SQRT(C40) * C40) - 2 * (C40 / (3.7 * E40)) / (F40 * SQRT(C40) * (C40 / (3.7 * E40) + 2.51 / (F40 * SQRT(C40))))</f>
        <v>-22.219439673079449</v>
      </c>
      <c r="C40" s="3">
        <f>C39-(A39/B39)</f>
        <v>7.9727722782864829E-2</v>
      </c>
      <c r="D40" s="3">
        <v>7.9999999999999996E-7</v>
      </c>
      <c r="E40">
        <f t="shared" ref="E40:F44" si="0">E39</f>
        <v>0.5837</v>
      </c>
      <c r="F40">
        <f t="shared" si="0"/>
        <v>540.9264850087585</v>
      </c>
    </row>
    <row r="41" spans="1:7" x14ac:dyDescent="0.25">
      <c r="A41" s="3">
        <f>1 / SQRT(C41) + 2 *LOG10((D41 / (3.7 * E41)) + (2.51 / (F41 * SQRT(C41))))</f>
        <v>6.9587060655451616E-3</v>
      </c>
      <c r="B41" s="3">
        <f>-1 / (2 * SQRT(C41) * C41) - 2 * (C41 / (3.7 * E41)) / (F41 * SQRT(C41) * (C41 / (3.7 * E41) + 2.51 / (F41 * SQRT(C41))))</f>
        <v>-22.736146381034235</v>
      </c>
      <c r="C41" s="3">
        <f>C40-(A40/B40)</f>
        <v>7.8514686356287194E-2</v>
      </c>
      <c r="D41" s="3">
        <v>7.9999999999999996E-7</v>
      </c>
      <c r="E41">
        <f t="shared" si="0"/>
        <v>0.5837</v>
      </c>
      <c r="F41">
        <f t="shared" si="0"/>
        <v>540.9264850087585</v>
      </c>
    </row>
    <row r="42" spans="1:7" x14ac:dyDescent="0.25">
      <c r="A42" s="3">
        <f t="shared" ref="A42:A44" si="1">1 / SQRT(C42) + 2 *LOG10((D42 / (3.7 * E42)) + (2.51 / (F42 * SQRT(C42))))</f>
        <v>-1.6665791900467575E-3</v>
      </c>
      <c r="B42" s="3">
        <f t="shared" ref="B42:B44" si="2">-1 / (2 * SQRT(C42) * C42) - 2 * (C42 / (3.7 * E42)) / (F42 * SQRT(C42) * (C42 / (3.7 * E42) + 2.51 / (F42 * SQRT(C42))))</f>
        <v>-22.603898853285063</v>
      </c>
      <c r="C42" s="3">
        <f t="shared" ref="C42:C44" si="3">C41-(A41/B41)</f>
        <v>7.882074992347772E-2</v>
      </c>
      <c r="D42" s="3">
        <v>7.9999999999999996E-7</v>
      </c>
      <c r="E42">
        <f t="shared" si="0"/>
        <v>0.5837</v>
      </c>
      <c r="F42">
        <f t="shared" si="0"/>
        <v>540.9264850087585</v>
      </c>
    </row>
    <row r="43" spans="1:7" x14ac:dyDescent="0.25">
      <c r="A43" s="3">
        <f t="shared" si="1"/>
        <v>4.0692575796619224E-4</v>
      </c>
      <c r="B43" s="3">
        <f t="shared" si="2"/>
        <v>-22.635639389394189</v>
      </c>
      <c r="C43" s="3">
        <f t="shared" si="3"/>
        <v>7.8747020200969936E-2</v>
      </c>
      <c r="D43" s="3">
        <v>7.9999999999999996E-7</v>
      </c>
      <c r="E43">
        <f t="shared" si="0"/>
        <v>0.5837</v>
      </c>
      <c r="F43">
        <f t="shared" si="0"/>
        <v>540.9264850087585</v>
      </c>
    </row>
    <row r="44" spans="1:7" x14ac:dyDescent="0.25">
      <c r="A44" s="5">
        <f t="shared" si="1"/>
        <v>-9.8899277724662227E-5</v>
      </c>
      <c r="B44" s="5">
        <f t="shared" si="2"/>
        <v>-22.627893377545057</v>
      </c>
      <c r="C44" s="5">
        <f t="shared" si="3"/>
        <v>7.8764997416058316E-2</v>
      </c>
      <c r="D44" s="3">
        <v>7.9999999999999996E-7</v>
      </c>
      <c r="E44">
        <f t="shared" si="0"/>
        <v>0.5837</v>
      </c>
      <c r="F44">
        <f t="shared" si="0"/>
        <v>540.9264850087585</v>
      </c>
    </row>
    <row r="46" spans="1:7" x14ac:dyDescent="0.25">
      <c r="A46" s="11" t="s">
        <v>90</v>
      </c>
      <c r="B46" s="11"/>
      <c r="C46" s="11"/>
      <c r="D46" s="11"/>
      <c r="E46" s="11"/>
      <c r="F46" s="11"/>
    </row>
    <row r="47" spans="1:7" x14ac:dyDescent="0.25">
      <c r="A47" t="s">
        <v>81</v>
      </c>
      <c r="B47">
        <f>B34</f>
        <v>2.4390243902439024</v>
      </c>
      <c r="C47" t="s">
        <v>2</v>
      </c>
      <c r="D47">
        <f>F29/3.28</f>
        <v>8.883197478504027E-3</v>
      </c>
      <c r="E47" t="s">
        <v>95</v>
      </c>
      <c r="F47">
        <f>16/B29</f>
        <v>1.3640183263707337</v>
      </c>
    </row>
    <row r="48" spans="1:7" x14ac:dyDescent="0.25">
      <c r="A48" t="s">
        <v>91</v>
      </c>
      <c r="B48">
        <f>F26/(12*3.28)</f>
        <v>7.621951219512195E-2</v>
      </c>
      <c r="C48" t="s">
        <v>92</v>
      </c>
      <c r="D48">
        <f>F25/(12*3.28)</f>
        <v>0.46842353709635737</v>
      </c>
      <c r="E48" s="4" t="s">
        <v>89</v>
      </c>
      <c r="F48" s="4">
        <f>F47*8*(D48/D49)*(B47/B48)*(B49*D47^2/2)</f>
        <v>340.74566803541933</v>
      </c>
    </row>
    <row r="49" spans="1:7" x14ac:dyDescent="0.25">
      <c r="A49" t="s">
        <v>83</v>
      </c>
      <c r="B49">
        <f>'Thermophysical Properties'!F3*16.01</f>
        <v>993.42050000000006</v>
      </c>
      <c r="C49" t="s">
        <v>93</v>
      </c>
      <c r="D49">
        <f>B28/(12*3.28)</f>
        <v>1.8815262957317072E-2</v>
      </c>
      <c r="E49" s="4" t="s">
        <v>94</v>
      </c>
      <c r="F49" s="4">
        <f>F48*14.7/101325</f>
        <v>4.9434604689076379E-2</v>
      </c>
      <c r="G49" s="9" t="str">
        <f>IF(F49&lt;B6,"Allowable","Not Allowable")</f>
        <v>Allowable</v>
      </c>
    </row>
    <row r="51" spans="1:7" x14ac:dyDescent="0.25">
      <c r="A51" s="11" t="s">
        <v>97</v>
      </c>
      <c r="B51" s="11"/>
      <c r="C51" s="11"/>
      <c r="D51" s="11"/>
      <c r="E51" s="11"/>
      <c r="F51" s="11"/>
    </row>
    <row r="52" spans="1:7" x14ac:dyDescent="0.25">
      <c r="A52" t="s">
        <v>104</v>
      </c>
      <c r="B52">
        <f>EXP(8.551-0.30863*LN(F13)+0.06811*(LN(F13)^2))</f>
        <v>8019.750450792546</v>
      </c>
      <c r="C52" t="s">
        <v>98</v>
      </c>
      <c r="D52">
        <f xml:space="preserve"> EXP(-1.1156 + 0.0906*LN(F13))</f>
        <v>0.54765677634682175</v>
      </c>
      <c r="E52" t="s">
        <v>99</v>
      </c>
      <c r="F52">
        <f xml:space="preserve"> 1.14 + 0.12088*LN(F13)</f>
        <v>1.8251114041665981</v>
      </c>
    </row>
    <row r="53" spans="1:7" x14ac:dyDescent="0.25">
      <c r="A53" t="s">
        <v>100</v>
      </c>
      <c r="B53">
        <f>0.8193 + 0.15984*LN(F13)</f>
        <v>1.7252249407841584</v>
      </c>
      <c r="C53" t="s">
        <v>102</v>
      </c>
      <c r="D53">
        <f>B52*D52*F52*B53</f>
        <v>13829.434669554177</v>
      </c>
      <c r="E53" s="4" t="s">
        <v>103</v>
      </c>
      <c r="F53" s="4">
        <f>(B54/D54)*D53</f>
        <v>15338.985637005513</v>
      </c>
    </row>
    <row r="54" spans="1:7" x14ac:dyDescent="0.25">
      <c r="A54" t="s">
        <v>105</v>
      </c>
      <c r="B54">
        <v>1354.5</v>
      </c>
      <c r="C54" t="s">
        <v>106</v>
      </c>
      <c r="D54">
        <v>1221.2</v>
      </c>
    </row>
  </sheetData>
  <mergeCells count="15">
    <mergeCell ref="A51:F51"/>
    <mergeCell ref="A46:F46"/>
    <mergeCell ref="A9:F9"/>
    <mergeCell ref="A1:B1"/>
    <mergeCell ref="C1:D1"/>
    <mergeCell ref="A10:D10"/>
    <mergeCell ref="A12:D12"/>
    <mergeCell ref="A37:F37"/>
    <mergeCell ref="E10:F10"/>
    <mergeCell ref="E12:F12"/>
    <mergeCell ref="A23:C23"/>
    <mergeCell ref="A27:C27"/>
    <mergeCell ref="A31:C31"/>
    <mergeCell ref="A16:D16"/>
    <mergeCell ref="A33:F3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Info</vt:lpstr>
      <vt:lpstr>Thermophysical Properties</vt:lpstr>
      <vt:lpstr>Design (Kern)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Furqan Shakeel</dc:creator>
  <cp:lastModifiedBy>Furqan Shakeel</cp:lastModifiedBy>
  <dcterms:created xsi:type="dcterms:W3CDTF">2015-06-05T18:17:20Z</dcterms:created>
  <dcterms:modified xsi:type="dcterms:W3CDTF">2023-05-29T01:50:14Z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0-bc88714345d2_Enabled">
    <vt:lpwstr>true</vt:lpwstr>
  </property>
  <property fmtid="{D5CDD505-2E9C-101B-9397-08002B2CF9AE}" pid="3" name="MSIP_Label_defa4170-0d19-0005-0000-bc88714345d2_SetDate">
    <vt:lpwstr>2023-05-25T14:06:26Z</vt:lpwstr>
  </property>
  <property fmtid="{D5CDD505-2E9C-101B-9397-08002B2CF9AE}" pid="4" name="MSIP_Label_defa4170-0d19-0005-0000-bc88714345d2_Method">
    <vt:lpwstr>Privileged</vt:lpwstr>
  </property>
  <property fmtid="{D5CDD505-2E9C-101B-9397-08002B2CF9AE}" pid="5" name="MSIP_Label_defa4170-0d19-0005-0000-bc88714345d2_Name">
    <vt:lpwstr>defa4170-0d19-0005-0000-bc88714345d2</vt:lpwstr>
  </property>
  <property fmtid="{D5CDD505-2E9C-101B-9397-08002B2CF9AE}" pid="6" name="MSIP_Label_defa4170-0d19-0005-0000-bc88714345d2_SiteId">
    <vt:lpwstr>d8ec94bb-6288-4c0a-a65c-bd264e500565</vt:lpwstr>
  </property>
  <property fmtid="{D5CDD505-2E9C-101B-9397-08002B2CF9AE}" pid="7" name="MSIP_Label_defa4170-0d19-0005-0000-bc88714345d2_ActionId">
    <vt:lpwstr>86c1a971-6071-4cdd-8165-3648a9543058</vt:lpwstr>
  </property>
  <property fmtid="{D5CDD505-2E9C-101B-9397-08002B2CF9AE}" pid="8" name="MSIP_Label_defa4170-0d19-0005-0000-bc88714345d2_ContentBits">
    <vt:lpwstr>0</vt:lpwstr>
  </property>
</Properties>
</file>