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H:\AC\Тестирование\Практическое домашнее задание 7 - Итоговое\Новый сайт\"/>
    </mc:Choice>
  </mc:AlternateContent>
  <bookViews>
    <workbookView xWindow="0" yWindow="0" windowWidth="28800" windowHeight="11748" tabRatio="630"/>
  </bookViews>
  <sheets>
    <sheet name="Автоматизированный расчет" sheetId="3" r:id="rId1"/>
    <sheet name="Шаблоны соотвествие профилю" sheetId="2" r:id="rId2"/>
    <sheet name="Лист соответствия" sheetId="4" r:id="rId3"/>
    <sheet name="Summary Report" sheetId="5" r:id="rId4"/>
  </sheets>
  <calcPr calcId="152511"/>
  <pivotCaches>
    <pivotCache cacheId="2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5" l="1"/>
  <c r="H4" i="5"/>
  <c r="H5" i="5"/>
  <c r="H6" i="5"/>
  <c r="H7" i="5"/>
  <c r="H8" i="5"/>
  <c r="H9" i="5"/>
  <c r="H10" i="5"/>
  <c r="H11" i="5"/>
  <c r="H12" i="5"/>
  <c r="H2" i="5"/>
  <c r="F20" i="3"/>
  <c r="F21" i="3"/>
  <c r="F22" i="3"/>
  <c r="F23" i="3"/>
  <c r="F24" i="3"/>
  <c r="F25" i="3"/>
  <c r="F26" i="3"/>
  <c r="F27" i="3"/>
  <c r="F28" i="3"/>
  <c r="F29" i="3"/>
  <c r="F19" i="3"/>
  <c r="E19" i="3" l="1"/>
  <c r="G19" i="3" s="1"/>
  <c r="D2" i="3" l="1"/>
  <c r="D12" i="3"/>
  <c r="D11" i="3"/>
  <c r="C19" i="3"/>
  <c r="C20" i="3"/>
  <c r="C21" i="3"/>
  <c r="D19" i="3" l="1"/>
  <c r="D21" i="3"/>
  <c r="D20" i="3"/>
  <c r="W2" i="3"/>
  <c r="E21" i="3"/>
  <c r="G21" i="3" s="1"/>
  <c r="E22" i="3"/>
  <c r="G22" i="3" s="1"/>
  <c r="E23" i="3"/>
  <c r="G23" i="3" s="1"/>
  <c r="E24" i="3"/>
  <c r="G24" i="3" s="1"/>
  <c r="E25" i="3"/>
  <c r="G25" i="3" s="1"/>
  <c r="E26" i="3"/>
  <c r="G26" i="3" s="1"/>
  <c r="E27" i="3"/>
  <c r="G27" i="3" s="1"/>
  <c r="E28" i="3"/>
  <c r="G28" i="3" s="1"/>
  <c r="E29" i="3"/>
  <c r="G29" i="3" s="1"/>
  <c r="E20" i="3"/>
  <c r="G20" i="3" s="1"/>
  <c r="H19" i="3" l="1"/>
  <c r="D7" i="3"/>
  <c r="D13" i="3" l="1"/>
  <c r="P4" i="3"/>
  <c r="Q4" i="3" s="1"/>
  <c r="D4" i="3"/>
  <c r="D5" i="3"/>
  <c r="D6" i="3"/>
  <c r="D8" i="3"/>
  <c r="D9" i="3"/>
  <c r="D10" i="3"/>
  <c r="D14" i="3"/>
  <c r="E12" i="3" l="1"/>
  <c r="F12" i="3" s="1"/>
  <c r="H12" i="3" s="1"/>
  <c r="E11" i="3"/>
  <c r="F11" i="3" s="1"/>
  <c r="H11" i="3" s="1"/>
  <c r="E13" i="3"/>
  <c r="F13" i="3" s="1"/>
  <c r="H13" i="3" s="1"/>
  <c r="E10" i="3"/>
  <c r="F10" i="3" s="1"/>
  <c r="H10" i="3" s="1"/>
  <c r="E9" i="3"/>
  <c r="F9" i="3" s="1"/>
  <c r="H9" i="3" s="1"/>
  <c r="E8" i="3"/>
  <c r="F8" i="3" s="1"/>
  <c r="H8" i="3" s="1"/>
  <c r="E14" i="3"/>
  <c r="F14" i="3" s="1"/>
  <c r="H14" i="3" s="1"/>
  <c r="D35" i="3"/>
  <c r="D36" i="3"/>
  <c r="H36" i="3" s="1"/>
  <c r="D37" i="3"/>
  <c r="D38" i="3"/>
  <c r="D34" i="3"/>
  <c r="B38" i="3"/>
  <c r="B36" i="3"/>
  <c r="B35" i="3"/>
  <c r="B37" i="3"/>
  <c r="B34" i="3"/>
  <c r="C22" i="3"/>
  <c r="C29" i="3"/>
  <c r="C25" i="3"/>
  <c r="C27" i="3"/>
  <c r="C24" i="3"/>
  <c r="H29" i="3" l="1"/>
  <c r="H24" i="3"/>
  <c r="H25" i="3"/>
  <c r="H27" i="3"/>
  <c r="D22" i="3"/>
  <c r="C28" i="3"/>
  <c r="C26" i="3"/>
  <c r="C23" i="3"/>
  <c r="H26" i="3" l="1"/>
  <c r="H28" i="3"/>
  <c r="H22" i="3"/>
  <c r="H21" i="3"/>
  <c r="F34" i="3"/>
  <c r="G34" i="3" s="1"/>
  <c r="H34" i="3" s="1"/>
  <c r="I53" i="3" s="1"/>
  <c r="C30" i="3"/>
  <c r="F38" i="3"/>
  <c r="G38" i="3" s="1"/>
  <c r="H38" i="3" s="1"/>
  <c r="I57" i="3" s="1"/>
  <c r="F36" i="3"/>
  <c r="F37" i="3"/>
  <c r="H37" i="3"/>
  <c r="I56" i="3" s="1"/>
  <c r="F35" i="3"/>
  <c r="G35" i="3" s="1"/>
  <c r="H35" i="3" s="1"/>
  <c r="I54" i="3" s="1"/>
  <c r="I55" i="3"/>
  <c r="B30" i="3"/>
  <c r="F30" i="3" l="1"/>
  <c r="J25" i="3" s="1"/>
  <c r="H23" i="3"/>
  <c r="D30" i="3"/>
  <c r="D29" i="3"/>
  <c r="J29" i="3" l="1"/>
  <c r="J23" i="3"/>
  <c r="J21" i="3"/>
  <c r="J22" i="3"/>
  <c r="J19" i="3"/>
  <c r="J26" i="3"/>
  <c r="J20" i="3"/>
  <c r="J24" i="3"/>
  <c r="J27" i="3"/>
  <c r="J28" i="3"/>
  <c r="P3" i="3"/>
  <c r="J30" i="3" l="1"/>
  <c r="Q3" i="3"/>
  <c r="E7" i="3" s="1"/>
  <c r="F7" i="3" s="1"/>
  <c r="H7" i="3" s="1"/>
  <c r="V3" i="3"/>
  <c r="P2" i="3"/>
  <c r="Q2" i="3" s="1"/>
  <c r="D3" i="3"/>
  <c r="V2" i="3"/>
  <c r="S3" i="3" l="1"/>
  <c r="U3" i="3" s="1"/>
  <c r="Y3" i="3" s="1"/>
  <c r="E5" i="3"/>
  <c r="F5" i="3" s="1"/>
  <c r="H5" i="3" s="1"/>
  <c r="E6" i="3"/>
  <c r="F6" i="3" s="1"/>
  <c r="H6" i="3" s="1"/>
  <c r="E4" i="3"/>
  <c r="F4" i="3" s="1"/>
  <c r="H4" i="3" s="1"/>
  <c r="E2" i="3"/>
  <c r="F2" i="3" s="1"/>
  <c r="H2" i="3" s="1"/>
  <c r="S2" i="3"/>
  <c r="U2" i="3" s="1"/>
  <c r="Y2" i="3" s="1"/>
  <c r="E3" i="3"/>
  <c r="F3" i="3" s="1"/>
  <c r="H3" i="3" s="1"/>
  <c r="S4" i="3"/>
  <c r="U4" i="3" s="1"/>
  <c r="Y4" i="3" s="1"/>
  <c r="H20" i="3"/>
  <c r="D24" i="3"/>
  <c r="V4" i="3"/>
  <c r="G44" i="2"/>
  <c r="G43" i="2"/>
  <c r="I43" i="2" s="1"/>
  <c r="G42" i="2"/>
  <c r="I42" i="2" s="1"/>
  <c r="G41" i="2"/>
  <c r="G40" i="2"/>
  <c r="G39" i="2"/>
  <c r="I39" i="2" s="1"/>
  <c r="G38" i="2"/>
  <c r="I38" i="2" s="1"/>
  <c r="H32" i="2"/>
  <c r="H31" i="2"/>
  <c r="H30" i="2"/>
  <c r="H29" i="2"/>
  <c r="H28" i="2"/>
  <c r="G32" i="2"/>
  <c r="G31" i="2"/>
  <c r="G30" i="2"/>
  <c r="G29" i="2"/>
  <c r="G28" i="2"/>
  <c r="H27" i="2"/>
  <c r="G27" i="2"/>
  <c r="H26" i="2"/>
  <c r="G26" i="2"/>
  <c r="H12" i="2"/>
  <c r="I12" i="2" s="1"/>
  <c r="H13" i="2"/>
  <c r="I13" i="2" s="1"/>
  <c r="H14" i="2"/>
  <c r="I14" i="2" s="1"/>
  <c r="H15" i="2"/>
  <c r="I15" i="2" s="1"/>
  <c r="H16" i="2"/>
  <c r="I16" i="2" s="1"/>
  <c r="H17" i="2"/>
  <c r="I17" i="2" s="1"/>
  <c r="H18" i="2"/>
  <c r="I18" i="2" s="1"/>
  <c r="D27" i="3" l="1"/>
  <c r="D28" i="3"/>
  <c r="D23" i="3"/>
  <c r="D25" i="3"/>
  <c r="D26" i="3"/>
  <c r="I40" i="2"/>
  <c r="I44" i="2"/>
  <c r="I41" i="2"/>
  <c r="I32" i="2"/>
  <c r="I31" i="2"/>
  <c r="I30" i="2"/>
  <c r="I29" i="2"/>
  <c r="I28" i="2"/>
  <c r="I27" i="2"/>
  <c r="I26" i="2"/>
</calcChain>
</file>

<file path=xl/comments1.xml><?xml version="1.0" encoding="utf-8"?>
<comments xmlns="http://schemas.openxmlformats.org/spreadsheetml/2006/main">
  <authors>
    <author>Microsoft Office User</author>
  </authors>
  <commentList>
    <comment ref="P2" authorId="0" shapeId="0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Общая длительность одной итерации скрипта ThinkTime + Duration, считается автоматически</t>
        </r>
      </text>
    </comment>
    <comment ref="Q2" authorId="0" shapeId="0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Pacing не должен быть меньше чем Duration + think time (столбец P). Изначально считается как Duration + think time * 2 (коэф запаса времени), далее подгоняется вручную</t>
        </r>
      </text>
    </comment>
    <comment ref="R2" authorId="0" shapeId="0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Количество пользователей для конкретного скрипта, заполняется вручную, сумма всех пользователей для 100% профиля не должна превышать 10.</t>
        </r>
      </text>
    </comment>
  </commentList>
</comments>
</file>

<file path=xl/sharedStrings.xml><?xml version="1.0" encoding="utf-8"?>
<sst xmlns="http://schemas.openxmlformats.org/spreadsheetml/2006/main" count="306" uniqueCount="163">
  <si>
    <t>Вход в систему</t>
  </si>
  <si>
    <t>Заполнение полей для поиска билета</t>
  </si>
  <si>
    <t>Выбор рейса из найденных</t>
  </si>
  <si>
    <t>Оплата билета</t>
  </si>
  <si>
    <t>Отмена бронирования билета</t>
  </si>
  <si>
    <t>Выход из системы</t>
  </si>
  <si>
    <t>Итого</t>
  </si>
  <si>
    <t>Наименование операции</t>
  </si>
  <si>
    <t>Наименование транзакции</t>
  </si>
  <si>
    <t>По профилю</t>
  </si>
  <si>
    <t>По факту</t>
  </si>
  <si>
    <t>% отклонения</t>
  </si>
  <si>
    <t>payment_details</t>
  </si>
  <si>
    <t>Просмотр квитанции</t>
  </si>
  <si>
    <t>Cancel_reservation</t>
  </si>
  <si>
    <t>Check_ticket</t>
  </si>
  <si>
    <t>fing_flight</t>
  </si>
  <si>
    <t>login</t>
  </si>
  <si>
    <t>logout</t>
  </si>
  <si>
    <t>select_ticket</t>
  </si>
  <si>
    <t>Transaction Name</t>
  </si>
  <si>
    <t>Pass</t>
  </si>
  <si>
    <t>Fail</t>
  </si>
  <si>
    <t>Stop</t>
  </si>
  <si>
    <t>Поиск максимума 3 ступень</t>
  </si>
  <si>
    <t>Подтверждение максимума</t>
  </si>
  <si>
    <t>Профиль для 5 пользаков</t>
  </si>
  <si>
    <t>1 315,</t>
  </si>
  <si>
    <t>1 970,</t>
  </si>
  <si>
    <t>1 675,</t>
  </si>
  <si>
    <t>Script name</t>
  </si>
  <si>
    <t>transaction rq</t>
  </si>
  <si>
    <t>count</t>
  </si>
  <si>
    <t>Названия строк</t>
  </si>
  <si>
    <t>Общий итог</t>
  </si>
  <si>
    <t>Операция (бизнес процесс)</t>
  </si>
  <si>
    <t>VU</t>
  </si>
  <si>
    <t>Duration</t>
  </si>
  <si>
    <t>Think_time</t>
  </si>
  <si>
    <t>Pacing</t>
  </si>
  <si>
    <t>Количетсво запросов одним пользователем в минуту</t>
  </si>
  <si>
    <t>Длительность ступени в минутах</t>
  </si>
  <si>
    <t>Интенсивность операций</t>
  </si>
  <si>
    <t>% Распределения пользователей</t>
  </si>
  <si>
    <t>Всего пользователей на ступени</t>
  </si>
  <si>
    <t>Сумма по полю Итого</t>
  </si>
  <si>
    <t>pacing</t>
  </si>
  <si>
    <t>одним пользователем в минуту</t>
  </si>
  <si>
    <t>Длительность ступени</t>
  </si>
  <si>
    <t>Duration + Thin_time</t>
  </si>
  <si>
    <t>Расчетная интенсивность запросов / час</t>
  </si>
  <si>
    <t>% Соотвествия расчетанной интенсивности статистики</t>
  </si>
  <si>
    <t>Интенсивность по статистике запросов / час</t>
  </si>
  <si>
    <t>Фактическая интенсивность в тесте</t>
  </si>
  <si>
    <t>% Отклонение от Профиля</t>
  </si>
  <si>
    <t>Покупка билет</t>
  </si>
  <si>
    <t>Логин и логоут</t>
  </si>
  <si>
    <t>Удаление юрони</t>
  </si>
  <si>
    <t>Поиск билета</t>
  </si>
  <si>
    <t>Просмотр текущих бронирований</t>
  </si>
  <si>
    <t>Кол-во в минуту</t>
  </si>
  <si>
    <t>vu</t>
  </si>
  <si>
    <t>мин</t>
  </si>
  <si>
    <t>округл</t>
  </si>
  <si>
    <t>pacing сек</t>
  </si>
  <si>
    <t>Операций/час = количество операций одним пользователем в час (60 * количество операций один пользователем в минуту (pacing / 60)) * кол-во пользователей</t>
  </si>
  <si>
    <t>Название запроса</t>
  </si>
  <si>
    <t>Логин</t>
  </si>
  <si>
    <t>Login</t>
  </si>
  <si>
    <t>SLA Status</t>
  </si>
  <si>
    <t>Minimum</t>
  </si>
  <si>
    <t>Average</t>
  </si>
  <si>
    <t>Maximum</t>
  </si>
  <si>
    <t>Std. Deviation</t>
  </si>
  <si>
    <t>90 Percent</t>
  </si>
  <si>
    <t>Скроллинг на сайте</t>
  </si>
  <si>
    <t>Регистрация</t>
  </si>
  <si>
    <t>Покупка</t>
  </si>
  <si>
    <t>Главная страница</t>
  </si>
  <si>
    <t>Перейти на страницу регистрации</t>
  </si>
  <si>
    <t>Открыть корзину</t>
  </si>
  <si>
    <t>Перейти на страницу оплаты</t>
  </si>
  <si>
    <t>Страница успешной оплаты</t>
  </si>
  <si>
    <t>Расчетная статистика</t>
  </si>
  <si>
    <t>Laptop Selection 1</t>
  </si>
  <si>
    <t>Check The Cart</t>
  </si>
  <si>
    <t>Payment Details</t>
  </si>
  <si>
    <t>Order Payment</t>
  </si>
  <si>
    <t>Register</t>
  </si>
  <si>
    <t>Create New Account</t>
  </si>
  <si>
    <t>Home</t>
  </si>
  <si>
    <t>Mice</t>
  </si>
  <si>
    <t>No Data</t>
  </si>
  <si>
    <t>Laptops</t>
  </si>
  <si>
    <t>Product 1</t>
  </si>
  <si>
    <t>Открыть список ноутбуков</t>
  </si>
  <si>
    <t>Открыть список мышей</t>
  </si>
  <si>
    <t>Посмотреть ноутбук и добавить в корзину</t>
  </si>
  <si>
    <t>Посмотреть мышь</t>
  </si>
  <si>
    <t>10,5581</t>
  </si>
  <si>
    <t>35,0236</t>
  </si>
  <si>
    <t>65,0823</t>
  </si>
  <si>
    <t>7,7076</t>
  </si>
  <si>
    <t>10,0219</t>
  </si>
  <si>
    <t>34,0344</t>
  </si>
  <si>
    <t>0,954</t>
  </si>
  <si>
    <t>1,423</t>
  </si>
  <si>
    <t>3,939</t>
  </si>
  <si>
    <t>0,501</t>
  </si>
  <si>
    <t>1,976</t>
  </si>
  <si>
    <t>0,</t>
  </si>
  <si>
    <t>0,153</t>
  </si>
  <si>
    <t>0,173</t>
  </si>
  <si>
    <t>0,62</t>
  </si>
  <si>
    <t>0,05</t>
  </si>
  <si>
    <t>0,171</t>
  </si>
  <si>
    <t>2,344</t>
  </si>
  <si>
    <t>3,239</t>
  </si>
  <si>
    <t>10,867</t>
  </si>
  <si>
    <t>1,186</t>
  </si>
  <si>
    <t>4,671</t>
  </si>
  <si>
    <t>2,289</t>
  </si>
  <si>
    <t>3,011</t>
  </si>
  <si>
    <t>5,684</t>
  </si>
  <si>
    <t>0,611</t>
  </si>
  <si>
    <t>3,685</t>
  </si>
  <si>
    <t>0,678</t>
  </si>
  <si>
    <t>0,777</t>
  </si>
  <si>
    <t>2,023</t>
  </si>
  <si>
    <t>0,156</t>
  </si>
  <si>
    <t>0,901</t>
  </si>
  <si>
    <t>1,118</t>
  </si>
  <si>
    <t>1,582</t>
  </si>
  <si>
    <t>4,631</t>
  </si>
  <si>
    <t>0,513</t>
  </si>
  <si>
    <t>2,122</t>
  </si>
  <si>
    <t>0,642</t>
  </si>
  <si>
    <t>0,746</t>
  </si>
  <si>
    <t>2,087</t>
  </si>
  <si>
    <t>0,127</t>
  </si>
  <si>
    <t>0,846</t>
  </si>
  <si>
    <t>1,863</t>
  </si>
  <si>
    <t>2,249</t>
  </si>
  <si>
    <t>3,501</t>
  </si>
  <si>
    <t>0,381</t>
  </si>
  <si>
    <t>2,946</t>
  </si>
  <si>
    <t>17,072</t>
  </si>
  <si>
    <t>20,219</t>
  </si>
  <si>
    <t>23,934</t>
  </si>
  <si>
    <t>1,496</t>
  </si>
  <si>
    <t>22,388</t>
  </si>
  <si>
    <t>1,44</t>
  </si>
  <si>
    <t>1,684</t>
  </si>
  <si>
    <t>3,772</t>
  </si>
  <si>
    <t>0,262</t>
  </si>
  <si>
    <t>2,047</t>
  </si>
  <si>
    <t>0,574</t>
  </si>
  <si>
    <t>0,671</t>
  </si>
  <si>
    <t>1,724</t>
  </si>
  <si>
    <t>0,106</t>
  </si>
  <si>
    <t>0,781</t>
  </si>
  <si>
    <t>для 50 vu за 1 час</t>
  </si>
  <si>
    <t>Расчетная интенсивность запросов / 20 мин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</si>
</sst>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3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4"/>
      <color rgb="FF000000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sz val="14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b/>
      <sz val="11"/>
      <name val="Times New Roman"/>
      <family val="1"/>
      <charset val="204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0"/>
      <color rgb="FF000000"/>
      <name val="Tahoma"/>
      <family val="2"/>
      <charset val="204"/>
    </font>
    <font>
      <b/>
      <sz val="10"/>
      <color rgb="FF000000"/>
      <name val="Tahoma"/>
      <family val="2"/>
      <charset val="204"/>
    </font>
    <font>
      <sz val="11"/>
      <name val="Calibri"/>
      <family val="2"/>
      <scheme val="minor"/>
    </font>
    <font>
      <sz val="11"/>
      <color rgb="FF9C6500"/>
      <name val="Calibri"/>
      <family val="2"/>
      <charset val="204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09">
    <xf numFmtId="0" fontId="0" fillId="0" borderId="0"/>
    <xf numFmtId="0" fontId="11" fillId="2" borderId="0" applyNumberFormat="0" applyBorder="0" applyAlignment="0" applyProtection="0"/>
    <xf numFmtId="0" fontId="12" fillId="3" borderId="0" applyNumberFormat="0" applyBorder="0" applyAlignment="0" applyProtection="0"/>
    <xf numFmtId="0" fontId="13" fillId="4" borderId="0" applyNumberFormat="0" applyBorder="0" applyAlignment="0" applyProtection="0"/>
    <xf numFmtId="0" fontId="7" fillId="0" borderId="0"/>
    <xf numFmtId="0" fontId="18" fillId="0" borderId="0" applyNumberFormat="0" applyFill="0" applyBorder="0" applyAlignment="0" applyProtection="0"/>
    <xf numFmtId="0" fontId="19" fillId="0" borderId="4" applyNumberFormat="0" applyFill="0" applyAlignment="0" applyProtection="0"/>
    <xf numFmtId="0" fontId="20" fillId="0" borderId="5" applyNumberFormat="0" applyFill="0" applyAlignment="0" applyProtection="0"/>
    <xf numFmtId="0" fontId="21" fillId="0" borderId="6" applyNumberFormat="0" applyFill="0" applyAlignment="0" applyProtection="0"/>
    <xf numFmtId="0" fontId="21" fillId="0" borderId="0" applyNumberFormat="0" applyFill="0" applyBorder="0" applyAlignment="0" applyProtection="0"/>
    <xf numFmtId="0" fontId="22" fillId="6" borderId="7" applyNumberFormat="0" applyAlignment="0" applyProtection="0"/>
    <xf numFmtId="0" fontId="23" fillId="7" borderId="8" applyNumberFormat="0" applyAlignment="0" applyProtection="0"/>
    <xf numFmtId="0" fontId="24" fillId="7" borderId="7" applyNumberFormat="0" applyAlignment="0" applyProtection="0"/>
    <xf numFmtId="0" fontId="25" fillId="0" borderId="9" applyNumberFormat="0" applyFill="0" applyAlignment="0" applyProtection="0"/>
    <xf numFmtId="0" fontId="26" fillId="8" borderId="10" applyNumberFormat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14" fillId="0" borderId="12" applyNumberFormat="0" applyFill="0" applyAlignment="0" applyProtection="0"/>
    <xf numFmtId="0" fontId="29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29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29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1" borderId="0" applyNumberFormat="0" applyBorder="0" applyAlignment="0" applyProtection="0"/>
    <xf numFmtId="0" fontId="29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29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29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0" borderId="0"/>
    <xf numFmtId="0" fontId="6" fillId="9" borderId="11" applyNumberFormat="0" applyFont="0" applyAlignment="0" applyProtection="0"/>
    <xf numFmtId="9" fontId="30" fillId="0" borderId="0" applyFont="0" applyFill="0" applyBorder="0" applyAlignment="0" applyProtection="0"/>
    <xf numFmtId="0" fontId="5" fillId="0" borderId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5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0" borderId="0"/>
    <xf numFmtId="0" fontId="5" fillId="9" borderId="11" applyNumberFormat="0" applyFont="0" applyAlignment="0" applyProtection="0"/>
    <xf numFmtId="0" fontId="4" fillId="0" borderId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0" borderId="0"/>
    <xf numFmtId="0" fontId="4" fillId="9" borderId="11" applyNumberFormat="0" applyFont="0" applyAlignment="0" applyProtection="0"/>
    <xf numFmtId="0" fontId="3" fillId="0" borderId="0"/>
    <xf numFmtId="9" fontId="3" fillId="0" borderId="0" applyFont="0" applyFill="0" applyBorder="0" applyAlignment="0" applyProtection="0"/>
    <xf numFmtId="0" fontId="35" fillId="4" borderId="0" applyNumberFormat="0" applyBorder="0" applyAlignment="0" applyProtection="0"/>
    <xf numFmtId="0" fontId="3" fillId="9" borderId="11" applyNumberFormat="0" applyFont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29" fillId="13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29" fillId="17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29" fillId="21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29" fillId="25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29" fillId="29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29" fillId="33" borderId="0" applyNumberFormat="0" applyBorder="0" applyAlignment="0" applyProtection="0"/>
  </cellStyleXfs>
  <cellXfs count="87">
    <xf numFmtId="0" fontId="0" fillId="0" borderId="0" xfId="0"/>
    <xf numFmtId="0" fontId="15" fillId="5" borderId="2" xfId="0" applyFont="1" applyFill="1" applyBorder="1" applyAlignment="1">
      <alignment horizontal="center" vertical="top" wrapText="1"/>
    </xf>
    <xf numFmtId="0" fontId="16" fillId="0" borderId="3" xfId="0" applyFont="1" applyBorder="1" applyAlignment="1">
      <alignment horizontal="left" vertical="top" wrapText="1"/>
    </xf>
    <xf numFmtId="0" fontId="14" fillId="0" borderId="3" xfId="4" applyFont="1" applyBorder="1" applyAlignment="1">
      <alignment horizontal="center" vertical="top"/>
    </xf>
    <xf numFmtId="0" fontId="15" fillId="0" borderId="3" xfId="0" applyFont="1" applyBorder="1" applyAlignment="1">
      <alignment horizontal="center" vertical="top"/>
    </xf>
    <xf numFmtId="10" fontId="15" fillId="0" borderId="3" xfId="0" applyNumberFormat="1" applyFont="1" applyBorder="1" applyAlignment="1">
      <alignment horizontal="center" vertical="top"/>
    </xf>
    <xf numFmtId="10" fontId="17" fillId="0" borderId="3" xfId="0" applyNumberFormat="1" applyFont="1" applyBorder="1" applyAlignment="1">
      <alignment horizontal="center" vertical="top"/>
    </xf>
    <xf numFmtId="10" fontId="17" fillId="0" borderId="3" xfId="0" applyNumberFormat="1" applyFont="1" applyBorder="1" applyAlignment="1">
      <alignment horizontal="left" vertical="top"/>
    </xf>
    <xf numFmtId="0" fontId="15" fillId="5" borderId="3" xfId="0" applyFont="1" applyFill="1" applyBorder="1" applyAlignment="1">
      <alignment horizontal="left" vertical="top"/>
    </xf>
    <xf numFmtId="0" fontId="6" fillId="0" borderId="3" xfId="42" applyBorder="1"/>
    <xf numFmtId="0" fontId="15" fillId="0" borderId="3" xfId="0" applyFont="1" applyBorder="1" applyAlignment="1">
      <alignment horizontal="left" vertical="top"/>
    </xf>
    <xf numFmtId="10" fontId="15" fillId="0" borderId="3" xfId="0" applyNumberFormat="1" applyFont="1" applyBorder="1" applyAlignment="1">
      <alignment horizontal="left" vertical="top"/>
    </xf>
    <xf numFmtId="0" fontId="14" fillId="0" borderId="3" xfId="4" applyFont="1" applyBorder="1" applyAlignment="1">
      <alignment horizontal="left" vertical="top"/>
    </xf>
    <xf numFmtId="0" fontId="16" fillId="0" borderId="3" xfId="0" applyFont="1" applyBorder="1" applyAlignment="1">
      <alignment horizontal="left" vertical="top"/>
    </xf>
    <xf numFmtId="0" fontId="6" fillId="0" borderId="0" xfId="42"/>
    <xf numFmtId="0" fontId="0" fillId="0" borderId="0" xfId="0" applyNumberFormat="1"/>
    <xf numFmtId="1" fontId="0" fillId="0" borderId="0" xfId="0" applyNumberFormat="1"/>
    <xf numFmtId="2" fontId="0" fillId="0" borderId="0" xfId="0" applyNumberFormat="1"/>
    <xf numFmtId="0" fontId="31" fillId="0" borderId="0" xfId="0" applyFont="1"/>
    <xf numFmtId="1" fontId="31" fillId="0" borderId="0" xfId="0" applyNumberFormat="1" applyFont="1"/>
    <xf numFmtId="9" fontId="0" fillId="0" borderId="3" xfId="44" applyFont="1" applyBorder="1"/>
    <xf numFmtId="9" fontId="0" fillId="37" borderId="3" xfId="44" applyFont="1" applyFill="1" applyBorder="1"/>
    <xf numFmtId="1" fontId="8" fillId="0" borderId="15" xfId="0" applyNumberFormat="1" applyFont="1" applyBorder="1" applyAlignment="1">
      <alignment horizontal="center" vertical="center" wrapText="1"/>
    </xf>
    <xf numFmtId="0" fontId="10" fillId="0" borderId="0" xfId="0" applyFont="1" applyAlignment="1">
      <alignment wrapText="1"/>
    </xf>
    <xf numFmtId="1" fontId="0" fillId="0" borderId="16" xfId="0" applyNumberFormat="1" applyBorder="1"/>
    <xf numFmtId="0" fontId="10" fillId="0" borderId="3" xfId="0" applyFont="1" applyBorder="1" applyAlignment="1">
      <alignment vertical="center" wrapText="1"/>
    </xf>
    <xf numFmtId="9" fontId="0" fillId="0" borderId="0" xfId="44" applyFont="1"/>
    <xf numFmtId="164" fontId="0" fillId="0" borderId="0" xfId="0" applyNumberFormat="1"/>
    <xf numFmtId="0" fontId="0" fillId="0" borderId="0" xfId="0" applyAlignment="1">
      <alignment horizontal="center"/>
    </xf>
    <xf numFmtId="164" fontId="0" fillId="40" borderId="3" xfId="0" applyNumberFormat="1" applyFill="1" applyBorder="1"/>
    <xf numFmtId="164" fontId="0" fillId="40" borderId="3" xfId="0" quotePrefix="1" applyNumberFormat="1" applyFill="1" applyBorder="1"/>
    <xf numFmtId="0" fontId="0" fillId="0" borderId="0" xfId="0" applyFont="1"/>
    <xf numFmtId="9" fontId="0" fillId="0" borderId="0" xfId="0" applyNumberFormat="1" applyFont="1"/>
    <xf numFmtId="0" fontId="10" fillId="0" borderId="15" xfId="0" applyFont="1" applyBorder="1" applyAlignment="1">
      <alignment vertical="center" wrapText="1"/>
    </xf>
    <xf numFmtId="0" fontId="10" fillId="38" borderId="18" xfId="0" applyFont="1" applyFill="1" applyBorder="1" applyAlignment="1">
      <alignment vertical="center" wrapText="1"/>
    </xf>
    <xf numFmtId="0" fontId="10" fillId="38" borderId="19" xfId="0" applyFont="1" applyFill="1" applyBorder="1" applyAlignment="1">
      <alignment vertical="center" wrapText="1"/>
    </xf>
    <xf numFmtId="0" fontId="8" fillId="38" borderId="19" xfId="0" applyFont="1" applyFill="1" applyBorder="1" applyAlignment="1">
      <alignment horizontal="center" vertical="center" wrapText="1"/>
    </xf>
    <xf numFmtId="0" fontId="8" fillId="38" borderId="18" xfId="0" applyFont="1" applyFill="1" applyBorder="1" applyAlignment="1">
      <alignment horizontal="left" vertical="center" wrapText="1"/>
    </xf>
    <xf numFmtId="0" fontId="9" fillId="38" borderId="20" xfId="0" applyFont="1" applyFill="1" applyBorder="1" applyAlignment="1">
      <alignment horizontal="left" vertical="center" wrapText="1"/>
    </xf>
    <xf numFmtId="0" fontId="8" fillId="38" borderId="21" xfId="0" applyFont="1" applyFill="1" applyBorder="1" applyAlignment="1">
      <alignment horizontal="center" vertical="center" wrapText="1"/>
    </xf>
    <xf numFmtId="0" fontId="0" fillId="39" borderId="22" xfId="0" applyFill="1" applyBorder="1"/>
    <xf numFmtId="0" fontId="0" fillId="39" borderId="25" xfId="0" applyFill="1" applyBorder="1"/>
    <xf numFmtId="0" fontId="0" fillId="39" borderId="23" xfId="0" applyFill="1" applyBorder="1"/>
    <xf numFmtId="9" fontId="0" fillId="0" borderId="17" xfId="44" applyFont="1" applyBorder="1"/>
    <xf numFmtId="0" fontId="0" fillId="0" borderId="0" xfId="0"/>
    <xf numFmtId="0" fontId="0" fillId="0" borderId="13" xfId="0" applyBorder="1"/>
    <xf numFmtId="0" fontId="0" fillId="0" borderId="0" xfId="0"/>
    <xf numFmtId="1" fontId="0" fillId="0" borderId="0" xfId="0" applyNumberFormat="1"/>
    <xf numFmtId="2" fontId="0" fillId="0" borderId="0" xfId="0" applyNumberFormat="1"/>
    <xf numFmtId="0" fontId="0" fillId="0" borderId="14" xfId="0" applyBorder="1"/>
    <xf numFmtId="1" fontId="0" fillId="0" borderId="16" xfId="0" applyNumberFormat="1" applyBorder="1"/>
    <xf numFmtId="0" fontId="0" fillId="0" borderId="0" xfId="0" applyBorder="1"/>
    <xf numFmtId="0" fontId="0" fillId="0" borderId="3" xfId="0" applyBorder="1"/>
    <xf numFmtId="2" fontId="0" fillId="0" borderId="0" xfId="0" applyNumberFormat="1" applyBorder="1"/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  <xf numFmtId="2" fontId="0" fillId="0" borderId="0" xfId="0" applyNumberFormat="1"/>
    <xf numFmtId="0" fontId="0" fillId="0" borderId="13" xfId="0" applyBorder="1"/>
    <xf numFmtId="0" fontId="0" fillId="0" borderId="14" xfId="0" applyBorder="1"/>
    <xf numFmtId="0" fontId="0" fillId="0" borderId="1" xfId="0" applyBorder="1"/>
    <xf numFmtId="0" fontId="0" fillId="5" borderId="3" xfId="0" applyFill="1" applyBorder="1"/>
    <xf numFmtId="1" fontId="0" fillId="36" borderId="3" xfId="0" applyNumberFormat="1" applyFill="1" applyBorder="1"/>
    <xf numFmtId="0" fontId="3" fillId="0" borderId="0" xfId="87"/>
    <xf numFmtId="0" fontId="3" fillId="0" borderId="0" xfId="87"/>
    <xf numFmtId="0" fontId="3" fillId="0" borderId="0" xfId="87"/>
    <xf numFmtId="9" fontId="3" fillId="0" borderId="0" xfId="88" applyFont="1"/>
    <xf numFmtId="0" fontId="34" fillId="39" borderId="26" xfId="0" applyFont="1" applyFill="1" applyBorder="1"/>
    <xf numFmtId="0" fontId="34" fillId="39" borderId="27" xfId="0" applyFont="1" applyFill="1" applyBorder="1"/>
    <xf numFmtId="0" fontId="0" fillId="39" borderId="27" xfId="0" applyFill="1" applyBorder="1"/>
    <xf numFmtId="0" fontId="34" fillId="39" borderId="28" xfId="0" applyFont="1" applyFill="1" applyBorder="1"/>
    <xf numFmtId="165" fontId="0" fillId="0" borderId="0" xfId="0" applyNumberFormat="1"/>
    <xf numFmtId="0" fontId="2" fillId="0" borderId="0" xfId="87" applyFont="1"/>
    <xf numFmtId="0" fontId="10" fillId="38" borderId="19" xfId="0" applyFont="1" applyFill="1" applyBorder="1" applyAlignment="1">
      <alignment horizontal="center" vertical="center" wrapText="1"/>
    </xf>
    <xf numFmtId="9" fontId="0" fillId="0" borderId="0" xfId="0" applyNumberFormat="1"/>
    <xf numFmtId="0" fontId="0" fillId="35" borderId="3" xfId="0" applyFill="1" applyBorder="1" applyAlignment="1">
      <alignment horizontal="center" vertical="center"/>
    </xf>
    <xf numFmtId="1" fontId="0" fillId="0" borderId="3" xfId="0" applyNumberFormat="1" applyFill="1" applyBorder="1" applyAlignment="1">
      <alignment horizontal="center" vertical="center"/>
    </xf>
    <xf numFmtId="1" fontId="0" fillId="35" borderId="3" xfId="0" applyNumberFormat="1" applyFill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0" fontId="0" fillId="0" borderId="0" xfId="0" quotePrefix="1" applyNumberFormat="1"/>
    <xf numFmtId="0" fontId="0" fillId="40" borderId="24" xfId="0" applyFill="1" applyBorder="1" applyAlignment="1">
      <alignment horizontal="center"/>
    </xf>
    <xf numFmtId="0" fontId="0" fillId="40" borderId="26" xfId="0" applyFill="1" applyBorder="1" applyAlignment="1">
      <alignment horizontal="center"/>
    </xf>
    <xf numFmtId="0" fontId="0" fillId="34" borderId="0" xfId="0" applyFill="1" applyAlignment="1">
      <alignment horizontal="center"/>
    </xf>
    <xf numFmtId="0" fontId="1" fillId="0" borderId="0" xfId="87" applyFont="1"/>
    <xf numFmtId="1" fontId="0" fillId="0" borderId="0" xfId="0" quotePrefix="1" applyNumberFormat="1"/>
  </cellXfs>
  <cellStyles count="109">
    <cellStyle name="20% — акцент1" xfId="19" builtinId="30" customBuiltin="1"/>
    <cellStyle name="20% — акцент1 2" xfId="46"/>
    <cellStyle name="20% — акцент1 3" xfId="67"/>
    <cellStyle name="20% — акцент1 4" xfId="91"/>
    <cellStyle name="20% — акцент2" xfId="23" builtinId="34" customBuiltin="1"/>
    <cellStyle name="20% — акцент2 2" xfId="49"/>
    <cellStyle name="20% — акцент2 3" xfId="70"/>
    <cellStyle name="20% — акцент2 4" xfId="94"/>
    <cellStyle name="20% — акцент3" xfId="27" builtinId="38" customBuiltin="1"/>
    <cellStyle name="20% — акцент3 2" xfId="52"/>
    <cellStyle name="20% — акцент3 3" xfId="73"/>
    <cellStyle name="20% — акцент3 4" xfId="97"/>
    <cellStyle name="20% — акцент4" xfId="31" builtinId="42" customBuiltin="1"/>
    <cellStyle name="20% — акцент4 2" xfId="55"/>
    <cellStyle name="20% — акцент4 3" xfId="76"/>
    <cellStyle name="20% — акцент4 4" xfId="100"/>
    <cellStyle name="20% — акцент5" xfId="35" builtinId="46" customBuiltin="1"/>
    <cellStyle name="20% — акцент5 2" xfId="58"/>
    <cellStyle name="20% — акцент5 3" xfId="79"/>
    <cellStyle name="20% — акцент5 4" xfId="103"/>
    <cellStyle name="20% — акцент6" xfId="39" builtinId="50" customBuiltin="1"/>
    <cellStyle name="20% — акцент6 2" xfId="61"/>
    <cellStyle name="20% — акцент6 3" xfId="82"/>
    <cellStyle name="20% — акцент6 4" xfId="106"/>
    <cellStyle name="40% — акцент1" xfId="20" builtinId="31" customBuiltin="1"/>
    <cellStyle name="40% — акцент1 2" xfId="47"/>
    <cellStyle name="40% — акцент1 3" xfId="68"/>
    <cellStyle name="40% — акцент1 4" xfId="92"/>
    <cellStyle name="40% — акцент2" xfId="24" builtinId="35" customBuiltin="1"/>
    <cellStyle name="40% — акцент2 2" xfId="50"/>
    <cellStyle name="40% — акцент2 3" xfId="71"/>
    <cellStyle name="40% — акцент2 4" xfId="95"/>
    <cellStyle name="40% — акцент3" xfId="28" builtinId="39" customBuiltin="1"/>
    <cellStyle name="40% — акцент3 2" xfId="53"/>
    <cellStyle name="40% — акцент3 3" xfId="74"/>
    <cellStyle name="40% — акцент3 4" xfId="98"/>
    <cellStyle name="40% — акцент4" xfId="32" builtinId="43" customBuiltin="1"/>
    <cellStyle name="40% — акцент4 2" xfId="56"/>
    <cellStyle name="40% — акцент4 3" xfId="77"/>
    <cellStyle name="40% — акцент4 4" xfId="101"/>
    <cellStyle name="40% — акцент5" xfId="36" builtinId="47" customBuiltin="1"/>
    <cellStyle name="40% — акцент5 2" xfId="59"/>
    <cellStyle name="40% — акцент5 3" xfId="80"/>
    <cellStyle name="40% — акцент5 4" xfId="104"/>
    <cellStyle name="40% — акцент6" xfId="40" builtinId="51" customBuiltin="1"/>
    <cellStyle name="40% — акцент6 2" xfId="62"/>
    <cellStyle name="40% — акцент6 3" xfId="83"/>
    <cellStyle name="40% — акцент6 4" xfId="107"/>
    <cellStyle name="60% — акцент1" xfId="21" builtinId="32" customBuiltin="1"/>
    <cellStyle name="60% — акцент1 2" xfId="48"/>
    <cellStyle name="60% — акцент1 3" xfId="69"/>
    <cellStyle name="60% — акцент1 4" xfId="93"/>
    <cellStyle name="60% — акцент2" xfId="25" builtinId="36" customBuiltin="1"/>
    <cellStyle name="60% — акцент2 2" xfId="51"/>
    <cellStyle name="60% — акцент2 3" xfId="72"/>
    <cellStyle name="60% — акцент2 4" xfId="96"/>
    <cellStyle name="60% — акцент3" xfId="29" builtinId="40" customBuiltin="1"/>
    <cellStyle name="60% — акцент3 2" xfId="54"/>
    <cellStyle name="60% — акцент3 3" xfId="75"/>
    <cellStyle name="60% — акцент3 4" xfId="99"/>
    <cellStyle name="60% — акцент4" xfId="33" builtinId="44" customBuiltin="1"/>
    <cellStyle name="60% — акцент4 2" xfId="57"/>
    <cellStyle name="60% — акцент4 3" xfId="78"/>
    <cellStyle name="60% — акцент4 4" xfId="102"/>
    <cellStyle name="60% — акцент5" xfId="37" builtinId="48" customBuiltin="1"/>
    <cellStyle name="60% — акцент5 2" xfId="60"/>
    <cellStyle name="60% — акцент5 3" xfId="81"/>
    <cellStyle name="60% — акцент5 4" xfId="105"/>
    <cellStyle name="60% — акцент6" xfId="41" builtinId="52" customBuiltin="1"/>
    <cellStyle name="60% — акцент6 2" xfId="63"/>
    <cellStyle name="60% — акцент6 3" xfId="84"/>
    <cellStyle name="60% — акцент6 4" xfId="108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10" builtinId="20" customBuiltin="1"/>
    <cellStyle name="Вывод" xfId="11" builtinId="21" customBuiltin="1"/>
    <cellStyle name="Вычисление" xfId="12" builtinId="22" customBuiltin="1"/>
    <cellStyle name="Заголовок 1" xfId="6" builtinId="16" customBuiltin="1"/>
    <cellStyle name="Заголовок 2" xfId="7" builtinId="17" customBuiltin="1"/>
    <cellStyle name="Заголовок 3" xfId="8" builtinId="18" customBuiltin="1"/>
    <cellStyle name="Заголовок 4" xfId="9" builtinId="19" customBuiltin="1"/>
    <cellStyle name="Итог" xfId="17" builtinId="25" customBuiltin="1"/>
    <cellStyle name="Контрольная ячейка" xfId="14" builtinId="23" customBuiltin="1"/>
    <cellStyle name="Название" xfId="5" builtinId="15" customBuiltin="1"/>
    <cellStyle name="Нейтральный" xfId="3" builtinId="28" customBuiltin="1"/>
    <cellStyle name="Нейтральный 2" xfId="89"/>
    <cellStyle name="Обычный" xfId="0" builtinId="0"/>
    <cellStyle name="Обычный 2" xfId="4"/>
    <cellStyle name="Обычный 2 2" xfId="45"/>
    <cellStyle name="Обычный 2 3" xfId="66"/>
    <cellStyle name="Обычный 3" xfId="42"/>
    <cellStyle name="Обычный 3 2" xfId="64"/>
    <cellStyle name="Обычный 3 3" xfId="85"/>
    <cellStyle name="Обычный 4" xfId="87"/>
    <cellStyle name="Плохой" xfId="2" builtinId="27" customBuiltin="1"/>
    <cellStyle name="Пояснение" xfId="16" builtinId="53" customBuiltin="1"/>
    <cellStyle name="Примечание 2" xfId="43"/>
    <cellStyle name="Примечание 2 2" xfId="65"/>
    <cellStyle name="Примечание 2 3" xfId="86"/>
    <cellStyle name="Примечание 3" xfId="90"/>
    <cellStyle name="Процентный" xfId="44" builtinId="5"/>
    <cellStyle name="Процентный 2" xfId="88"/>
    <cellStyle name="Связанная ячейка" xfId="13" builtinId="24" customBuiltin="1"/>
    <cellStyle name="Текст предупреждения" xfId="15" builtinId="11" customBuiltin="1"/>
    <cellStyle name="Хороший" xfId="1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Сергей Агеев" refreshedDate="44683.081180324072" createdVersion="6" refreshedVersion="6" minRefreshableVersion="3" recordCount="13">
  <cacheSource type="worksheet">
    <worksheetSource ref="A1:H14" sheet="Автоматизированный расчет"/>
  </cacheSource>
  <cacheFields count="8">
    <cacheField name="Script name" numFmtId="0">
      <sharedItems/>
    </cacheField>
    <cacheField name="transaction rq" numFmtId="0">
      <sharedItems count="28">
        <s v="Главная страница"/>
        <s v="Открыть список мышей"/>
        <s v="Посмотреть мышь"/>
        <s v="Перейти на страницу регистрации"/>
        <s v="Регистрация"/>
        <s v="Логин"/>
        <s v="Открыть список ноутбуков"/>
        <s v="Посмотреть ноутбук и добавить в корзину"/>
        <s v="Открыть корзину"/>
        <s v="Перейти на страницу оплаты"/>
        <s v="Страница успешной оплаты"/>
        <s v="Оплата билета" u="1"/>
        <s v="Переход на следуюущий эран после регистарции" u="1"/>
        <s v="Выбор рейса из найденных " u="1"/>
        <s v="Выход из системы" u="1"/>
        <s v="Просмотр квитанций" u="1"/>
        <s v="Вход в систему" u="1"/>
        <s v="Отмена бронирования " u="1"/>
        <s v="Переход на страницу поиска билетов" u="1"/>
        <s v="Посмотреть товар" u="1"/>
        <s v="Открыть список товаров" u="1"/>
        <s v="Заполнение полей для поиска билета " u="1"/>
        <s v="Посмотреть товар и добавить в корзину" u="1"/>
        <s v="Переход на следуюущий экран после регистарции" u="1"/>
        <s v="Главная Welcome страница" u="1"/>
        <s v="Заполнение полей регистарции" u="1"/>
        <s v="Главная Welcome страницаа" u="1"/>
        <s v="Перход на страницу регистрации" u="1"/>
      </sharedItems>
    </cacheField>
    <cacheField name="count" numFmtId="0">
      <sharedItems containsSemiMixedTypes="0" containsString="0" containsNumber="1" containsInteger="1" minValue="1" maxValue="1"/>
    </cacheField>
    <cacheField name="VU" numFmtId="0">
      <sharedItems containsSemiMixedTypes="0" containsString="0" containsNumber="1" containsInteger="1" minValue="3" maxValue="4"/>
    </cacheField>
    <cacheField name="pacing" numFmtId="1">
      <sharedItems containsSemiMixedTypes="0" containsString="0" containsNumber="1" minValue="35.459000000000003" maxValue="198.23340000000002"/>
    </cacheField>
    <cacheField name="одним пользователем в минуту" numFmtId="2">
      <sharedItems containsSemiMixedTypes="0" containsString="0" containsNumber="1" minValue="0.30267351515940299" maxValue="1.6920950957443808"/>
    </cacheField>
    <cacheField name="Длительность ступени" numFmtId="0">
      <sharedItems containsSemiMixedTypes="0" containsString="0" containsNumber="1" containsInteger="1" minValue="20" maxValue="20"/>
    </cacheField>
    <cacheField name="Итого" numFmtId="1">
      <sharedItems containsSemiMixedTypes="0" containsString="0" containsNumber="1" minValue="18.160410909564181" maxValue="135.3676076595504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">
  <r>
    <s v="Скроллинг на сайте"/>
    <x v="0"/>
    <n v="1"/>
    <n v="4"/>
    <n v="35.459000000000003"/>
    <n v="1.6920950957443808"/>
    <n v="20"/>
    <n v="135.36760765955046"/>
  </r>
  <r>
    <s v="Скроллинг на сайте"/>
    <x v="1"/>
    <n v="1"/>
    <n v="4"/>
    <n v="35.459000000000003"/>
    <n v="1.6920950957443808"/>
    <n v="20"/>
    <n v="135.36760765955046"/>
  </r>
  <r>
    <s v="Скроллинг на сайте"/>
    <x v="2"/>
    <n v="1"/>
    <n v="4"/>
    <n v="35.459000000000003"/>
    <n v="1.6920950957443808"/>
    <n v="20"/>
    <n v="135.36760765955046"/>
  </r>
  <r>
    <s v="Регистрация"/>
    <x v="0"/>
    <n v="1"/>
    <n v="3"/>
    <n v="91.163399999999996"/>
    <n v="0.65815886638716858"/>
    <n v="20"/>
    <n v="39.489531983230115"/>
  </r>
  <r>
    <s v="Регистрация"/>
    <x v="3"/>
    <n v="1"/>
    <n v="3"/>
    <n v="91.163399999999996"/>
    <n v="0.65815886638716858"/>
    <n v="20"/>
    <n v="39.489531983230115"/>
  </r>
  <r>
    <s v="Регистрация"/>
    <x v="4"/>
    <n v="1"/>
    <n v="3"/>
    <n v="91.163399999999996"/>
    <n v="0.65815886638716858"/>
    <n v="20"/>
    <n v="39.489531983230115"/>
  </r>
  <r>
    <s v="Покупка"/>
    <x v="0"/>
    <n v="1"/>
    <n v="3"/>
    <n v="198.23340000000002"/>
    <n v="0.30267351515940299"/>
    <n v="20"/>
    <n v="18.160410909564181"/>
  </r>
  <r>
    <s v="Покупка"/>
    <x v="5"/>
    <n v="1"/>
    <n v="3"/>
    <n v="198.23340000000002"/>
    <n v="0.30267351515940299"/>
    <n v="20"/>
    <n v="18.160410909564181"/>
  </r>
  <r>
    <s v="Покупка"/>
    <x v="6"/>
    <n v="1"/>
    <n v="3"/>
    <n v="198.23340000000002"/>
    <n v="0.30267351515940299"/>
    <n v="20"/>
    <n v="18.160410909564181"/>
  </r>
  <r>
    <s v="Покупка"/>
    <x v="7"/>
    <n v="1"/>
    <n v="3"/>
    <n v="198.23340000000002"/>
    <n v="0.30267351515940299"/>
    <n v="20"/>
    <n v="18.160410909564181"/>
  </r>
  <r>
    <s v="Покупка"/>
    <x v="8"/>
    <n v="1"/>
    <n v="3"/>
    <n v="198.23340000000002"/>
    <n v="0.30267351515940299"/>
    <n v="20"/>
    <n v="18.160410909564181"/>
  </r>
  <r>
    <s v="Покупка"/>
    <x v="9"/>
    <n v="1"/>
    <n v="3"/>
    <n v="198.23340000000002"/>
    <n v="0.30267351515940299"/>
    <n v="20"/>
    <n v="18.160410909564181"/>
  </r>
  <r>
    <s v="Покупка"/>
    <x v="10"/>
    <n v="1"/>
    <n v="3"/>
    <n v="198.23340000000002"/>
    <n v="0.30267351515940299"/>
    <n v="20"/>
    <n v="18.16041090956418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таблица2" cacheId="2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I1:J13" firstHeaderRow="1" firstDataRow="1" firstDataCol="1"/>
  <pivotFields count="8">
    <pivotField showAll="0"/>
    <pivotField axis="axisRow" showAll="0">
      <items count="29">
        <item m="1" x="16"/>
        <item m="1" x="13"/>
        <item m="1" x="14"/>
        <item m="1" x="21"/>
        <item m="1" x="11"/>
        <item m="1" x="17"/>
        <item m="1" x="15"/>
        <item m="1" x="24"/>
        <item m="1" x="27"/>
        <item m="1" x="25"/>
        <item m="1" x="12"/>
        <item m="1" x="26"/>
        <item m="1" x="23"/>
        <item m="1" x="18"/>
        <item x="0"/>
        <item m="1" x="20"/>
        <item m="1" x="19"/>
        <item x="3"/>
        <item x="4"/>
        <item x="5"/>
        <item m="1" x="22"/>
        <item x="8"/>
        <item x="9"/>
        <item x="10"/>
        <item x="1"/>
        <item x="2"/>
        <item x="6"/>
        <item x="7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12">
    <i>
      <x v="14"/>
    </i>
    <i>
      <x v="17"/>
    </i>
    <i>
      <x v="18"/>
    </i>
    <i>
      <x v="19"/>
    </i>
    <i>
      <x v="21"/>
    </i>
    <i>
      <x v="22"/>
    </i>
    <i>
      <x v="23"/>
    </i>
    <i>
      <x v="24"/>
    </i>
    <i>
      <x v="25"/>
    </i>
    <i>
      <x v="26"/>
    </i>
    <i>
      <x v="27"/>
    </i>
    <i t="grand">
      <x/>
    </i>
  </rowItems>
  <colItems count="1">
    <i/>
  </colItems>
  <dataFields count="1">
    <dataField name="Сумма по полю Итого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57"/>
  <sheetViews>
    <sheetView tabSelected="1" topLeftCell="C16" zoomScale="115" zoomScaleNormal="115" workbookViewId="0">
      <selection activeCell="I29" sqref="I29"/>
    </sheetView>
  </sheetViews>
  <sheetFormatPr defaultColWidth="11.44140625" defaultRowHeight="14.4" x14ac:dyDescent="0.3"/>
  <cols>
    <col min="1" max="1" width="41.5546875" bestFit="1" customWidth="1"/>
    <col min="2" max="2" width="40.33203125" bestFit="1" customWidth="1"/>
    <col min="3" max="3" width="18.109375" customWidth="1"/>
    <col min="4" max="4" width="17.88671875" customWidth="1"/>
    <col min="6" max="6" width="17.6640625" customWidth="1"/>
    <col min="7" max="7" width="18.6640625" bestFit="1" customWidth="1"/>
    <col min="8" max="8" width="17" customWidth="1"/>
    <col min="9" max="9" width="40.33203125" customWidth="1"/>
    <col min="10" max="10" width="21.5546875" bestFit="1" customWidth="1"/>
    <col min="11" max="11" width="18.6640625" customWidth="1"/>
    <col min="12" max="12" width="27.44140625" bestFit="1" customWidth="1"/>
    <col min="13" max="13" width="35.88671875" bestFit="1" customWidth="1"/>
    <col min="16" max="16" width="19.88671875" bestFit="1" customWidth="1"/>
    <col min="19" max="19" width="44" bestFit="1" customWidth="1"/>
  </cols>
  <sheetData>
    <row r="1" spans="1:25" ht="15" thickBot="1" x14ac:dyDescent="0.35">
      <c r="A1" t="s">
        <v>30</v>
      </c>
      <c r="B1" t="s">
        <v>31</v>
      </c>
      <c r="C1" t="s">
        <v>32</v>
      </c>
      <c r="D1" t="s">
        <v>36</v>
      </c>
      <c r="E1" t="s">
        <v>46</v>
      </c>
      <c r="F1" t="s">
        <v>47</v>
      </c>
      <c r="G1" t="s">
        <v>48</v>
      </c>
      <c r="H1" t="s">
        <v>6</v>
      </c>
      <c r="I1" s="56" t="s">
        <v>33</v>
      </c>
      <c r="J1" t="s">
        <v>45</v>
      </c>
      <c r="M1" s="52" t="s">
        <v>35</v>
      </c>
      <c r="N1" s="52" t="s">
        <v>37</v>
      </c>
      <c r="O1" s="52" t="s">
        <v>38</v>
      </c>
      <c r="P1" s="52" t="s">
        <v>49</v>
      </c>
      <c r="Q1" s="52" t="s">
        <v>39</v>
      </c>
      <c r="R1" s="52" t="s">
        <v>36</v>
      </c>
      <c r="S1" t="s">
        <v>40</v>
      </c>
      <c r="T1" s="18" t="s">
        <v>41</v>
      </c>
      <c r="U1" s="18" t="s">
        <v>42</v>
      </c>
      <c r="V1" s="31" t="s">
        <v>43</v>
      </c>
      <c r="X1" t="s">
        <v>44</v>
      </c>
    </row>
    <row r="2" spans="1:25" x14ac:dyDescent="0.3">
      <c r="A2" s="41" t="s">
        <v>75</v>
      </c>
      <c r="B2" s="69" t="s">
        <v>78</v>
      </c>
      <c r="C2">
        <v>1</v>
      </c>
      <c r="D2" s="45">
        <f t="shared" ref="D2:D14" si="0">VLOOKUP(A2,$M$1:$W$4,6,FALSE)</f>
        <v>4</v>
      </c>
      <c r="E2" s="47">
        <f t="shared" ref="E2:E14" si="1">VLOOKUP(A2,$M$1:$W$4,5,FALSE)</f>
        <v>35.459000000000003</v>
      </c>
      <c r="F2" s="17">
        <f>60/E2*C2</f>
        <v>1.6920950957443808</v>
      </c>
      <c r="G2">
        <v>20</v>
      </c>
      <c r="H2" s="16">
        <f>D2*F2*G2</f>
        <v>135.36760765955046</v>
      </c>
      <c r="I2" s="57" t="s">
        <v>78</v>
      </c>
      <c r="J2" s="55">
        <v>193.01755055234474</v>
      </c>
      <c r="K2" s="15"/>
      <c r="M2" s="63" t="s">
        <v>75</v>
      </c>
      <c r="N2" s="80" t="s">
        <v>102</v>
      </c>
      <c r="O2" s="80" t="s">
        <v>103</v>
      </c>
      <c r="P2" s="78">
        <f>N2+O2</f>
        <v>17.729500000000002</v>
      </c>
      <c r="Q2" s="79">
        <f>P2*2</f>
        <v>35.459000000000003</v>
      </c>
      <c r="R2" s="77">
        <v>4</v>
      </c>
      <c r="S2" s="73">
        <f>60/(Q2)</f>
        <v>1.6920950957443808</v>
      </c>
      <c r="T2" s="18">
        <v>20</v>
      </c>
      <c r="U2" s="19">
        <f>ROUND(R2*S2*T2,0)</f>
        <v>135</v>
      </c>
      <c r="V2" s="32">
        <f>R2/W$2</f>
        <v>0.4</v>
      </c>
      <c r="W2">
        <f>SUM(R2:R4)</f>
        <v>10</v>
      </c>
      <c r="X2" s="67">
        <v>40</v>
      </c>
      <c r="Y2" s="26">
        <f>X2/U2-1</f>
        <v>-0.70370370370370372</v>
      </c>
    </row>
    <row r="3" spans="1:25" x14ac:dyDescent="0.3">
      <c r="A3" s="42" t="s">
        <v>75</v>
      </c>
      <c r="B3" s="70" t="s">
        <v>96</v>
      </c>
      <c r="C3">
        <v>1</v>
      </c>
      <c r="D3" s="49">
        <f t="shared" si="0"/>
        <v>4</v>
      </c>
      <c r="E3" s="47">
        <f t="shared" si="1"/>
        <v>35.459000000000003</v>
      </c>
      <c r="F3" s="17">
        <f>60/E3*C3</f>
        <v>1.6920950957443808</v>
      </c>
      <c r="G3">
        <v>20</v>
      </c>
      <c r="H3" s="16">
        <f>D3*F3*G3</f>
        <v>135.36760765955046</v>
      </c>
      <c r="I3" s="57" t="s">
        <v>79</v>
      </c>
      <c r="J3" s="55">
        <v>39.489531983230115</v>
      </c>
      <c r="K3" s="15"/>
      <c r="M3" s="63" t="s">
        <v>76</v>
      </c>
      <c r="N3" s="80" t="s">
        <v>99</v>
      </c>
      <c r="O3" s="80" t="s">
        <v>100</v>
      </c>
      <c r="P3" s="78">
        <f t="shared" ref="P3:P4" si="2">N3+O3</f>
        <v>45.581699999999998</v>
      </c>
      <c r="Q3" s="79">
        <f t="shared" ref="Q3" si="3">P3*2</f>
        <v>91.163399999999996</v>
      </c>
      <c r="R3" s="77">
        <v>3</v>
      </c>
      <c r="S3" s="73">
        <f t="shared" ref="S3:S4" si="4">60/(Q3)</f>
        <v>0.65815886638716858</v>
      </c>
      <c r="T3" s="18">
        <v>20</v>
      </c>
      <c r="U3" s="19">
        <f t="shared" ref="U3:U4" si="5">ROUND(R3*S3*T3,0)</f>
        <v>39</v>
      </c>
      <c r="V3" s="32">
        <f>R3/W$2</f>
        <v>0.3</v>
      </c>
      <c r="X3" s="67">
        <v>46</v>
      </c>
      <c r="Y3" s="26">
        <f t="shared" ref="Y3:Y4" si="6">X3/U3-1</f>
        <v>0.17948717948717952</v>
      </c>
    </row>
    <row r="4" spans="1:25" ht="15" thickBot="1" x14ac:dyDescent="0.35">
      <c r="A4" s="40" t="s">
        <v>75</v>
      </c>
      <c r="B4" s="70" t="s">
        <v>98</v>
      </c>
      <c r="C4" s="46">
        <v>1</v>
      </c>
      <c r="D4" s="49">
        <f t="shared" si="0"/>
        <v>4</v>
      </c>
      <c r="E4" s="47">
        <f t="shared" si="1"/>
        <v>35.459000000000003</v>
      </c>
      <c r="F4" s="48">
        <f t="shared" ref="F4:F14" si="7">60/E4*C4</f>
        <v>1.6920950957443808</v>
      </c>
      <c r="G4" s="46">
        <v>20</v>
      </c>
      <c r="H4" s="47">
        <f t="shared" ref="H4:H14" si="8">D4*F4*G4</f>
        <v>135.36760765955046</v>
      </c>
      <c r="I4" s="57" t="s">
        <v>76</v>
      </c>
      <c r="J4" s="55">
        <v>39.489531983230115</v>
      </c>
      <c r="K4" s="15"/>
      <c r="M4" s="63" t="s">
        <v>77</v>
      </c>
      <c r="N4" s="80" t="s">
        <v>104</v>
      </c>
      <c r="O4" s="80" t="s">
        <v>101</v>
      </c>
      <c r="P4" s="78">
        <f t="shared" si="2"/>
        <v>99.116700000000009</v>
      </c>
      <c r="Q4" s="79">
        <f>P4*2</f>
        <v>198.23340000000002</v>
      </c>
      <c r="R4" s="77">
        <v>3</v>
      </c>
      <c r="S4" s="73">
        <f t="shared" si="4"/>
        <v>0.30267351515940299</v>
      </c>
      <c r="T4" s="18">
        <v>20</v>
      </c>
      <c r="U4" s="19">
        <f t="shared" si="5"/>
        <v>18</v>
      </c>
      <c r="V4" s="32">
        <f t="shared" ref="V4" si="9">R4/W$2</f>
        <v>0.3</v>
      </c>
      <c r="X4" s="67">
        <v>40</v>
      </c>
      <c r="Y4" s="26">
        <f t="shared" si="6"/>
        <v>1.2222222222222223</v>
      </c>
    </row>
    <row r="5" spans="1:25" x14ac:dyDescent="0.3">
      <c r="A5" s="41" t="s">
        <v>76</v>
      </c>
      <c r="B5" s="69" t="s">
        <v>78</v>
      </c>
      <c r="C5" s="46">
        <v>1</v>
      </c>
      <c r="D5" s="45">
        <f t="shared" si="0"/>
        <v>3</v>
      </c>
      <c r="E5" s="47">
        <f t="shared" si="1"/>
        <v>91.163399999999996</v>
      </c>
      <c r="F5" s="48">
        <f t="shared" si="7"/>
        <v>0.65815886638716858</v>
      </c>
      <c r="G5" s="46">
        <v>20</v>
      </c>
      <c r="H5" s="47">
        <f t="shared" si="8"/>
        <v>39.489531983230115</v>
      </c>
      <c r="I5" s="57" t="s">
        <v>67</v>
      </c>
      <c r="J5" s="55">
        <v>18.160410909564181</v>
      </c>
      <c r="K5" s="15"/>
    </row>
    <row r="6" spans="1:25" x14ac:dyDescent="0.3">
      <c r="A6" s="42" t="s">
        <v>76</v>
      </c>
      <c r="B6" s="70" t="s">
        <v>79</v>
      </c>
      <c r="C6" s="46">
        <v>1</v>
      </c>
      <c r="D6" s="49">
        <f t="shared" si="0"/>
        <v>3</v>
      </c>
      <c r="E6" s="47">
        <f t="shared" si="1"/>
        <v>91.163399999999996</v>
      </c>
      <c r="F6" s="48">
        <f t="shared" si="7"/>
        <v>0.65815886638716858</v>
      </c>
      <c r="G6" s="46">
        <v>20</v>
      </c>
      <c r="H6" s="47">
        <f t="shared" si="8"/>
        <v>39.489531983230115</v>
      </c>
      <c r="I6" s="57" t="s">
        <v>80</v>
      </c>
      <c r="J6" s="55">
        <v>18.160410909564181</v>
      </c>
      <c r="K6" s="15"/>
    </row>
    <row r="7" spans="1:25" ht="15" thickBot="1" x14ac:dyDescent="0.35">
      <c r="A7" s="40" t="s">
        <v>76</v>
      </c>
      <c r="B7" s="71" t="s">
        <v>76</v>
      </c>
      <c r="C7" s="54">
        <v>1</v>
      </c>
      <c r="D7" s="61">
        <f t="shared" si="0"/>
        <v>3</v>
      </c>
      <c r="E7" s="58">
        <f t="shared" si="1"/>
        <v>91.163399999999996</v>
      </c>
      <c r="F7" s="53">
        <f t="shared" ref="F7" si="10">60/E7*C7</f>
        <v>0.65815886638716858</v>
      </c>
      <c r="G7" s="51">
        <v>20</v>
      </c>
      <c r="H7" s="58">
        <f t="shared" ref="H7" si="11">D7*F7*G7</f>
        <v>39.489531983230115</v>
      </c>
      <c r="I7" s="57" t="s">
        <v>81</v>
      </c>
      <c r="J7" s="55">
        <v>18.160410909564181</v>
      </c>
      <c r="K7" s="15"/>
    </row>
    <row r="8" spans="1:25" x14ac:dyDescent="0.3">
      <c r="A8" s="41" t="s">
        <v>77</v>
      </c>
      <c r="B8" s="69" t="s">
        <v>78</v>
      </c>
      <c r="C8" s="46">
        <v>1</v>
      </c>
      <c r="D8" s="60">
        <f t="shared" si="0"/>
        <v>3</v>
      </c>
      <c r="E8" s="47">
        <f t="shared" si="1"/>
        <v>198.23340000000002</v>
      </c>
      <c r="F8" s="48">
        <f t="shared" si="7"/>
        <v>0.30267351515940299</v>
      </c>
      <c r="G8" s="46">
        <v>20</v>
      </c>
      <c r="H8" s="47">
        <f t="shared" si="8"/>
        <v>18.160410909564181</v>
      </c>
      <c r="I8" s="57" t="s">
        <v>82</v>
      </c>
      <c r="J8" s="55">
        <v>18.160410909564181</v>
      </c>
      <c r="K8" s="15"/>
    </row>
    <row r="9" spans="1:25" x14ac:dyDescent="0.3">
      <c r="A9" s="42" t="s">
        <v>77</v>
      </c>
      <c r="B9" s="70" t="s">
        <v>67</v>
      </c>
      <c r="C9" s="46">
        <v>1</v>
      </c>
      <c r="D9" s="61">
        <f t="shared" si="0"/>
        <v>3</v>
      </c>
      <c r="E9" s="47">
        <f t="shared" si="1"/>
        <v>198.23340000000002</v>
      </c>
      <c r="F9" s="48">
        <f t="shared" si="7"/>
        <v>0.30267351515940299</v>
      </c>
      <c r="G9" s="46">
        <v>20</v>
      </c>
      <c r="H9" s="47">
        <f t="shared" si="8"/>
        <v>18.160410909564181</v>
      </c>
      <c r="I9" s="57" t="s">
        <v>96</v>
      </c>
      <c r="J9" s="55">
        <v>135.36760765955046</v>
      </c>
      <c r="K9" s="15"/>
    </row>
    <row r="10" spans="1:25" x14ac:dyDescent="0.3">
      <c r="A10" s="42" t="s">
        <v>77</v>
      </c>
      <c r="B10" s="70" t="s">
        <v>95</v>
      </c>
      <c r="C10" s="46">
        <v>1</v>
      </c>
      <c r="D10" s="61">
        <f t="shared" si="0"/>
        <v>3</v>
      </c>
      <c r="E10" s="47">
        <f t="shared" si="1"/>
        <v>198.23340000000002</v>
      </c>
      <c r="F10" s="48">
        <f t="shared" si="7"/>
        <v>0.30267351515940299</v>
      </c>
      <c r="G10" s="46">
        <v>20</v>
      </c>
      <c r="H10" s="47">
        <f t="shared" si="8"/>
        <v>18.160410909564181</v>
      </c>
      <c r="I10" s="57" t="s">
        <v>98</v>
      </c>
      <c r="J10" s="55">
        <v>135.36760765955046</v>
      </c>
    </row>
    <row r="11" spans="1:25" x14ac:dyDescent="0.3">
      <c r="A11" s="42" t="s">
        <v>77</v>
      </c>
      <c r="B11" s="70" t="s">
        <v>97</v>
      </c>
      <c r="C11" s="54">
        <v>1</v>
      </c>
      <c r="D11" s="61">
        <f t="shared" si="0"/>
        <v>3</v>
      </c>
      <c r="E11" s="58">
        <f t="shared" si="1"/>
        <v>198.23340000000002</v>
      </c>
      <c r="F11" s="59">
        <f t="shared" ref="F11" si="12">60/E11*C11</f>
        <v>0.30267351515940299</v>
      </c>
      <c r="G11" s="54">
        <v>20</v>
      </c>
      <c r="H11" s="58">
        <f t="shared" ref="H11" si="13">D11*F11*G11</f>
        <v>18.160410909564181</v>
      </c>
      <c r="I11" s="57" t="s">
        <v>95</v>
      </c>
      <c r="J11" s="55">
        <v>18.160410909564181</v>
      </c>
    </row>
    <row r="12" spans="1:25" x14ac:dyDescent="0.3">
      <c r="A12" s="42" t="s">
        <v>77</v>
      </c>
      <c r="B12" s="70" t="s">
        <v>80</v>
      </c>
      <c r="C12" s="54">
        <v>1</v>
      </c>
      <c r="D12" s="61">
        <f t="shared" si="0"/>
        <v>3</v>
      </c>
      <c r="E12" s="58">
        <f t="shared" si="1"/>
        <v>198.23340000000002</v>
      </c>
      <c r="F12" s="59">
        <f t="shared" ref="F12" si="14">60/E12*C12</f>
        <v>0.30267351515940299</v>
      </c>
      <c r="G12" s="54">
        <v>20</v>
      </c>
      <c r="H12" s="58">
        <f t="shared" ref="H12" si="15">D12*F12*G12</f>
        <v>18.160410909564181</v>
      </c>
      <c r="I12" s="57" t="s">
        <v>97</v>
      </c>
      <c r="J12" s="55">
        <v>18.160410909564181</v>
      </c>
    </row>
    <row r="13" spans="1:25" x14ac:dyDescent="0.3">
      <c r="A13" s="42" t="s">
        <v>77</v>
      </c>
      <c r="B13" s="70" t="s">
        <v>81</v>
      </c>
      <c r="C13" s="54">
        <v>1</v>
      </c>
      <c r="D13" s="61">
        <f t="shared" si="0"/>
        <v>3</v>
      </c>
      <c r="E13" s="58">
        <f t="shared" si="1"/>
        <v>198.23340000000002</v>
      </c>
      <c r="F13" s="59">
        <f t="shared" ref="F13" si="16">60/E13*C13</f>
        <v>0.30267351515940299</v>
      </c>
      <c r="G13" s="54">
        <v>20</v>
      </c>
      <c r="H13" s="58">
        <f t="shared" ref="H13" si="17">D13*F13*G13</f>
        <v>18.160410909564181</v>
      </c>
      <c r="I13" s="57" t="s">
        <v>34</v>
      </c>
      <c r="J13" s="55">
        <v>651.69429529529111</v>
      </c>
    </row>
    <row r="14" spans="1:25" ht="15" thickBot="1" x14ac:dyDescent="0.35">
      <c r="A14" s="40" t="s">
        <v>77</v>
      </c>
      <c r="B14" s="72" t="s">
        <v>82</v>
      </c>
      <c r="C14" s="46">
        <v>1</v>
      </c>
      <c r="D14" s="62">
        <f t="shared" si="0"/>
        <v>3</v>
      </c>
      <c r="E14" s="47">
        <f t="shared" si="1"/>
        <v>198.23340000000002</v>
      </c>
      <c r="F14" s="48">
        <f t="shared" si="7"/>
        <v>0.30267351515940299</v>
      </c>
      <c r="G14" s="46">
        <v>20</v>
      </c>
      <c r="H14" s="47">
        <f t="shared" si="8"/>
        <v>18.160410909564181</v>
      </c>
    </row>
    <row r="16" spans="1:25" ht="15" thickBot="1" x14ac:dyDescent="0.35"/>
    <row r="17" spans="1:25" x14ac:dyDescent="0.3">
      <c r="A17" s="82" t="s">
        <v>83</v>
      </c>
      <c r="B17" s="83"/>
    </row>
    <row r="18" spans="1:25" ht="72" x14ac:dyDescent="0.35">
      <c r="A18" s="34" t="s">
        <v>66</v>
      </c>
      <c r="B18" s="35" t="s">
        <v>52</v>
      </c>
      <c r="C18" s="33" t="s">
        <v>50</v>
      </c>
      <c r="D18" s="25" t="s">
        <v>51</v>
      </c>
      <c r="E18" s="23"/>
      <c r="F18" s="25" t="s">
        <v>162</v>
      </c>
      <c r="G18" s="25" t="s">
        <v>53</v>
      </c>
      <c r="H18" s="25" t="s">
        <v>54</v>
      </c>
    </row>
    <row r="19" spans="1:25" s="54" customFormat="1" ht="18" x14ac:dyDescent="0.3">
      <c r="A19" s="34" t="s">
        <v>96</v>
      </c>
      <c r="B19" s="75">
        <v>406</v>
      </c>
      <c r="C19" s="50">
        <f t="shared" ref="C19:C29" si="18">GETPIVOTDATA("Итого",$I$1,"transaction rq",A19)*3</f>
        <v>406.10282297865137</v>
      </c>
      <c r="D19" s="43">
        <f t="shared" ref="D19:D30" si="19">1-B19/C19</f>
        <v>2.5319444444438233E-4</v>
      </c>
      <c r="E19" s="54" t="str">
        <f>VLOOKUP(A19,'Лист соответствия'!A:B,2,)</f>
        <v>Mice</v>
      </c>
      <c r="F19" s="64">
        <f>C19/3</f>
        <v>135.36760765955046</v>
      </c>
      <c r="G19" s="64">
        <f>VLOOKUP(E19,'Summary Report'!A:K,8,)</f>
        <v>137</v>
      </c>
      <c r="H19" s="21">
        <f t="shared" ref="H19" si="20">1-F19/G19</f>
        <v>1.1915272558025825E-2</v>
      </c>
      <c r="J19" s="26">
        <f>F19/F$30</f>
        <v>0.20771642261838985</v>
      </c>
    </row>
    <row r="20" spans="1:25" ht="18" x14ac:dyDescent="0.3">
      <c r="A20" s="34" t="s">
        <v>95</v>
      </c>
      <c r="B20" s="36">
        <v>54</v>
      </c>
      <c r="C20" s="50">
        <f t="shared" si="18"/>
        <v>54.481232728692547</v>
      </c>
      <c r="D20" s="43">
        <f t="shared" si="19"/>
        <v>8.8330000000000908E-3</v>
      </c>
      <c r="E20" t="str">
        <f>VLOOKUP(A20,'Лист соответствия'!A:B,2,)</f>
        <v>Laptops</v>
      </c>
      <c r="F20" s="64">
        <f t="shared" ref="F20:F29" si="21">C20/3</f>
        <v>18.160410909564181</v>
      </c>
      <c r="G20" s="64">
        <f>VLOOKUP(E20,'Summary Report'!A:K,8,)</f>
        <v>18</v>
      </c>
      <c r="H20" s="21">
        <f t="shared" ref="H20:H29" si="22">1-F20/G20</f>
        <v>-8.911717198009983E-3</v>
      </c>
      <c r="J20" s="26">
        <f t="shared" ref="J20:J29" si="23">F20/F$30</f>
        <v>2.7866456773778359E-2</v>
      </c>
    </row>
    <row r="21" spans="1:25" ht="18" x14ac:dyDescent="0.3">
      <c r="A21" s="37" t="s">
        <v>98</v>
      </c>
      <c r="B21" s="36">
        <v>406</v>
      </c>
      <c r="C21" s="50">
        <f t="shared" si="18"/>
        <v>406.10282297865137</v>
      </c>
      <c r="D21" s="43">
        <f t="shared" si="19"/>
        <v>2.5319444444438233E-4</v>
      </c>
      <c r="E21" s="54" t="str">
        <f>VLOOKUP(A21,'Лист соответствия'!A:B,2,)</f>
        <v>Product 1</v>
      </c>
      <c r="F21" s="64">
        <f t="shared" si="21"/>
        <v>135.36760765955046</v>
      </c>
      <c r="G21" s="64">
        <f>VLOOKUP(E21,'Summary Report'!A:K,8,)</f>
        <v>137.4</v>
      </c>
      <c r="H21" s="21">
        <f t="shared" si="22"/>
        <v>1.4791792870811893E-2</v>
      </c>
      <c r="J21" s="26">
        <f t="shared" si="23"/>
        <v>0.20771642261838985</v>
      </c>
    </row>
    <row r="22" spans="1:25" ht="18" x14ac:dyDescent="0.3">
      <c r="A22" s="37" t="s">
        <v>78</v>
      </c>
      <c r="B22" s="36">
        <v>597</v>
      </c>
      <c r="C22" s="50">
        <f t="shared" si="18"/>
        <v>579.05265165703418</v>
      </c>
      <c r="D22" s="43">
        <f t="shared" si="19"/>
        <v>-3.0994328912245184E-2</v>
      </c>
      <c r="E22" s="54" t="str">
        <f>VLOOKUP(A22,'Лист соответствия'!A:B,2,)</f>
        <v>Home</v>
      </c>
      <c r="F22" s="64">
        <f t="shared" si="21"/>
        <v>193.01755055234472</v>
      </c>
      <c r="G22" s="64">
        <f>VLOOKUP(E22,'Summary Report'!A:K,8,)</f>
        <v>194.8</v>
      </c>
      <c r="H22" s="21">
        <f t="shared" si="22"/>
        <v>9.150151168661691E-3</v>
      </c>
      <c r="J22" s="26">
        <f t="shared" si="23"/>
        <v>0.29617805763496202</v>
      </c>
    </row>
    <row r="23" spans="1:25" ht="18" x14ac:dyDescent="0.3">
      <c r="A23" s="37" t="s">
        <v>79</v>
      </c>
      <c r="B23" s="36">
        <v>118</v>
      </c>
      <c r="C23" s="24">
        <f t="shared" si="18"/>
        <v>118.46859594969035</v>
      </c>
      <c r="D23" s="20">
        <f t="shared" si="19"/>
        <v>3.9554444444446224E-3</v>
      </c>
      <c r="E23" s="54" t="str">
        <f>VLOOKUP(A23,'Лист соответствия'!A:B,2,)</f>
        <v>Create New Account</v>
      </c>
      <c r="F23" s="64">
        <f t="shared" si="21"/>
        <v>39.489531983230115</v>
      </c>
      <c r="G23" s="64">
        <f>VLOOKUP(E23,'Summary Report'!A:K,8,)</f>
        <v>39.6</v>
      </c>
      <c r="H23" s="21">
        <f t="shared" si="22"/>
        <v>2.7895963830779635E-3</v>
      </c>
      <c r="J23" s="26">
        <f t="shared" si="23"/>
        <v>6.0595178242793875E-2</v>
      </c>
    </row>
    <row r="24" spans="1:25" ht="18" x14ac:dyDescent="0.3">
      <c r="A24" s="37" t="s">
        <v>76</v>
      </c>
      <c r="B24" s="36">
        <v>118</v>
      </c>
      <c r="C24" s="24">
        <f t="shared" si="18"/>
        <v>118.46859594969035</v>
      </c>
      <c r="D24" s="20">
        <f t="shared" si="19"/>
        <v>3.9554444444446224E-3</v>
      </c>
      <c r="E24" s="54" t="str">
        <f>VLOOKUP(A24,'Лист соответствия'!A:B,2,)</f>
        <v>Register</v>
      </c>
      <c r="F24" s="64">
        <f t="shared" si="21"/>
        <v>39.489531983230115</v>
      </c>
      <c r="G24" s="64">
        <f>VLOOKUP(E24,'Summary Report'!A:K,8,)</f>
        <v>39.6</v>
      </c>
      <c r="H24" s="21">
        <f t="shared" si="22"/>
        <v>2.7895963830779635E-3</v>
      </c>
      <c r="J24" s="26">
        <f t="shared" si="23"/>
        <v>6.0595178242793875E-2</v>
      </c>
    </row>
    <row r="25" spans="1:25" ht="18" x14ac:dyDescent="0.3">
      <c r="A25" s="37" t="s">
        <v>67</v>
      </c>
      <c r="B25" s="36">
        <v>54</v>
      </c>
      <c r="C25" s="24">
        <f t="shared" si="18"/>
        <v>54.481232728692547</v>
      </c>
      <c r="D25" s="20">
        <f t="shared" si="19"/>
        <v>8.8330000000000908E-3</v>
      </c>
      <c r="E25" s="54" t="str">
        <f>VLOOKUP(A25,'Лист соответствия'!A:B,2,)</f>
        <v>Login</v>
      </c>
      <c r="F25" s="64">
        <f t="shared" si="21"/>
        <v>18.160410909564181</v>
      </c>
      <c r="G25" s="64">
        <f>VLOOKUP(E25,'Summary Report'!A:K,8,)</f>
        <v>18</v>
      </c>
      <c r="H25" s="21">
        <f t="shared" si="22"/>
        <v>-8.911717198009983E-3</v>
      </c>
      <c r="J25" s="26">
        <f t="shared" si="23"/>
        <v>2.7866456773778359E-2</v>
      </c>
    </row>
    <row r="26" spans="1:25" ht="36" x14ac:dyDescent="0.3">
      <c r="A26" s="37" t="s">
        <v>97</v>
      </c>
      <c r="B26" s="36">
        <v>54</v>
      </c>
      <c r="C26" s="24">
        <f t="shared" si="18"/>
        <v>54.481232728692547</v>
      </c>
      <c r="D26" s="20">
        <f t="shared" si="19"/>
        <v>8.8330000000000908E-3</v>
      </c>
      <c r="E26" s="54" t="str">
        <f>VLOOKUP(A26,'Лист соответствия'!A:B,2,)</f>
        <v>Laptop Selection 1</v>
      </c>
      <c r="F26" s="64">
        <f t="shared" si="21"/>
        <v>18.160410909564181</v>
      </c>
      <c r="G26" s="64">
        <f>VLOOKUP(E26,'Summary Report'!A:K,8,)</f>
        <v>18</v>
      </c>
      <c r="H26" s="21">
        <f t="shared" si="22"/>
        <v>-8.911717198009983E-3</v>
      </c>
      <c r="J26" s="26">
        <f t="shared" si="23"/>
        <v>2.7866456773778359E-2</v>
      </c>
    </row>
    <row r="27" spans="1:25" ht="18" x14ac:dyDescent="0.3">
      <c r="A27" s="37" t="s">
        <v>80</v>
      </c>
      <c r="B27" s="36">
        <v>54</v>
      </c>
      <c r="C27" s="24">
        <f t="shared" si="18"/>
        <v>54.481232728692547</v>
      </c>
      <c r="D27" s="20">
        <f t="shared" si="19"/>
        <v>8.8330000000000908E-3</v>
      </c>
      <c r="E27" s="54" t="str">
        <f>VLOOKUP(A27,'Лист соответствия'!A:B,2,)</f>
        <v>Check The Cart</v>
      </c>
      <c r="F27" s="64">
        <f t="shared" si="21"/>
        <v>18.160410909564181</v>
      </c>
      <c r="G27" s="64">
        <f>VLOOKUP(E27,'Summary Report'!A:K,8,)</f>
        <v>18</v>
      </c>
      <c r="H27" s="21">
        <f t="shared" si="22"/>
        <v>-8.911717198009983E-3</v>
      </c>
      <c r="J27" s="26">
        <f t="shared" si="23"/>
        <v>2.7866456773778359E-2</v>
      </c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</row>
    <row r="28" spans="1:25" ht="18" x14ac:dyDescent="0.3">
      <c r="A28" s="37" t="s">
        <v>81</v>
      </c>
      <c r="B28" s="36">
        <v>54</v>
      </c>
      <c r="C28" s="24">
        <f t="shared" si="18"/>
        <v>54.481232728692547</v>
      </c>
      <c r="D28" s="20">
        <f t="shared" si="19"/>
        <v>8.8330000000000908E-3</v>
      </c>
      <c r="E28" s="54" t="str">
        <f>VLOOKUP(A28,'Лист соответствия'!A:B,2,)</f>
        <v>Payment Details</v>
      </c>
      <c r="F28" s="64">
        <f t="shared" si="21"/>
        <v>18.160410909564181</v>
      </c>
      <c r="G28" s="64">
        <f>VLOOKUP(E28,'Summary Report'!A:K,8,)</f>
        <v>18.2</v>
      </c>
      <c r="H28" s="21">
        <f t="shared" si="22"/>
        <v>2.1752247492208276E-3</v>
      </c>
      <c r="J28" s="26">
        <f t="shared" si="23"/>
        <v>2.7866456773778359E-2</v>
      </c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</row>
    <row r="29" spans="1:25" ht="18" x14ac:dyDescent="0.3">
      <c r="A29" s="37" t="s">
        <v>82</v>
      </c>
      <c r="B29" s="36">
        <v>54</v>
      </c>
      <c r="C29" s="24">
        <f t="shared" si="18"/>
        <v>54.481232728692547</v>
      </c>
      <c r="D29" s="20">
        <f t="shared" si="19"/>
        <v>8.8330000000000908E-3</v>
      </c>
      <c r="E29" s="54" t="str">
        <f>VLOOKUP(A29,'Лист соответствия'!A:B,2,)</f>
        <v>Order Payment</v>
      </c>
      <c r="F29" s="64">
        <f t="shared" si="21"/>
        <v>18.160410909564181</v>
      </c>
      <c r="G29" s="64">
        <f>VLOOKUP(E29,'Summary Report'!A:K,8,)</f>
        <v>18.8</v>
      </c>
      <c r="H29" s="21">
        <f t="shared" si="22"/>
        <v>3.4020696299777664E-2</v>
      </c>
      <c r="J29" s="26">
        <f t="shared" si="23"/>
        <v>2.7866456773778359E-2</v>
      </c>
    </row>
    <row r="30" spans="1:25" ht="18.600000000000001" thickBot="1" x14ac:dyDescent="0.35">
      <c r="A30" s="38" t="s">
        <v>6</v>
      </c>
      <c r="B30" s="39">
        <f>SUM(B20:B29)</f>
        <v>1563</v>
      </c>
      <c r="C30" s="22">
        <f>SUM(C20:C29)</f>
        <v>1548.9800629072211</v>
      </c>
      <c r="D30" s="20">
        <f t="shared" si="19"/>
        <v>-9.0510765299751661E-3</v>
      </c>
      <c r="F30" s="58">
        <f>SUM(F19:F29)</f>
        <v>651.69429529529123</v>
      </c>
      <c r="J30" s="76">
        <f>SUM(J19:J29)</f>
        <v>0.99999999999999956</v>
      </c>
    </row>
    <row r="31" spans="1:25" s="44" customFormat="1" x14ac:dyDescent="0.3">
      <c r="A31"/>
      <c r="B31"/>
      <c r="C31"/>
      <c r="D31"/>
      <c r="E31"/>
      <c r="F31"/>
      <c r="G31"/>
      <c r="H31"/>
      <c r="M31"/>
      <c r="N31"/>
      <c r="O31"/>
      <c r="P31"/>
      <c r="Q31"/>
      <c r="R31"/>
      <c r="S31"/>
      <c r="T31"/>
      <c r="U31"/>
      <c r="V31"/>
      <c r="W31"/>
      <c r="X31"/>
      <c r="Y31"/>
    </row>
    <row r="32" spans="1:25" s="44" customFormat="1" x14ac:dyDescent="0.3">
      <c r="A32"/>
      <c r="B32"/>
      <c r="C32" s="28" t="s">
        <v>65</v>
      </c>
      <c r="D32" s="28"/>
      <c r="E32" s="28"/>
      <c r="F32" s="28"/>
      <c r="G32" s="28"/>
      <c r="H32" s="28"/>
      <c r="M32"/>
      <c r="N32"/>
      <c r="O32"/>
      <c r="P32"/>
      <c r="Q32"/>
      <c r="R32"/>
      <c r="S32"/>
      <c r="T32"/>
      <c r="U32"/>
      <c r="V32"/>
      <c r="W32"/>
      <c r="X32"/>
      <c r="Y32"/>
    </row>
    <row r="33" spans="1:8" x14ac:dyDescent="0.3">
      <c r="C33" t="s">
        <v>64</v>
      </c>
      <c r="D33" t="s">
        <v>60</v>
      </c>
      <c r="E33" t="s">
        <v>62</v>
      </c>
      <c r="F33" t="s">
        <v>61</v>
      </c>
      <c r="G33" t="s">
        <v>63</v>
      </c>
    </row>
    <row r="34" spans="1:8" x14ac:dyDescent="0.3">
      <c r="A34" t="s">
        <v>55</v>
      </c>
      <c r="B34" s="29">
        <f>124/3</f>
        <v>41.333333333333336</v>
      </c>
      <c r="C34" s="29">
        <v>45</v>
      </c>
      <c r="D34" s="29">
        <f>60/C34</f>
        <v>1.3333333333333333</v>
      </c>
      <c r="E34" s="29">
        <v>20</v>
      </c>
      <c r="F34" s="27">
        <f>B34/(D34*E34)</f>
        <v>1.5500000000000003</v>
      </c>
      <c r="G34">
        <f>ROUND(F34,0)</f>
        <v>2</v>
      </c>
      <c r="H34">
        <f>G34*D34*E34</f>
        <v>53.333333333333329</v>
      </c>
    </row>
    <row r="35" spans="1:8" x14ac:dyDescent="0.3">
      <c r="A35" t="s">
        <v>56</v>
      </c>
      <c r="B35" s="29">
        <f>150/3</f>
        <v>50</v>
      </c>
      <c r="C35" s="29">
        <v>20</v>
      </c>
      <c r="D35" s="29">
        <f>60/C35</f>
        <v>3</v>
      </c>
      <c r="E35" s="29">
        <v>20</v>
      </c>
      <c r="F35" s="27">
        <f>B35/(D35*E35)</f>
        <v>0.83333333333333337</v>
      </c>
      <c r="G35">
        <f t="shared" ref="G35:G38" si="24">ROUND(F35,0)</f>
        <v>1</v>
      </c>
      <c r="H35">
        <f>G35*D35*E35</f>
        <v>60</v>
      </c>
    </row>
    <row r="36" spans="1:8" x14ac:dyDescent="0.3">
      <c r="A36" t="s">
        <v>57</v>
      </c>
      <c r="B36" s="30">
        <f>30/3</f>
        <v>10</v>
      </c>
      <c r="C36" s="30">
        <v>30</v>
      </c>
      <c r="D36" s="29">
        <f>60/C36</f>
        <v>2</v>
      </c>
      <c r="E36" s="29">
        <v>20</v>
      </c>
      <c r="F36" s="27">
        <f>B36/(D36*E36)</f>
        <v>0.25</v>
      </c>
      <c r="G36">
        <v>1</v>
      </c>
      <c r="H36">
        <f>G36*D36*E36</f>
        <v>40</v>
      </c>
    </row>
    <row r="37" spans="1:8" x14ac:dyDescent="0.3">
      <c r="A37" t="s">
        <v>58</v>
      </c>
      <c r="B37" s="29">
        <f>20/3</f>
        <v>6.666666666666667</v>
      </c>
      <c r="C37" s="29">
        <v>20</v>
      </c>
      <c r="D37" s="29">
        <f>60/C37</f>
        <v>3</v>
      </c>
      <c r="E37" s="29">
        <v>20</v>
      </c>
      <c r="F37" s="27">
        <f>B37/(D37*E37)</f>
        <v>0.11111111111111112</v>
      </c>
      <c r="G37">
        <v>1</v>
      </c>
      <c r="H37">
        <f>G37*D37*E37</f>
        <v>60</v>
      </c>
    </row>
    <row r="38" spans="1:8" x14ac:dyDescent="0.3">
      <c r="A38" t="s">
        <v>59</v>
      </c>
      <c r="B38" s="29">
        <f>120/3</f>
        <v>40</v>
      </c>
      <c r="C38" s="29">
        <v>30</v>
      </c>
      <c r="D38" s="29">
        <f>60/C38</f>
        <v>2</v>
      </c>
      <c r="E38" s="29">
        <v>20</v>
      </c>
      <c r="F38" s="27">
        <f>B38/(D38*E38)</f>
        <v>1</v>
      </c>
      <c r="G38">
        <f t="shared" si="24"/>
        <v>1</v>
      </c>
      <c r="H38">
        <f>G38*D38*E38</f>
        <v>40</v>
      </c>
    </row>
    <row r="51" spans="9:9" x14ac:dyDescent="0.3">
      <c r="I51" s="28"/>
    </row>
    <row r="53" spans="9:9" x14ac:dyDescent="0.3">
      <c r="I53" s="26">
        <f>1-B34/H34</f>
        <v>0.22499999999999987</v>
      </c>
    </row>
    <row r="54" spans="9:9" x14ac:dyDescent="0.3">
      <c r="I54" s="26">
        <f>1-B35/H35</f>
        <v>0.16666666666666663</v>
      </c>
    </row>
    <row r="55" spans="9:9" x14ac:dyDescent="0.3">
      <c r="I55" s="26">
        <f>1-B36/H36</f>
        <v>0.75</v>
      </c>
    </row>
    <row r="56" spans="9:9" x14ac:dyDescent="0.3">
      <c r="I56" s="26">
        <f>1-B37/H37</f>
        <v>0.88888888888888884</v>
      </c>
    </row>
    <row r="57" spans="9:9" x14ac:dyDescent="0.3">
      <c r="I57" s="26">
        <f>1-B38/H38</f>
        <v>0</v>
      </c>
    </row>
  </sheetData>
  <mergeCells count="1">
    <mergeCell ref="A17:B17"/>
  </mergeCells>
  <pageMargins left="0.7" right="0.7" top="0.75" bottom="0.75" header="0.3" footer="0.3"/>
  <pageSetup paperSize="9" orientation="portrait"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9:O44"/>
  <sheetViews>
    <sheetView workbookViewId="0">
      <selection activeCell="G16" sqref="G16"/>
    </sheetView>
  </sheetViews>
  <sheetFormatPr defaultColWidth="8.88671875" defaultRowHeight="14.4" x14ac:dyDescent="0.3"/>
  <cols>
    <col min="2" max="2" width="4.44140625" customWidth="1"/>
    <col min="3" max="4" width="9.109375" hidden="1" customWidth="1"/>
    <col min="5" max="5" width="20.44140625" customWidth="1"/>
    <col min="6" max="6" width="18.88671875" customWidth="1"/>
    <col min="7" max="7" width="15.33203125" customWidth="1"/>
    <col min="8" max="8" width="15.109375" customWidth="1"/>
    <col min="9" max="9" width="14" customWidth="1"/>
    <col min="11" max="11" width="1.44140625" customWidth="1"/>
    <col min="12" max="12" width="40.33203125" customWidth="1"/>
    <col min="13" max="13" width="6" bestFit="1" customWidth="1"/>
    <col min="14" max="14" width="4.109375" bestFit="1" customWidth="1"/>
    <col min="15" max="15" width="5" bestFit="1" customWidth="1"/>
    <col min="16" max="16" width="14.109375" bestFit="1" customWidth="1"/>
    <col min="17" max="17" width="19.44140625" bestFit="1" customWidth="1"/>
  </cols>
  <sheetData>
    <row r="9" spans="5:9" x14ac:dyDescent="0.3">
      <c r="E9" s="84" t="s">
        <v>26</v>
      </c>
      <c r="F9" s="84"/>
      <c r="G9" s="84"/>
      <c r="H9" s="84"/>
      <c r="I9" s="84"/>
    </row>
    <row r="11" spans="5:9" ht="27.6" x14ac:dyDescent="0.3">
      <c r="E11" s="1" t="s">
        <v>7</v>
      </c>
      <c r="F11" s="1" t="s">
        <v>8</v>
      </c>
      <c r="G11" s="1" t="s">
        <v>9</v>
      </c>
      <c r="H11" s="1" t="s">
        <v>10</v>
      </c>
      <c r="I11" s="1" t="s">
        <v>11</v>
      </c>
    </row>
    <row r="12" spans="5:9" ht="15.6" x14ac:dyDescent="0.3">
      <c r="E12" s="2" t="s">
        <v>0</v>
      </c>
      <c r="F12" s="3" t="s">
        <v>17</v>
      </c>
      <c r="G12" s="4">
        <v>368</v>
      </c>
      <c r="H12" s="3">
        <f>121*3</f>
        <v>363</v>
      </c>
      <c r="I12" s="5">
        <f>1-G12/H12</f>
        <v>-1.377410468319562E-2</v>
      </c>
    </row>
    <row r="13" spans="5:9" ht="31.2" x14ac:dyDescent="0.3">
      <c r="E13" s="2" t="s">
        <v>1</v>
      </c>
      <c r="F13" s="3" t="s">
        <v>16</v>
      </c>
      <c r="G13" s="4">
        <v>251</v>
      </c>
      <c r="H13" s="3">
        <f>82*3</f>
        <v>246</v>
      </c>
      <c r="I13" s="5">
        <f t="shared" ref="I13:I18" si="0">1-G13/H13</f>
        <v>-2.0325203252032464E-2</v>
      </c>
    </row>
    <row r="14" spans="5:9" ht="31.2" x14ac:dyDescent="0.3">
      <c r="E14" s="2" t="s">
        <v>2</v>
      </c>
      <c r="F14" s="3" t="s">
        <v>19</v>
      </c>
      <c r="G14" s="4">
        <v>251</v>
      </c>
      <c r="H14" s="3">
        <f>82*3</f>
        <v>246</v>
      </c>
      <c r="I14" s="5">
        <f t="shared" si="0"/>
        <v>-2.0325203252032464E-2</v>
      </c>
    </row>
    <row r="15" spans="5:9" ht="15.6" x14ac:dyDescent="0.3">
      <c r="E15" s="2" t="s">
        <v>3</v>
      </c>
      <c r="F15" s="3" t="s">
        <v>12</v>
      </c>
      <c r="G15" s="4">
        <v>175</v>
      </c>
      <c r="H15" s="3">
        <f>56*3</f>
        <v>168</v>
      </c>
      <c r="I15" s="6">
        <f t="shared" si="0"/>
        <v>-4.1666666666666741E-2</v>
      </c>
    </row>
    <row r="16" spans="5:9" ht="31.2" x14ac:dyDescent="0.3">
      <c r="E16" s="2" t="s">
        <v>13</v>
      </c>
      <c r="F16" s="3" t="s">
        <v>15</v>
      </c>
      <c r="G16" s="4">
        <v>159</v>
      </c>
      <c r="H16" s="4">
        <f>56*3</f>
        <v>168</v>
      </c>
      <c r="I16" s="5">
        <f t="shared" si="0"/>
        <v>5.3571428571428603E-2</v>
      </c>
    </row>
    <row r="17" spans="5:9" ht="46.8" x14ac:dyDescent="0.3">
      <c r="E17" s="2" t="s">
        <v>4</v>
      </c>
      <c r="F17" s="3" t="s">
        <v>14</v>
      </c>
      <c r="G17" s="4">
        <v>73</v>
      </c>
      <c r="H17" s="3">
        <f>25*3</f>
        <v>75</v>
      </c>
      <c r="I17" s="5">
        <f t="shared" si="0"/>
        <v>2.6666666666666616E-2</v>
      </c>
    </row>
    <row r="18" spans="5:9" ht="15.6" x14ac:dyDescent="0.3">
      <c r="E18" s="2" t="s">
        <v>5</v>
      </c>
      <c r="F18" s="3" t="s">
        <v>18</v>
      </c>
      <c r="G18" s="4">
        <v>326</v>
      </c>
      <c r="H18" s="3">
        <f>104*3</f>
        <v>312</v>
      </c>
      <c r="I18" s="5">
        <f t="shared" si="0"/>
        <v>-4.4871794871794934E-2</v>
      </c>
    </row>
    <row r="23" spans="5:9" x14ac:dyDescent="0.3">
      <c r="E23" s="84" t="s">
        <v>24</v>
      </c>
      <c r="F23" s="84"/>
      <c r="G23" s="84"/>
      <c r="H23" s="84"/>
      <c r="I23" s="84"/>
    </row>
    <row r="25" spans="5:9" x14ac:dyDescent="0.3">
      <c r="E25" s="8" t="s">
        <v>7</v>
      </c>
      <c r="F25" s="8" t="s">
        <v>8</v>
      </c>
      <c r="G25" s="8" t="s">
        <v>9</v>
      </c>
      <c r="H25" s="8" t="s">
        <v>10</v>
      </c>
      <c r="I25" s="8" t="s">
        <v>11</v>
      </c>
    </row>
    <row r="26" spans="5:9" ht="15.6" x14ac:dyDescent="0.3">
      <c r="E26" s="13" t="s">
        <v>0</v>
      </c>
      <c r="F26" s="12" t="s">
        <v>17</v>
      </c>
      <c r="G26" s="10">
        <f>5*368</f>
        <v>1840</v>
      </c>
      <c r="H26" s="9">
        <f>721*3</f>
        <v>2163</v>
      </c>
      <c r="I26" s="11">
        <f>1-G26/H26</f>
        <v>0.14932963476652794</v>
      </c>
    </row>
    <row r="27" spans="5:9" ht="15.6" x14ac:dyDescent="0.3">
      <c r="E27" s="13" t="s">
        <v>1</v>
      </c>
      <c r="F27" s="12" t="s">
        <v>16</v>
      </c>
      <c r="G27" s="10">
        <f>5*251</f>
        <v>1255</v>
      </c>
      <c r="H27" s="9">
        <f>3*464</f>
        <v>1392</v>
      </c>
      <c r="I27" s="11">
        <f t="shared" ref="I27:I32" si="1">1-G27/H27</f>
        <v>9.8419540229885083E-2</v>
      </c>
    </row>
    <row r="28" spans="5:9" ht="15.6" x14ac:dyDescent="0.3">
      <c r="E28" s="13" t="s">
        <v>2</v>
      </c>
      <c r="F28" s="12" t="s">
        <v>19</v>
      </c>
      <c r="G28" s="10">
        <f>5*251</f>
        <v>1255</v>
      </c>
      <c r="H28" s="9">
        <f>3*462</f>
        <v>1386</v>
      </c>
      <c r="I28" s="11">
        <f t="shared" si="1"/>
        <v>9.4516594516594554E-2</v>
      </c>
    </row>
    <row r="29" spans="5:9" ht="15.6" x14ac:dyDescent="0.3">
      <c r="E29" s="13" t="s">
        <v>3</v>
      </c>
      <c r="F29" s="12" t="s">
        <v>12</v>
      </c>
      <c r="G29" s="10">
        <f>5*175</f>
        <v>875</v>
      </c>
      <c r="H29" s="9">
        <f>3*314</f>
        <v>942</v>
      </c>
      <c r="I29" s="7">
        <f t="shared" si="1"/>
        <v>7.1125265392781301E-2</v>
      </c>
    </row>
    <row r="30" spans="5:9" ht="15.6" x14ac:dyDescent="0.3">
      <c r="E30" s="13" t="s">
        <v>13</v>
      </c>
      <c r="F30" s="12" t="s">
        <v>15</v>
      </c>
      <c r="G30" s="10">
        <f>5*159</f>
        <v>795</v>
      </c>
      <c r="H30" s="9">
        <f>3*330</f>
        <v>990</v>
      </c>
      <c r="I30" s="11">
        <f t="shared" si="1"/>
        <v>0.19696969696969702</v>
      </c>
    </row>
    <row r="31" spans="5:9" ht="15.6" x14ac:dyDescent="0.3">
      <c r="E31" s="13" t="s">
        <v>4</v>
      </c>
      <c r="F31" s="12" t="s">
        <v>14</v>
      </c>
      <c r="G31" s="10">
        <f>5*73</f>
        <v>365</v>
      </c>
      <c r="H31" s="9">
        <f>3*141</f>
        <v>423</v>
      </c>
      <c r="I31" s="11">
        <f t="shared" si="1"/>
        <v>0.13711583924349879</v>
      </c>
    </row>
    <row r="32" spans="5:9" ht="15.6" x14ac:dyDescent="0.3">
      <c r="E32" s="13" t="s">
        <v>5</v>
      </c>
      <c r="F32" s="12" t="s">
        <v>18</v>
      </c>
      <c r="G32" s="10">
        <f>5*326</f>
        <v>1630</v>
      </c>
      <c r="H32" s="9">
        <f>3*599</f>
        <v>1797</v>
      </c>
      <c r="I32" s="11">
        <f t="shared" si="1"/>
        <v>9.2932665553700611E-2</v>
      </c>
    </row>
    <row r="35" spans="5:15" x14ac:dyDescent="0.3">
      <c r="E35" s="84" t="s">
        <v>25</v>
      </c>
      <c r="F35" s="84"/>
      <c r="G35" s="84"/>
      <c r="H35" s="84"/>
      <c r="I35" s="84"/>
    </row>
    <row r="37" spans="5:15" x14ac:dyDescent="0.3">
      <c r="E37" s="8" t="s">
        <v>7</v>
      </c>
      <c r="F37" s="8" t="s">
        <v>8</v>
      </c>
      <c r="G37" s="8" t="s">
        <v>9</v>
      </c>
      <c r="H37" s="8" t="s">
        <v>10</v>
      </c>
      <c r="I37" s="8" t="s">
        <v>11</v>
      </c>
      <c r="L37" s="14" t="s">
        <v>20</v>
      </c>
      <c r="M37" s="14" t="s">
        <v>21</v>
      </c>
      <c r="N37" s="14" t="s">
        <v>22</v>
      </c>
      <c r="O37" s="14" t="s">
        <v>23</v>
      </c>
    </row>
    <row r="38" spans="5:15" ht="15.6" x14ac:dyDescent="0.3">
      <c r="E38" s="13" t="s">
        <v>0</v>
      </c>
      <c r="F38" s="12" t="s">
        <v>17</v>
      </c>
      <c r="G38" s="10">
        <f>5*368</f>
        <v>1840</v>
      </c>
      <c r="H38" s="9">
        <v>2109</v>
      </c>
      <c r="I38" s="11">
        <f>1-G38/H38</f>
        <v>0.12754860123281175</v>
      </c>
      <c r="L38" s="14" t="s">
        <v>14</v>
      </c>
      <c r="M38" s="14">
        <v>377</v>
      </c>
      <c r="N38" s="14">
        <v>27</v>
      </c>
      <c r="O38" s="14">
        <v>0</v>
      </c>
    </row>
    <row r="39" spans="5:15" ht="15.6" x14ac:dyDescent="0.3">
      <c r="E39" s="13" t="s">
        <v>1</v>
      </c>
      <c r="F39" s="12" t="s">
        <v>16</v>
      </c>
      <c r="G39" s="10">
        <f>5*251</f>
        <v>1255</v>
      </c>
      <c r="H39" s="14">
        <v>1315</v>
      </c>
      <c r="I39" s="11">
        <f t="shared" ref="I39:I44" si="2">1-G39/H39</f>
        <v>4.5627376425855459E-2</v>
      </c>
      <c r="L39" s="14" t="s">
        <v>15</v>
      </c>
      <c r="M39" s="14">
        <v>998</v>
      </c>
      <c r="N39" s="14">
        <v>1</v>
      </c>
      <c r="O39" s="14">
        <v>0</v>
      </c>
    </row>
    <row r="40" spans="5:15" ht="15.6" x14ac:dyDescent="0.3">
      <c r="E40" s="13" t="s">
        <v>2</v>
      </c>
      <c r="F40" s="12" t="s">
        <v>19</v>
      </c>
      <c r="G40" s="10">
        <f>5*251</f>
        <v>1255</v>
      </c>
      <c r="H40" s="9">
        <v>1315</v>
      </c>
      <c r="I40" s="11">
        <f t="shared" si="2"/>
        <v>4.5627376425855459E-2</v>
      </c>
      <c r="L40" s="14" t="s">
        <v>16</v>
      </c>
      <c r="M40" s="14" t="s">
        <v>27</v>
      </c>
      <c r="N40" s="14">
        <v>0</v>
      </c>
      <c r="O40" s="14">
        <v>0</v>
      </c>
    </row>
    <row r="41" spans="5:15" ht="15.6" x14ac:dyDescent="0.3">
      <c r="E41" s="13" t="s">
        <v>3</v>
      </c>
      <c r="F41" s="12" t="s">
        <v>12</v>
      </c>
      <c r="G41" s="10">
        <f>5*175</f>
        <v>875</v>
      </c>
      <c r="H41" s="14">
        <v>924</v>
      </c>
      <c r="I41" s="7">
        <f t="shared" si="2"/>
        <v>5.3030303030302983E-2</v>
      </c>
      <c r="L41" s="14" t="s">
        <v>17</v>
      </c>
      <c r="M41" s="14" t="s">
        <v>28</v>
      </c>
      <c r="N41" s="14">
        <v>139</v>
      </c>
      <c r="O41" s="14">
        <v>0</v>
      </c>
    </row>
    <row r="42" spans="5:15" ht="15.6" x14ac:dyDescent="0.3">
      <c r="E42" s="13" t="s">
        <v>13</v>
      </c>
      <c r="F42" s="12" t="s">
        <v>15</v>
      </c>
      <c r="G42" s="10">
        <f>5*159</f>
        <v>795</v>
      </c>
      <c r="H42" s="14">
        <v>998</v>
      </c>
      <c r="I42" s="11">
        <f t="shared" si="2"/>
        <v>0.20340681362725455</v>
      </c>
      <c r="L42" s="14" t="s">
        <v>18</v>
      </c>
      <c r="M42" s="14" t="s">
        <v>29</v>
      </c>
      <c r="N42" s="14">
        <v>1</v>
      </c>
      <c r="O42" s="14">
        <v>0</v>
      </c>
    </row>
    <row r="43" spans="5:15" ht="15.6" x14ac:dyDescent="0.3">
      <c r="E43" s="13" t="s">
        <v>4</v>
      </c>
      <c r="F43" s="12" t="s">
        <v>14</v>
      </c>
      <c r="G43" s="10">
        <f>5*73</f>
        <v>365</v>
      </c>
      <c r="H43" s="14">
        <v>404</v>
      </c>
      <c r="I43" s="11">
        <f t="shared" si="2"/>
        <v>9.6534653465346509E-2</v>
      </c>
      <c r="L43" s="14" t="s">
        <v>12</v>
      </c>
      <c r="M43" s="14">
        <v>924</v>
      </c>
      <c r="N43" s="14">
        <v>0</v>
      </c>
      <c r="O43" s="14">
        <v>0</v>
      </c>
    </row>
    <row r="44" spans="5:15" ht="15.6" x14ac:dyDescent="0.3">
      <c r="E44" s="13" t="s">
        <v>5</v>
      </c>
      <c r="F44" s="12" t="s">
        <v>18</v>
      </c>
      <c r="G44" s="10">
        <f>5*326</f>
        <v>1630</v>
      </c>
      <c r="H44" s="9">
        <v>1675</v>
      </c>
      <c r="I44" s="11">
        <f t="shared" si="2"/>
        <v>2.68656716417911E-2</v>
      </c>
      <c r="L44" s="14" t="s">
        <v>19</v>
      </c>
      <c r="M44" s="14" t="s">
        <v>27</v>
      </c>
      <c r="N44" s="14">
        <v>0</v>
      </c>
      <c r="O44" s="14">
        <v>0</v>
      </c>
    </row>
  </sheetData>
  <mergeCells count="3">
    <mergeCell ref="E23:I23"/>
    <mergeCell ref="E35:I35"/>
    <mergeCell ref="E9:I9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B11" sqref="B11"/>
    </sheetView>
  </sheetViews>
  <sheetFormatPr defaultRowHeight="14.4" x14ac:dyDescent="0.3"/>
  <cols>
    <col min="1" max="1" width="48.44140625" bestFit="1" customWidth="1"/>
    <col min="2" max="2" width="30.88671875" customWidth="1"/>
    <col min="3" max="3" width="16" bestFit="1" customWidth="1"/>
  </cols>
  <sheetData>
    <row r="1" spans="1:4" x14ac:dyDescent="0.3">
      <c r="A1" s="74" t="s">
        <v>96</v>
      </c>
      <c r="B1" s="85" t="s">
        <v>91</v>
      </c>
      <c r="C1" s="66"/>
    </row>
    <row r="2" spans="1:4" x14ac:dyDescent="0.3">
      <c r="A2" s="74" t="s">
        <v>95</v>
      </c>
      <c r="B2" s="54" t="s">
        <v>93</v>
      </c>
      <c r="C2" s="66"/>
    </row>
    <row r="3" spans="1:4" x14ac:dyDescent="0.3">
      <c r="A3" s="74" t="s">
        <v>98</v>
      </c>
      <c r="B3" s="54" t="s">
        <v>94</v>
      </c>
      <c r="C3" s="66"/>
    </row>
    <row r="4" spans="1:4" x14ac:dyDescent="0.3">
      <c r="A4" s="74" t="s">
        <v>78</v>
      </c>
      <c r="B4" s="54" t="s">
        <v>90</v>
      </c>
      <c r="C4" s="66"/>
    </row>
    <row r="5" spans="1:4" x14ac:dyDescent="0.3">
      <c r="A5" s="74" t="s">
        <v>79</v>
      </c>
      <c r="B5" s="54" t="s">
        <v>89</v>
      </c>
      <c r="C5" s="66"/>
      <c r="D5" s="54"/>
    </row>
    <row r="6" spans="1:4" x14ac:dyDescent="0.3">
      <c r="A6" s="74" t="s">
        <v>76</v>
      </c>
      <c r="B6" s="54" t="s">
        <v>88</v>
      </c>
      <c r="C6" s="66"/>
    </row>
    <row r="7" spans="1:4" x14ac:dyDescent="0.3">
      <c r="A7" s="74" t="s">
        <v>67</v>
      </c>
      <c r="B7" s="54" t="s">
        <v>68</v>
      </c>
      <c r="C7" s="66"/>
      <c r="D7" s="54"/>
    </row>
    <row r="8" spans="1:4" x14ac:dyDescent="0.3">
      <c r="A8" s="74" t="s">
        <v>97</v>
      </c>
      <c r="B8" s="54" t="s">
        <v>84</v>
      </c>
      <c r="C8" s="66"/>
    </row>
    <row r="9" spans="1:4" x14ac:dyDescent="0.3">
      <c r="A9" s="74" t="s">
        <v>80</v>
      </c>
      <c r="B9" s="54" t="s">
        <v>85</v>
      </c>
      <c r="C9" s="66"/>
    </row>
    <row r="10" spans="1:4" x14ac:dyDescent="0.3">
      <c r="A10" s="74" t="s">
        <v>81</v>
      </c>
      <c r="B10" s="54" t="s">
        <v>86</v>
      </c>
      <c r="C10" s="66"/>
      <c r="D10" s="54"/>
    </row>
    <row r="11" spans="1:4" x14ac:dyDescent="0.3">
      <c r="A11" s="74" t="s">
        <v>82</v>
      </c>
      <c r="B11" s="54" t="s">
        <v>87</v>
      </c>
      <c r="C11" s="66"/>
    </row>
    <row r="12" spans="1:4" x14ac:dyDescent="0.3">
      <c r="B12" s="66"/>
      <c r="C12" s="66"/>
      <c r="D12" s="5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workbookViewId="0">
      <selection activeCell="K17" sqref="K17"/>
    </sheetView>
  </sheetViews>
  <sheetFormatPr defaultRowHeight="14.4" x14ac:dyDescent="0.3"/>
  <cols>
    <col min="1" max="1" width="34.6640625" bestFit="1" customWidth="1"/>
    <col min="2" max="2" width="10" bestFit="1" customWidth="1"/>
    <col min="3" max="3" width="9.5546875" bestFit="1" customWidth="1"/>
    <col min="4" max="4" width="8.33203125" bestFit="1" customWidth="1"/>
    <col min="5" max="5" width="9.88671875" bestFit="1" customWidth="1"/>
    <col min="6" max="6" width="13.5546875" bestFit="1" customWidth="1"/>
    <col min="7" max="7" width="10.33203125" bestFit="1" customWidth="1"/>
    <col min="8" max="8" width="8.5546875" bestFit="1" customWidth="1"/>
    <col min="9" max="9" width="4.109375" bestFit="1" customWidth="1"/>
    <col min="10" max="10" width="5" bestFit="1" customWidth="1"/>
    <col min="11" max="11" width="3.5546875" bestFit="1" customWidth="1"/>
    <col min="13" max="13" width="16" bestFit="1" customWidth="1"/>
  </cols>
  <sheetData>
    <row r="1" spans="1:13" x14ac:dyDescent="0.3">
      <c r="A1" s="54" t="s">
        <v>20</v>
      </c>
      <c r="B1" s="54" t="s">
        <v>69</v>
      </c>
      <c r="C1" s="54" t="s">
        <v>70</v>
      </c>
      <c r="D1" s="54" t="s">
        <v>71</v>
      </c>
      <c r="E1" s="54" t="s">
        <v>72</v>
      </c>
      <c r="F1" s="54" t="s">
        <v>73</v>
      </c>
      <c r="G1" s="54" t="s">
        <v>74</v>
      </c>
      <c r="H1" s="54" t="s">
        <v>21</v>
      </c>
      <c r="I1" s="54" t="s">
        <v>22</v>
      </c>
      <c r="J1" s="54" t="s">
        <v>23</v>
      </c>
      <c r="K1" s="67"/>
      <c r="M1" t="s">
        <v>161</v>
      </c>
    </row>
    <row r="2" spans="1:13" x14ac:dyDescent="0.3">
      <c r="A2" s="81" t="s">
        <v>85</v>
      </c>
      <c r="B2" s="81" t="s">
        <v>92</v>
      </c>
      <c r="C2" s="81" t="s">
        <v>105</v>
      </c>
      <c r="D2" s="81" t="s">
        <v>106</v>
      </c>
      <c r="E2" s="81" t="s">
        <v>107</v>
      </c>
      <c r="F2" s="81" t="s">
        <v>108</v>
      </c>
      <c r="G2" s="81" t="s">
        <v>109</v>
      </c>
      <c r="H2" s="86">
        <f>M2/5</f>
        <v>18</v>
      </c>
      <c r="I2" s="81" t="s">
        <v>110</v>
      </c>
      <c r="J2" s="81" t="s">
        <v>110</v>
      </c>
      <c r="K2" s="68"/>
      <c r="M2" s="81">
        <v>90</v>
      </c>
    </row>
    <row r="3" spans="1:13" x14ac:dyDescent="0.3">
      <c r="A3" s="81" t="s">
        <v>89</v>
      </c>
      <c r="B3" s="81" t="s">
        <v>92</v>
      </c>
      <c r="C3" s="81" t="s">
        <v>111</v>
      </c>
      <c r="D3" s="81" t="s">
        <v>112</v>
      </c>
      <c r="E3" s="81" t="s">
        <v>113</v>
      </c>
      <c r="F3" s="81" t="s">
        <v>114</v>
      </c>
      <c r="G3" s="81" t="s">
        <v>115</v>
      </c>
      <c r="H3" s="86">
        <f t="shared" ref="H3:H12" si="0">M3/5</f>
        <v>39.6</v>
      </c>
      <c r="I3" s="81" t="s">
        <v>110</v>
      </c>
      <c r="J3" s="81" t="s">
        <v>110</v>
      </c>
      <c r="K3" s="68"/>
      <c r="M3" s="81">
        <v>198</v>
      </c>
    </row>
    <row r="4" spans="1:13" x14ac:dyDescent="0.3">
      <c r="A4" s="81" t="s">
        <v>90</v>
      </c>
      <c r="B4" s="81" t="s">
        <v>92</v>
      </c>
      <c r="C4" s="81" t="s">
        <v>116</v>
      </c>
      <c r="D4" s="81" t="s">
        <v>117</v>
      </c>
      <c r="E4" s="81" t="s">
        <v>118</v>
      </c>
      <c r="F4" s="81" t="s">
        <v>119</v>
      </c>
      <c r="G4" s="81" t="s">
        <v>120</v>
      </c>
      <c r="H4" s="86">
        <f t="shared" si="0"/>
        <v>194.8</v>
      </c>
      <c r="I4" s="81" t="s">
        <v>110</v>
      </c>
      <c r="J4" s="81" t="s">
        <v>110</v>
      </c>
      <c r="K4" s="68"/>
      <c r="M4" s="81">
        <v>974</v>
      </c>
    </row>
    <row r="5" spans="1:13" x14ac:dyDescent="0.3">
      <c r="A5" s="81" t="s">
        <v>84</v>
      </c>
      <c r="B5" s="81" t="s">
        <v>92</v>
      </c>
      <c r="C5" s="81" t="s">
        <v>121</v>
      </c>
      <c r="D5" s="81" t="s">
        <v>122</v>
      </c>
      <c r="E5" s="81" t="s">
        <v>123</v>
      </c>
      <c r="F5" s="81" t="s">
        <v>124</v>
      </c>
      <c r="G5" s="81" t="s">
        <v>125</v>
      </c>
      <c r="H5" s="86">
        <f t="shared" si="0"/>
        <v>18</v>
      </c>
      <c r="I5" s="81" t="s">
        <v>110</v>
      </c>
      <c r="J5" s="81" t="s">
        <v>110</v>
      </c>
      <c r="K5" s="68"/>
      <c r="M5" s="81">
        <v>90</v>
      </c>
    </row>
    <row r="6" spans="1:13" x14ac:dyDescent="0.3">
      <c r="A6" s="81" t="s">
        <v>93</v>
      </c>
      <c r="B6" s="81" t="s">
        <v>92</v>
      </c>
      <c r="C6" s="81" t="s">
        <v>126</v>
      </c>
      <c r="D6" s="81" t="s">
        <v>127</v>
      </c>
      <c r="E6" s="81" t="s">
        <v>128</v>
      </c>
      <c r="F6" s="81" t="s">
        <v>129</v>
      </c>
      <c r="G6" s="81" t="s">
        <v>130</v>
      </c>
      <c r="H6" s="86">
        <f t="shared" si="0"/>
        <v>18</v>
      </c>
      <c r="I6" s="81" t="s">
        <v>110</v>
      </c>
      <c r="J6" s="81" t="s">
        <v>110</v>
      </c>
      <c r="K6" s="68"/>
      <c r="M6" s="81">
        <v>90</v>
      </c>
    </row>
    <row r="7" spans="1:13" x14ac:dyDescent="0.3">
      <c r="A7" s="81" t="s">
        <v>68</v>
      </c>
      <c r="B7" s="81" t="s">
        <v>92</v>
      </c>
      <c r="C7" s="81" t="s">
        <v>131</v>
      </c>
      <c r="D7" s="81" t="s">
        <v>132</v>
      </c>
      <c r="E7" s="81" t="s">
        <v>133</v>
      </c>
      <c r="F7" s="81" t="s">
        <v>134</v>
      </c>
      <c r="G7" s="81" t="s">
        <v>135</v>
      </c>
      <c r="H7" s="86">
        <f t="shared" si="0"/>
        <v>18</v>
      </c>
      <c r="I7" s="81" t="s">
        <v>110</v>
      </c>
      <c r="J7" s="81" t="s">
        <v>110</v>
      </c>
      <c r="K7" s="68"/>
      <c r="M7" s="81">
        <v>90</v>
      </c>
    </row>
    <row r="8" spans="1:13" x14ac:dyDescent="0.3">
      <c r="A8" s="81" t="s">
        <v>91</v>
      </c>
      <c r="B8" s="81" t="s">
        <v>92</v>
      </c>
      <c r="C8" s="81" t="s">
        <v>136</v>
      </c>
      <c r="D8" s="81" t="s">
        <v>137</v>
      </c>
      <c r="E8" s="81" t="s">
        <v>138</v>
      </c>
      <c r="F8" s="81" t="s">
        <v>139</v>
      </c>
      <c r="G8" s="81" t="s">
        <v>140</v>
      </c>
      <c r="H8" s="86">
        <f t="shared" si="0"/>
        <v>137</v>
      </c>
      <c r="I8" s="81" t="s">
        <v>110</v>
      </c>
      <c r="J8" s="81" t="s">
        <v>110</v>
      </c>
      <c r="K8" s="68"/>
      <c r="M8" s="81">
        <v>685</v>
      </c>
    </row>
    <row r="9" spans="1:13" x14ac:dyDescent="0.3">
      <c r="A9" s="81" t="s">
        <v>87</v>
      </c>
      <c r="B9" s="81" t="s">
        <v>92</v>
      </c>
      <c r="C9" s="81" t="s">
        <v>141</v>
      </c>
      <c r="D9" s="81" t="s">
        <v>142</v>
      </c>
      <c r="E9" s="81" t="s">
        <v>143</v>
      </c>
      <c r="F9" s="81" t="s">
        <v>144</v>
      </c>
      <c r="G9" s="81" t="s">
        <v>145</v>
      </c>
      <c r="H9" s="86">
        <f t="shared" si="0"/>
        <v>18.8</v>
      </c>
      <c r="I9" s="81" t="s">
        <v>110</v>
      </c>
      <c r="J9" s="81" t="s">
        <v>110</v>
      </c>
      <c r="K9" s="68"/>
      <c r="M9" s="81">
        <v>94</v>
      </c>
    </row>
    <row r="10" spans="1:13" x14ac:dyDescent="0.3">
      <c r="A10" s="81" t="s">
        <v>86</v>
      </c>
      <c r="B10" s="81" t="s">
        <v>92</v>
      </c>
      <c r="C10" s="81" t="s">
        <v>146</v>
      </c>
      <c r="D10" s="81" t="s">
        <v>147</v>
      </c>
      <c r="E10" s="81" t="s">
        <v>148</v>
      </c>
      <c r="F10" s="81" t="s">
        <v>149</v>
      </c>
      <c r="G10" s="81" t="s">
        <v>150</v>
      </c>
      <c r="H10" s="86">
        <f t="shared" si="0"/>
        <v>18.2</v>
      </c>
      <c r="I10" s="81" t="s">
        <v>110</v>
      </c>
      <c r="J10" s="81" t="s">
        <v>110</v>
      </c>
      <c r="K10" s="68"/>
      <c r="M10" s="81">
        <v>91</v>
      </c>
    </row>
    <row r="11" spans="1:13" x14ac:dyDescent="0.3">
      <c r="A11" s="81" t="s">
        <v>94</v>
      </c>
      <c r="B11" s="81" t="s">
        <v>92</v>
      </c>
      <c r="C11" s="81" t="s">
        <v>151</v>
      </c>
      <c r="D11" s="81" t="s">
        <v>152</v>
      </c>
      <c r="E11" s="81" t="s">
        <v>153</v>
      </c>
      <c r="F11" s="81" t="s">
        <v>154</v>
      </c>
      <c r="G11" s="81" t="s">
        <v>155</v>
      </c>
      <c r="H11" s="86">
        <f t="shared" si="0"/>
        <v>137.4</v>
      </c>
      <c r="I11" s="81" t="s">
        <v>110</v>
      </c>
      <c r="J11" s="81" t="s">
        <v>110</v>
      </c>
      <c r="K11" s="68"/>
      <c r="M11" s="81">
        <v>687</v>
      </c>
    </row>
    <row r="12" spans="1:13" x14ac:dyDescent="0.3">
      <c r="A12" s="81" t="s">
        <v>88</v>
      </c>
      <c r="B12" s="81" t="s">
        <v>92</v>
      </c>
      <c r="C12" s="81" t="s">
        <v>156</v>
      </c>
      <c r="D12" s="81" t="s">
        <v>157</v>
      </c>
      <c r="E12" s="81" t="s">
        <v>158</v>
      </c>
      <c r="F12" s="81" t="s">
        <v>159</v>
      </c>
      <c r="G12" s="81" t="s">
        <v>160</v>
      </c>
      <c r="H12" s="86">
        <f t="shared" si="0"/>
        <v>39.6</v>
      </c>
      <c r="I12" s="81" t="s">
        <v>110</v>
      </c>
      <c r="J12" s="81" t="s">
        <v>110</v>
      </c>
      <c r="K12" s="68"/>
      <c r="M12" s="81">
        <v>198</v>
      </c>
    </row>
    <row r="13" spans="1:13" x14ac:dyDescent="0.3">
      <c r="A13" s="65"/>
      <c r="B13" s="65"/>
      <c r="C13" s="65"/>
      <c r="D13" s="65"/>
      <c r="E13" s="65"/>
      <c r="F13" s="65"/>
      <c r="G13" s="65"/>
      <c r="H13" s="65"/>
      <c r="I13" s="65"/>
      <c r="J13" s="65"/>
      <c r="K13" s="68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Автоматизированный расчет</vt:lpstr>
      <vt:lpstr>Шаблоны соотвествие профилю</vt:lpstr>
      <vt:lpstr>Лист соответствия</vt:lpstr>
      <vt:lpstr>Summary Report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Назар Грехов</dc:creator>
  <cp:lastModifiedBy>Сергей Агеев</cp:lastModifiedBy>
  <dcterms:created xsi:type="dcterms:W3CDTF">2015-06-05T18:19:34Z</dcterms:created>
  <dcterms:modified xsi:type="dcterms:W3CDTF">2022-05-02T18:15:59Z</dcterms:modified>
</cp:coreProperties>
</file>