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geef\Documents\Loadrunner\Analysis\scenario\"/>
    </mc:Choice>
  </mc:AlternateContent>
  <bookViews>
    <workbookView xWindow="0" yWindow="0" windowWidth="28800" windowHeight="11745" tabRatio="630"/>
  </bookViews>
  <sheets>
    <sheet name="Автоматизированный расчет" sheetId="3" r:id="rId1"/>
    <sheet name="Шаблоны соотвествие профилю" sheetId="2" r:id="rId2"/>
    <sheet name="Лист соответствия" sheetId="4" r:id="rId3"/>
    <sheet name="Summary Report" sheetId="5" r:id="rId4"/>
  </sheets>
  <calcPr calcId="162913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4" i="3" l="1"/>
  <c r="J53" i="3"/>
  <c r="J52" i="3"/>
  <c r="J51" i="3"/>
  <c r="J50" i="3"/>
  <c r="J49" i="3"/>
  <c r="J48" i="3"/>
  <c r="J47" i="3"/>
  <c r="J46" i="3"/>
  <c r="J45" i="3"/>
  <c r="J44" i="3"/>
  <c r="J43" i="3"/>
  <c r="J55" i="3" s="1"/>
  <c r="F55" i="3"/>
  <c r="F44" i="3" l="1"/>
  <c r="F45" i="3"/>
  <c r="F46" i="3"/>
  <c r="F47" i="3"/>
  <c r="F48" i="3"/>
  <c r="F49" i="3"/>
  <c r="F50" i="3"/>
  <c r="F51" i="3"/>
  <c r="F52" i="3"/>
  <c r="F53" i="3"/>
  <c r="F54" i="3"/>
  <c r="F43" i="3"/>
  <c r="K2" i="5" l="1"/>
  <c r="K4" i="5"/>
  <c r="K8" i="5"/>
  <c r="K9" i="5"/>
  <c r="K10" i="5"/>
  <c r="K15" i="5"/>
  <c r="K16" i="5"/>
  <c r="K18" i="5"/>
  <c r="K20" i="5"/>
  <c r="K7" i="5"/>
  <c r="K12" i="5"/>
  <c r="K13" i="5"/>
  <c r="K14" i="5"/>
  <c r="K5" i="5"/>
  <c r="K6" i="5"/>
  <c r="K3" i="5"/>
  <c r="K11" i="5"/>
  <c r="K17" i="5"/>
  <c r="K19" i="5"/>
  <c r="Y3" i="3" l="1"/>
  <c r="Y4" i="3"/>
  <c r="Y5" i="3"/>
  <c r="Y6" i="3"/>
  <c r="Y7" i="3"/>
  <c r="Y8" i="3"/>
  <c r="Y2" i="3"/>
  <c r="W2" i="3"/>
  <c r="S8" i="3"/>
  <c r="U8" i="3"/>
  <c r="V8" i="3"/>
  <c r="E44" i="3"/>
  <c r="G44" i="3" s="1"/>
  <c r="E45" i="3"/>
  <c r="G45" i="3" s="1"/>
  <c r="E46" i="3"/>
  <c r="G46" i="3" s="1"/>
  <c r="E47" i="3"/>
  <c r="G47" i="3" s="1"/>
  <c r="E48" i="3"/>
  <c r="G48" i="3" s="1"/>
  <c r="E49" i="3"/>
  <c r="G49" i="3" s="1"/>
  <c r="E50" i="3"/>
  <c r="G50" i="3" s="1"/>
  <c r="E51" i="3"/>
  <c r="G51" i="3" s="1"/>
  <c r="E52" i="3"/>
  <c r="G52" i="3" s="1"/>
  <c r="E53" i="3"/>
  <c r="G53" i="3" s="1"/>
  <c r="E54" i="3"/>
  <c r="G54" i="3" s="1"/>
  <c r="E43" i="3"/>
  <c r="G43" i="3" s="1"/>
  <c r="D9" i="3" l="1"/>
  <c r="P8" i="3" l="1"/>
  <c r="D37" i="3"/>
  <c r="D38" i="3"/>
  <c r="E36" i="3"/>
  <c r="F36" i="3" s="1"/>
  <c r="D36" i="3"/>
  <c r="E35" i="3"/>
  <c r="F35" i="3" s="1"/>
  <c r="D35" i="3"/>
  <c r="D23" i="3"/>
  <c r="D22" i="3"/>
  <c r="E37" i="3" l="1"/>
  <c r="F37" i="3" s="1"/>
  <c r="H37" i="3" s="1"/>
  <c r="E38" i="3"/>
  <c r="F38" i="3" s="1"/>
  <c r="H38" i="3" s="1"/>
  <c r="H36" i="3"/>
  <c r="H35" i="3"/>
  <c r="D18" i="3"/>
  <c r="P7" i="3"/>
  <c r="D31" i="3"/>
  <c r="D32" i="3"/>
  <c r="D33" i="3"/>
  <c r="D34" i="3"/>
  <c r="P4" i="3"/>
  <c r="Q4" i="3" s="1"/>
  <c r="D25" i="3"/>
  <c r="D26" i="3"/>
  <c r="D27" i="3"/>
  <c r="D28" i="3"/>
  <c r="D29" i="3"/>
  <c r="D30" i="3"/>
  <c r="D20" i="3"/>
  <c r="D21" i="3"/>
  <c r="D24" i="3"/>
  <c r="D4" i="3"/>
  <c r="D5" i="3"/>
  <c r="D6" i="3"/>
  <c r="D7" i="3"/>
  <c r="D8" i="3"/>
  <c r="D10" i="3"/>
  <c r="D11" i="3"/>
  <c r="D12" i="3"/>
  <c r="D13" i="3"/>
  <c r="D14" i="3"/>
  <c r="D15" i="3"/>
  <c r="D16" i="3"/>
  <c r="D17" i="3"/>
  <c r="D19" i="3"/>
  <c r="P6" i="3"/>
  <c r="Q6" i="3" s="1"/>
  <c r="C54" i="3"/>
  <c r="H54" i="3" l="1"/>
  <c r="E31" i="3"/>
  <c r="F31" i="3" s="1"/>
  <c r="H31" i="3" s="1"/>
  <c r="E18" i="3"/>
  <c r="F18" i="3" s="1"/>
  <c r="H18" i="3" s="1"/>
  <c r="E32" i="3"/>
  <c r="F32" i="3" s="1"/>
  <c r="H32" i="3" s="1"/>
  <c r="S7" i="3"/>
  <c r="U7" i="3" s="1"/>
  <c r="E33" i="3"/>
  <c r="F33" i="3" s="1"/>
  <c r="H33" i="3" s="1"/>
  <c r="E34" i="3"/>
  <c r="F34" i="3" s="1"/>
  <c r="H34" i="3" s="1"/>
  <c r="E28" i="3"/>
  <c r="F28" i="3" s="1"/>
  <c r="H28" i="3" s="1"/>
  <c r="E30" i="3"/>
  <c r="F30" i="3" s="1"/>
  <c r="H30" i="3" s="1"/>
  <c r="E29" i="3"/>
  <c r="F29" i="3" s="1"/>
  <c r="H29" i="3" s="1"/>
  <c r="E17" i="3"/>
  <c r="F17" i="3" s="1"/>
  <c r="H17" i="3" s="1"/>
  <c r="E16" i="3"/>
  <c r="F16" i="3" s="1"/>
  <c r="H16" i="3" s="1"/>
  <c r="E15" i="3"/>
  <c r="F15" i="3" s="1"/>
  <c r="H15" i="3" s="1"/>
  <c r="E19" i="3"/>
  <c r="F19" i="3" s="1"/>
  <c r="H19" i="3" s="1"/>
  <c r="D54" i="3"/>
  <c r="D2" i="3"/>
  <c r="D60" i="3"/>
  <c r="D61" i="3"/>
  <c r="H61" i="3" s="1"/>
  <c r="D62" i="3"/>
  <c r="D63" i="3"/>
  <c r="D59" i="3"/>
  <c r="B63" i="3"/>
  <c r="B61" i="3"/>
  <c r="B60" i="3"/>
  <c r="B62" i="3"/>
  <c r="B59" i="3"/>
  <c r="C43" i="3"/>
  <c r="C45" i="3"/>
  <c r="C52" i="3"/>
  <c r="C50" i="3"/>
  <c r="C47" i="3"/>
  <c r="C48" i="3"/>
  <c r="H48" i="3" l="1"/>
  <c r="H47" i="3"/>
  <c r="H50" i="3"/>
  <c r="H52" i="3"/>
  <c r="H45" i="3"/>
  <c r="D45" i="3"/>
  <c r="C53" i="3"/>
  <c r="C49" i="3"/>
  <c r="C51" i="3"/>
  <c r="C44" i="3"/>
  <c r="C46" i="3"/>
  <c r="H46" i="3" l="1"/>
  <c r="H44" i="3"/>
  <c r="H51" i="3"/>
  <c r="H49" i="3"/>
  <c r="H53" i="3"/>
  <c r="F59" i="3"/>
  <c r="G59" i="3" s="1"/>
  <c r="H59" i="3" s="1"/>
  <c r="C55" i="3"/>
  <c r="F63" i="3"/>
  <c r="G63" i="3" s="1"/>
  <c r="H63" i="3" s="1"/>
  <c r="F61" i="3"/>
  <c r="F62" i="3"/>
  <c r="H62" i="3"/>
  <c r="F60" i="3"/>
  <c r="G60" i="3" s="1"/>
  <c r="H60" i="3" s="1"/>
  <c r="B55" i="3"/>
  <c r="D55" i="3" l="1"/>
  <c r="D52" i="3"/>
  <c r="D43" i="3"/>
  <c r="D53" i="3"/>
  <c r="P3" i="3" l="1"/>
  <c r="Q3" i="3" s="1"/>
  <c r="E9" i="3" s="1"/>
  <c r="F9" i="3" s="1"/>
  <c r="H9" i="3" s="1"/>
  <c r="V3" i="3" l="1"/>
  <c r="V7" i="3"/>
  <c r="E8" i="3"/>
  <c r="F8" i="3" s="1"/>
  <c r="H8" i="3" s="1"/>
  <c r="E13" i="3"/>
  <c r="F13" i="3" s="1"/>
  <c r="H13" i="3" s="1"/>
  <c r="E10" i="3"/>
  <c r="F10" i="3" s="1"/>
  <c r="H10" i="3" s="1"/>
  <c r="E14" i="3"/>
  <c r="F14" i="3" s="1"/>
  <c r="H14" i="3" s="1"/>
  <c r="E11" i="3"/>
  <c r="F11" i="3" s="1"/>
  <c r="H11" i="3" s="1"/>
  <c r="E12" i="3"/>
  <c r="F12" i="3" s="1"/>
  <c r="H12" i="3" s="1"/>
  <c r="E7" i="3"/>
  <c r="F7" i="3" s="1"/>
  <c r="H7" i="3" s="1"/>
  <c r="P2" i="3"/>
  <c r="Q2" i="3" s="1"/>
  <c r="P5" i="3"/>
  <c r="Q5" i="3" s="1"/>
  <c r="D3" i="3"/>
  <c r="V2" i="3"/>
  <c r="S6" i="3"/>
  <c r="S3" i="3"/>
  <c r="U3" i="3" s="1"/>
  <c r="E22" i="3" l="1"/>
  <c r="F22" i="3" s="1"/>
  <c r="H22" i="3" s="1"/>
  <c r="E23" i="3"/>
  <c r="F23" i="3" s="1"/>
  <c r="H23" i="3" s="1"/>
  <c r="E4" i="3"/>
  <c r="F4" i="3" s="1"/>
  <c r="H4" i="3" s="1"/>
  <c r="E5" i="3"/>
  <c r="F5" i="3" s="1"/>
  <c r="H5" i="3" s="1"/>
  <c r="E2" i="3"/>
  <c r="F2" i="3" s="1"/>
  <c r="H2" i="3" s="1"/>
  <c r="E6" i="3"/>
  <c r="F6" i="3" s="1"/>
  <c r="H6" i="3" s="1"/>
  <c r="E27" i="3"/>
  <c r="F27" i="3" s="1"/>
  <c r="H27" i="3" s="1"/>
  <c r="E21" i="3"/>
  <c r="F21" i="3" s="1"/>
  <c r="H21" i="3" s="1"/>
  <c r="E25" i="3"/>
  <c r="F25" i="3" s="1"/>
  <c r="H25" i="3" s="1"/>
  <c r="E24" i="3"/>
  <c r="F24" i="3" s="1"/>
  <c r="H24" i="3" s="1"/>
  <c r="E26" i="3"/>
  <c r="F26" i="3" s="1"/>
  <c r="H26" i="3" s="1"/>
  <c r="E20" i="3"/>
  <c r="F20" i="3" s="1"/>
  <c r="H20" i="3" s="1"/>
  <c r="S2" i="3"/>
  <c r="U2" i="3" s="1"/>
  <c r="E3" i="3"/>
  <c r="F3" i="3" s="1"/>
  <c r="H3" i="3" s="1"/>
  <c r="S5" i="3"/>
  <c r="U5" i="3" s="1"/>
  <c r="S4" i="3"/>
  <c r="U4" i="3" s="1"/>
  <c r="H43" i="3"/>
  <c r="D44" i="3"/>
  <c r="U6" i="3"/>
  <c r="D47" i="3"/>
  <c r="V4" i="3"/>
  <c r="V6" i="3"/>
  <c r="V5" i="3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D50" i="3" l="1"/>
  <c r="D51" i="3"/>
  <c r="D46" i="3"/>
  <c r="D48" i="3"/>
  <c r="D49" i="3"/>
  <c r="I40" i="2"/>
  <c r="I44" i="2"/>
  <c r="I41" i="2"/>
  <c r="I32" i="2"/>
  <c r="I31" i="2"/>
  <c r="I30" i="2"/>
  <c r="I29" i="2"/>
  <c r="I28" i="2"/>
  <c r="I27" i="2"/>
  <c r="I26" i="2"/>
</calcChain>
</file>

<file path=xl/comments1.xml><?xml version="1.0" encoding="utf-8"?>
<comments xmlns="http://schemas.openxmlformats.org/spreadsheetml/2006/main">
  <authors>
    <author>Microsoft Office User</author>
  </authors>
  <commentList>
    <comment ref="N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<sst xmlns="http://schemas.openxmlformats.org/spreadsheetml/2006/main" count="296" uniqueCount="112">
  <si>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</si>
  <si>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</si>
  <si>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</si>
  <si>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</si>
  <si>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</si>
  <si>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</si>
  <si>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</si>
  <si>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</si>
  <si>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Покупка билета</t>
  </si>
  <si>
    <t xml:space="preserve">Удаление бронирования 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</si>
  <si>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</si>
  <si>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</si>
  <si>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</si>
  <si>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</si>
  <si>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</si>
  <si>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</si>
  <si>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</si>
  <si>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</si>
  <si>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</si>
  <si>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</si>
  <si>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</si>
  <si>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</si>
  <si>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</si>
  <si>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</si>
  <si>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</si>
  <si>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</si>
  <si>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</si>
  <si>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</si>
  <si>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</si>
  <si>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</si>
  <si>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</si>
  <si>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</si>
  <si>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</si>
  <si>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</si>
  <si>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</si>
  <si>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</si>
  <si>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</si>
  <si>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</si>
  <si>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</si>
  <si>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</si>
  <si>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</si>
  <si>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</si>
  <si>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</si>
  <si>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</si>
  <si>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</si>
  <si>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</si>
  <si>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</si>
  <si>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</si>
  <si>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</si>
  <si>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</si>
  <si>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</si>
  <si>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</si>
  <si>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</si>
  <si>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</si>
  <si>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</si>
  <si>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Duration + Thin_time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</si>
  <si>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</si>
  <si>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</si>
  <si>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</si>
  <si>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</si>
  <si>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</si>
  <si>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</si>
  <si>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</si>
  <si>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</si>
  <si>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</si>
  <si>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Поиск билета без покупки</t>
  </si>
  <si>
    <t>Покупка билет</t>
  </si>
  <si>
    <t>Логин и логоут</t>
  </si>
  <si>
    <t>Удаление юрони</t>
  </si>
  <si>
    <t>Поиск билета</t>
  </si>
  <si>
    <t>Просмотр текущих бронирований</t>
  </si>
  <si>
    <t>Кол-во в минуту</t>
  </si>
  <si>
    <t>vu</t>
  </si>
  <si>
    <t>мин</t>
  </si>
  <si>
    <t>округл</t>
  </si>
  <si>
    <t>pacing сек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</si>
  <si>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</si>
  <si>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</si>
  <si>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</si>
  <si>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</si>
  <si>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Переход на следуюущий экран после регистарции</t>
  </si>
  <si>
    <t>Покупка билета для нескольких пассажиров</t>
  </si>
  <si>
    <t>Логин</t>
  </si>
  <si>
    <t>Confirmation</t>
  </si>
  <si>
    <t>DeleteItinerary</t>
  </si>
  <si>
    <t>Flights</t>
  </si>
  <si>
    <t>FlightTime</t>
  </si>
  <si>
    <t>HomePage</t>
  </si>
  <si>
    <t>Itinerary</t>
  </si>
  <si>
    <t>Login</t>
  </si>
  <si>
    <t>Logout</t>
  </si>
  <si>
    <t>PaymentDetails</t>
  </si>
  <si>
    <t>PersonalAccount</t>
  </si>
  <si>
    <t>SignUp</t>
  </si>
  <si>
    <t>Сongratulation</t>
  </si>
  <si>
    <t>SLA Status</t>
  </si>
  <si>
    <t>Minimum</t>
  </si>
  <si>
    <t>Average</t>
  </si>
  <si>
    <t>Maximum</t>
  </si>
  <si>
    <t>Std. Deviation</t>
  </si>
  <si>
    <t>90 Percent</t>
  </si>
  <si>
    <t>01_UserRegistration</t>
  </si>
  <si>
    <t>No Data</t>
  </si>
  <si>
    <t>02_OneWayTicketPurchase</t>
  </si>
  <si>
    <t>03_TicketWithoutPurchase</t>
  </si>
  <si>
    <t>04_MultiplePassengerTicketPurchase</t>
  </si>
  <si>
    <t>05_SingleTicketDeletion</t>
  </si>
  <si>
    <t>06_ViewingTickets</t>
  </si>
  <si>
    <t>07_Login</t>
  </si>
  <si>
    <t>Pass для 36 Vusers</t>
  </si>
  <si>
    <t>Расчетная интенсивность запросов / 1 час</t>
  </si>
  <si>
    <t>Процент в профиле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</si>
</sst>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"/>
    <numFmt numFmtId="166" formatCode="0.00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name val="Calibri"/>
      <family val="2"/>
      <scheme val="minor"/>
    </font>
    <font>
      <sz val="11"/>
      <color rgb="FF9C6500"/>
      <name val="Calibri"/>
      <family val="2"/>
      <charset val="204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09">
    <xf numFmtId="0" fontId="0" fillId="0" borderId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6" fillId="0" borderId="0"/>
    <xf numFmtId="0" fontId="17" fillId="0" borderId="0" applyNumberFormat="0" applyFill="0" applyBorder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0" fillId="0" borderId="0" applyNumberFormat="0" applyFill="0" applyBorder="0" applyAlignment="0" applyProtection="0"/>
    <xf numFmtId="0" fontId="21" fillId="6" borderId="7" applyNumberFormat="0" applyAlignment="0" applyProtection="0"/>
    <xf numFmtId="0" fontId="22" fillId="7" borderId="8" applyNumberFormat="0" applyAlignment="0" applyProtection="0"/>
    <xf numFmtId="0" fontId="23" fillId="7" borderId="7" applyNumberFormat="0" applyAlignment="0" applyProtection="0"/>
    <xf numFmtId="0" fontId="24" fillId="0" borderId="9" applyNumberFormat="0" applyFill="0" applyAlignment="0" applyProtection="0"/>
    <xf numFmtId="0" fontId="25" fillId="8" borderId="10" applyNumberForma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3" fillId="0" borderId="12" applyNumberFormat="0" applyFill="0" applyAlignment="0" applyProtection="0"/>
    <xf numFmtId="0" fontId="28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28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28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28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28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28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0" borderId="0"/>
    <xf numFmtId="0" fontId="5" fillId="9" borderId="11" applyNumberFormat="0" applyFont="0" applyAlignment="0" applyProtection="0"/>
    <xf numFmtId="9" fontId="29" fillId="0" borderId="0" applyFont="0" applyFill="0" applyBorder="0" applyAlignment="0" applyProtection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3" fillId="0" borderId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9" borderId="11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0" fontId="34" fillId="4" borderId="0" applyNumberFormat="0" applyBorder="0" applyAlignment="0" applyProtection="0"/>
    <xf numFmtId="0" fontId="2" fillId="9" borderId="11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</cellStyleXfs>
  <cellXfs count="101">
    <xf numFmtId="0" fontId="0" fillId="0" borderId="0" xfId="0"/>
    <xf numFmtId="0" fontId="14" fillId="5" borderId="2" xfId="0" applyFont="1" applyFill="1" applyBorder="1" applyAlignment="1">
      <alignment horizontal="center" vertical="top" wrapText="1"/>
    </xf>
    <xf numFmtId="0" fontId="15" fillId="0" borderId="3" xfId="0" applyFont="1" applyBorder="1" applyAlignment="1">
      <alignment horizontal="left" vertical="top" wrapText="1"/>
    </xf>
    <xf numFmtId="0" fontId="13" fillId="0" borderId="3" xfId="4" applyFont="1" applyBorder="1" applyAlignment="1">
      <alignment horizontal="center" vertical="top"/>
    </xf>
    <xf numFmtId="0" fontId="14" fillId="0" borderId="3" xfId="0" applyFont="1" applyBorder="1" applyAlignment="1">
      <alignment horizontal="center" vertical="top"/>
    </xf>
    <xf numFmtId="10" fontId="14" fillId="0" borderId="3" xfId="0" applyNumberFormat="1" applyFont="1" applyBorder="1" applyAlignment="1">
      <alignment horizontal="center" vertical="top"/>
    </xf>
    <xf numFmtId="10" fontId="16" fillId="0" borderId="3" xfId="0" applyNumberFormat="1" applyFont="1" applyBorder="1" applyAlignment="1">
      <alignment horizontal="center" vertical="top"/>
    </xf>
    <xf numFmtId="10" fontId="16" fillId="0" borderId="3" xfId="0" applyNumberFormat="1" applyFont="1" applyBorder="1" applyAlignment="1">
      <alignment horizontal="left" vertical="top"/>
    </xf>
    <xf numFmtId="0" fontId="14" fillId="5" borderId="3" xfId="0" applyFont="1" applyFill="1" applyBorder="1" applyAlignment="1">
      <alignment horizontal="left" vertical="top"/>
    </xf>
    <xf numFmtId="0" fontId="5" fillId="0" borderId="3" xfId="42" applyBorder="1"/>
    <xf numFmtId="0" fontId="14" fillId="0" borderId="3" xfId="0" applyFont="1" applyBorder="1" applyAlignment="1">
      <alignment horizontal="left" vertical="top"/>
    </xf>
    <xf numFmtId="10" fontId="14" fillId="0" borderId="3" xfId="0" applyNumberFormat="1" applyFont="1" applyBorder="1" applyAlignment="1">
      <alignment horizontal="left" vertical="top"/>
    </xf>
    <xf numFmtId="0" fontId="13" fillId="0" borderId="3" xfId="4" applyFont="1" applyBorder="1" applyAlignment="1">
      <alignment horizontal="left" vertical="top"/>
    </xf>
    <xf numFmtId="0" fontId="15" fillId="0" borderId="3" xfId="0" applyFont="1" applyBorder="1" applyAlignment="1">
      <alignment horizontal="left" vertical="top"/>
    </xf>
    <xf numFmtId="0" fontId="5" fillId="0" borderId="0" xfId="42"/>
    <xf numFmtId="0" fontId="0" fillId="0" borderId="0" xfId="0" applyNumberFormat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30" fillId="0" borderId="0" xfId="0" applyFont="1"/>
    <xf numFmtId="1" fontId="30" fillId="0" borderId="0" xfId="0" applyNumberFormat="1" applyFont="1"/>
    <xf numFmtId="9" fontId="0" fillId="0" borderId="3" xfId="44" applyFont="1" applyBorder="1"/>
    <xf numFmtId="9" fontId="0" fillId="38" borderId="3" xfId="44" applyFont="1" applyFill="1" applyBorder="1"/>
    <xf numFmtId="1" fontId="7" fillId="0" borderId="15" xfId="0" applyNumberFormat="1" applyFont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1" fontId="0" fillId="0" borderId="16" xfId="0" applyNumberFormat="1" applyBorder="1"/>
    <xf numFmtId="9" fontId="0" fillId="0" borderId="17" xfId="44" applyFont="1" applyBorder="1"/>
    <xf numFmtId="0" fontId="9" fillId="0" borderId="3" xfId="0" applyFont="1" applyBorder="1" applyAlignment="1">
      <alignment vertical="center" wrapText="1"/>
    </xf>
    <xf numFmtId="9" fontId="0" fillId="0" borderId="0" xfId="44" applyFont="1"/>
    <xf numFmtId="165" fontId="0" fillId="0" borderId="0" xfId="0" applyNumberFormat="1"/>
    <xf numFmtId="0" fontId="0" fillId="0" borderId="0" xfId="0" applyAlignment="1">
      <alignment horizontal="center"/>
    </xf>
    <xf numFmtId="165" fontId="0" fillId="41" borderId="3" xfId="0" applyNumberFormat="1" applyFill="1" applyBorder="1"/>
    <xf numFmtId="165" fontId="0" fillId="41" borderId="3" xfId="0" quotePrefix="1" applyNumberFormat="1" applyFill="1" applyBorder="1"/>
    <xf numFmtId="0" fontId="0" fillId="0" borderId="0" xfId="0" applyFont="1"/>
    <xf numFmtId="9" fontId="0" fillId="0" borderId="0" xfId="0" applyNumberFormat="1" applyFont="1"/>
    <xf numFmtId="0" fontId="9" fillId="0" borderId="15" xfId="0" applyFont="1" applyBorder="1" applyAlignment="1">
      <alignment vertical="center" wrapText="1"/>
    </xf>
    <xf numFmtId="0" fontId="9" fillId="39" borderId="19" xfId="0" applyFont="1" applyFill="1" applyBorder="1" applyAlignment="1">
      <alignment vertical="center" wrapText="1"/>
    </xf>
    <xf numFmtId="0" fontId="9" fillId="39" borderId="20" xfId="0" applyFont="1" applyFill="1" applyBorder="1" applyAlignment="1">
      <alignment vertical="center" wrapText="1"/>
    </xf>
    <xf numFmtId="0" fontId="7" fillId="39" borderId="20" xfId="0" applyFont="1" applyFill="1" applyBorder="1" applyAlignment="1">
      <alignment horizontal="center" vertical="center" wrapText="1"/>
    </xf>
    <xf numFmtId="0" fontId="7" fillId="39" borderId="19" xfId="0" applyFont="1" applyFill="1" applyBorder="1" applyAlignment="1">
      <alignment horizontal="left" vertical="center" wrapText="1"/>
    </xf>
    <xf numFmtId="0" fontId="8" fillId="39" borderId="21" xfId="0" applyFont="1" applyFill="1" applyBorder="1" applyAlignment="1">
      <alignment horizontal="left" vertical="center" wrapText="1"/>
    </xf>
    <xf numFmtId="0" fontId="7" fillId="39" borderId="22" xfId="0" applyFont="1" applyFill="1" applyBorder="1" applyAlignment="1">
      <alignment horizontal="center" vertical="center" wrapText="1"/>
    </xf>
    <xf numFmtId="0" fontId="0" fillId="40" borderId="23" xfId="0" applyFill="1" applyBorder="1"/>
    <xf numFmtId="0" fontId="33" fillId="40" borderId="28" xfId="0" applyFont="1" applyFill="1" applyBorder="1"/>
    <xf numFmtId="0" fontId="33" fillId="40" borderId="23" xfId="0" applyFont="1" applyFill="1" applyBorder="1"/>
    <xf numFmtId="0" fontId="0" fillId="40" borderId="26" xfId="0" applyFill="1" applyBorder="1"/>
    <xf numFmtId="0" fontId="0" fillId="40" borderId="28" xfId="0" applyFill="1" applyBorder="1"/>
    <xf numFmtId="0" fontId="0" fillId="40" borderId="24" xfId="0" applyFill="1" applyBorder="1"/>
    <xf numFmtId="0" fontId="0" fillId="40" borderId="25" xfId="0" applyFill="1" applyBorder="1"/>
    <xf numFmtId="0" fontId="0" fillId="40" borderId="27" xfId="0" applyFill="1" applyBorder="1"/>
    <xf numFmtId="0" fontId="33" fillId="40" borderId="24" xfId="0" applyFont="1" applyFill="1" applyBorder="1"/>
    <xf numFmtId="9" fontId="0" fillId="0" borderId="17" xfId="44" applyFont="1" applyBorder="1"/>
    <xf numFmtId="0" fontId="0" fillId="0" borderId="0" xfId="0"/>
    <xf numFmtId="0" fontId="0" fillId="0" borderId="13" xfId="0" applyBorder="1"/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0" borderId="14" xfId="0" applyBorder="1"/>
    <xf numFmtId="0" fontId="0" fillId="0" borderId="1" xfId="0" applyBorder="1"/>
    <xf numFmtId="9" fontId="0" fillId="0" borderId="3" xfId="44" applyFont="1" applyBorder="1"/>
    <xf numFmtId="1" fontId="0" fillId="0" borderId="16" xfId="0" applyNumberFormat="1" applyBorder="1"/>
    <xf numFmtId="166" fontId="0" fillId="0" borderId="3" xfId="0" applyNumberFormat="1" applyFill="1" applyBorder="1"/>
    <xf numFmtId="166" fontId="0" fillId="37" borderId="3" xfId="0" applyNumberFormat="1" applyFill="1" applyBorder="1"/>
    <xf numFmtId="0" fontId="0" fillId="0" borderId="0" xfId="0" applyBorder="1"/>
    <xf numFmtId="0" fontId="0" fillId="0" borderId="3" xfId="0" applyBorder="1"/>
    <xf numFmtId="2" fontId="0" fillId="0" borderId="0" xfId="0" applyNumberFormat="1" applyBorder="1"/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5" borderId="3" xfId="0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30" fillId="0" borderId="0" xfId="0" applyFont="1"/>
    <xf numFmtId="1" fontId="30" fillId="0" borderId="0" xfId="0" applyNumberFormat="1" applyFont="1"/>
    <xf numFmtId="9" fontId="0" fillId="0" borderId="0" xfId="0" applyNumberFormat="1" applyFont="1"/>
    <xf numFmtId="1" fontId="0" fillId="35" borderId="3" xfId="0" applyNumberFormat="1" applyFill="1" applyBorder="1"/>
    <xf numFmtId="0" fontId="33" fillId="40" borderId="30" xfId="0" applyFont="1" applyFill="1" applyBorder="1"/>
    <xf numFmtId="0" fontId="0" fillId="35" borderId="18" xfId="0" applyFill="1" applyBorder="1"/>
    <xf numFmtId="0" fontId="0" fillId="40" borderId="31" xfId="0" applyFill="1" applyBorder="1"/>
    <xf numFmtId="0" fontId="33" fillId="40" borderId="31" xfId="0" applyFont="1" applyFill="1" applyBorder="1"/>
    <xf numFmtId="0" fontId="0" fillId="0" borderId="3" xfId="0" applyFill="1" applyBorder="1"/>
    <xf numFmtId="0" fontId="33" fillId="40" borderId="25" xfId="0" applyFont="1" applyFill="1" applyBorder="1"/>
    <xf numFmtId="0" fontId="33" fillId="40" borderId="26" xfId="0" applyFont="1" applyFill="1" applyBorder="1"/>
    <xf numFmtId="0" fontId="33" fillId="40" borderId="27" xfId="0" applyFont="1" applyFill="1" applyBorder="1"/>
    <xf numFmtId="0" fontId="0" fillId="5" borderId="3" xfId="0" applyFill="1" applyBorder="1"/>
    <xf numFmtId="1" fontId="0" fillId="36" borderId="3" xfId="0" applyNumberFormat="1" applyFill="1" applyBorder="1"/>
    <xf numFmtId="0" fontId="2" fillId="0" borderId="0" xfId="87"/>
    <xf numFmtId="0" fontId="2" fillId="0" borderId="0" xfId="87"/>
    <xf numFmtId="9" fontId="2" fillId="0" borderId="0" xfId="44" applyNumberFormat="1" applyFont="1"/>
    <xf numFmtId="0" fontId="0" fillId="41" borderId="25" xfId="0" applyFill="1" applyBorder="1" applyAlignment="1">
      <alignment horizontal="center"/>
    </xf>
    <xf numFmtId="0" fontId="0" fillId="41" borderId="29" xfId="0" applyFill="1" applyBorder="1" applyAlignment="1">
      <alignment horizontal="center"/>
    </xf>
    <xf numFmtId="0" fontId="0" fillId="34" borderId="0" xfId="0" applyFill="1" applyAlignment="1">
      <alignment horizontal="center"/>
    </xf>
    <xf numFmtId="0" fontId="9" fillId="0" borderId="3" xfId="0" applyFont="1" applyFill="1" applyBorder="1" applyAlignment="1">
      <alignment vertical="center" wrapText="1"/>
    </xf>
    <xf numFmtId="9" fontId="0" fillId="40" borderId="3" xfId="44" applyFont="1" applyFill="1" applyBorder="1"/>
    <xf numFmtId="9" fontId="0" fillId="42" borderId="3" xfId="44" applyFont="1" applyFill="1" applyBorder="1"/>
    <xf numFmtId="0" fontId="1" fillId="0" borderId="0" xfId="87" applyFont="1"/>
  </cellXfs>
  <cellStyles count="109">
    <cellStyle name="20% — акцент1" xfId="19" builtinId="30" customBuiltin="1"/>
    <cellStyle name="20% — акцент1 2" xfId="46"/>
    <cellStyle name="20% — акцент1 3" xfId="67"/>
    <cellStyle name="20% — акцент1 4" xfId="91"/>
    <cellStyle name="20% — акцент2" xfId="23" builtinId="34" customBuiltin="1"/>
    <cellStyle name="20% — акцент2 2" xfId="49"/>
    <cellStyle name="20% — акцент2 3" xfId="70"/>
    <cellStyle name="20% — акцент2 4" xfId="94"/>
    <cellStyle name="20% — акцент3" xfId="27" builtinId="38" customBuiltin="1"/>
    <cellStyle name="20% — акцент3 2" xfId="52"/>
    <cellStyle name="20% — акцент3 3" xfId="73"/>
    <cellStyle name="20% — акцент3 4" xfId="97"/>
    <cellStyle name="20% — акцент4" xfId="31" builtinId="42" customBuiltin="1"/>
    <cellStyle name="20% — акцент4 2" xfId="55"/>
    <cellStyle name="20% — акцент4 3" xfId="76"/>
    <cellStyle name="20% — акцент4 4" xfId="100"/>
    <cellStyle name="20% — акцент5" xfId="35" builtinId="46" customBuiltin="1"/>
    <cellStyle name="20% — акцент5 2" xfId="58"/>
    <cellStyle name="20% — акцент5 3" xfId="79"/>
    <cellStyle name="20% — акцент5 4" xfId="103"/>
    <cellStyle name="20% — акцент6" xfId="39" builtinId="50" customBuiltin="1"/>
    <cellStyle name="20% — акцент6 2" xfId="61"/>
    <cellStyle name="20% — акцент6 3" xfId="82"/>
    <cellStyle name="20% — акцент6 4" xfId="106"/>
    <cellStyle name="40% — акцент1" xfId="20" builtinId="31" customBuiltin="1"/>
    <cellStyle name="40% — акцент1 2" xfId="47"/>
    <cellStyle name="40% — акцент1 3" xfId="68"/>
    <cellStyle name="40% — акцент1 4" xfId="92"/>
    <cellStyle name="40% — акцент2" xfId="24" builtinId="35" customBuiltin="1"/>
    <cellStyle name="40% — акцент2 2" xfId="50"/>
    <cellStyle name="40% — акцент2 3" xfId="71"/>
    <cellStyle name="40% — акцент2 4" xfId="95"/>
    <cellStyle name="40% — акцент3" xfId="28" builtinId="39" customBuiltin="1"/>
    <cellStyle name="40% — акцент3 2" xfId="53"/>
    <cellStyle name="40% — акцент3 3" xfId="74"/>
    <cellStyle name="40% — акцент3 4" xfId="98"/>
    <cellStyle name="40% — акцент4" xfId="32" builtinId="43" customBuiltin="1"/>
    <cellStyle name="40% — акцент4 2" xfId="56"/>
    <cellStyle name="40% — акцент4 3" xfId="77"/>
    <cellStyle name="40% — акцент4 4" xfId="101"/>
    <cellStyle name="40% — акцент5" xfId="36" builtinId="47" customBuiltin="1"/>
    <cellStyle name="40% — акцент5 2" xfId="59"/>
    <cellStyle name="40% — акцент5 3" xfId="80"/>
    <cellStyle name="40% — акцент5 4" xfId="104"/>
    <cellStyle name="40% — акцент6" xfId="40" builtinId="51" customBuiltin="1"/>
    <cellStyle name="40% — акцент6 2" xfId="62"/>
    <cellStyle name="40% — акцент6 3" xfId="83"/>
    <cellStyle name="40% — акцент6 4" xfId="107"/>
    <cellStyle name="60% — акцент1" xfId="21" builtinId="32" customBuiltin="1"/>
    <cellStyle name="60% — акцент1 2" xfId="48"/>
    <cellStyle name="60% — акцент1 3" xfId="69"/>
    <cellStyle name="60% — акцент1 4" xfId="93"/>
    <cellStyle name="60% — акцент2" xfId="25" builtinId="36" customBuiltin="1"/>
    <cellStyle name="60% — акцент2 2" xfId="51"/>
    <cellStyle name="60% — акцент2 3" xfId="72"/>
    <cellStyle name="60% — акцент2 4" xfId="96"/>
    <cellStyle name="60% — акцент3" xfId="29" builtinId="40" customBuiltin="1"/>
    <cellStyle name="60% — акцент3 2" xfId="54"/>
    <cellStyle name="60% — акцент3 3" xfId="75"/>
    <cellStyle name="60% — акцент3 4" xfId="99"/>
    <cellStyle name="60% — акцент4" xfId="33" builtinId="44" customBuiltin="1"/>
    <cellStyle name="60% — акцент4 2" xfId="57"/>
    <cellStyle name="60% — акцент4 3" xfId="78"/>
    <cellStyle name="60% — акцент4 4" xfId="102"/>
    <cellStyle name="60% — акцент5" xfId="37" builtinId="48" customBuiltin="1"/>
    <cellStyle name="60% — акцент5 2" xfId="60"/>
    <cellStyle name="60% — акцент5 3" xfId="81"/>
    <cellStyle name="60% — акцент5 4" xfId="105"/>
    <cellStyle name="60% — акцент6" xfId="41" builtinId="52" customBuiltin="1"/>
    <cellStyle name="60% — акцент6 2" xfId="63"/>
    <cellStyle name="60% — акцент6 3" xfId="84"/>
    <cellStyle name="60% — акцент6 4" xfId="108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89"/>
    <cellStyle name="Обычный" xfId="0" builtinId="0"/>
    <cellStyle name="Обычный 2" xfId="4"/>
    <cellStyle name="Обычный 2 2" xfId="45"/>
    <cellStyle name="Обычный 2 3" xfId="66"/>
    <cellStyle name="Обычный 3" xfId="42"/>
    <cellStyle name="Обычный 3 2" xfId="64"/>
    <cellStyle name="Обычный 3 3" xfId="85"/>
    <cellStyle name="Обычный 4" xfId="87"/>
    <cellStyle name="Плохой" xfId="2" builtinId="27" customBuiltin="1"/>
    <cellStyle name="Пояснение" xfId="16" builtinId="53" customBuiltin="1"/>
    <cellStyle name="Примечание 2" xfId="43"/>
    <cellStyle name="Примечание 2 2" xfId="65"/>
    <cellStyle name="Примечание 2 3" xfId="86"/>
    <cellStyle name="Примечание 3" xfId="90"/>
    <cellStyle name="Процентный" xfId="44" builtinId="5"/>
    <cellStyle name="Процентный 2" xfId="88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Сергей Агеев" refreshedDate="44658.57231909722" createdVersion="6" refreshedVersion="6" minRefreshableVersion="3" recordCount="37">
  <cacheSource type="worksheet">
    <worksheetSource ref="A1:H38" sheet="Автоматизированный расчет"/>
  </cacheSource>
  <cacheFields count="8">
    <cacheField name="Script name" numFmtId="0">
      <sharedItems/>
    </cacheField>
    <cacheField name="transaction rq" numFmtId="0">
      <sharedItems count="14">
        <s v="Главная Welcome страница"/>
        <s v="Перход на страницу регистрации"/>
        <s v="Заполнение полей регистарции"/>
        <s v="Переход на следуюущий экран после регистарции"/>
        <s v="Выход из системы"/>
        <s v="Вход в систему"/>
        <s v="Просмотр квитанций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Отмена бронирования "/>
        <s v="Переход на следуюущий эран после регистарции" u="1"/>
        <s v="Главная Welcome страницаа" u="1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2"/>
    </cacheField>
    <cacheField name="pacing" numFmtId="1">
      <sharedItems containsSemiMixedTypes="0" containsString="0" containsNumber="1" minValue="49.813940000000009" maxValue="150"/>
    </cacheField>
    <cacheField name="одним пользователем в минуту" numFmtId="2">
      <sharedItems containsSemiMixedTypes="0" containsString="0" containsNumber="1" minValue="0.4" maxValue="1.2044821188607042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8" maxValue="37.5802102612764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">
  <r>
    <s v="Регистрация новых пользователей"/>
    <x v="0"/>
    <n v="1"/>
    <n v="2"/>
    <n v="74.196849999999998"/>
    <n v="0.80865966681873969"/>
    <n v="20"/>
    <n v="32.346386672749588"/>
  </r>
  <r>
    <s v="Регистрация новых пользователей"/>
    <x v="1"/>
    <n v="1"/>
    <n v="2"/>
    <n v="74.196849999999998"/>
    <n v="0.80865966681873969"/>
    <n v="20"/>
    <n v="32.346386672749588"/>
  </r>
  <r>
    <s v="Регистрация новых пользователей"/>
    <x v="2"/>
    <n v="1"/>
    <n v="2"/>
    <n v="74.196849999999998"/>
    <n v="0.80865966681873969"/>
    <n v="20"/>
    <n v="32.346386672749588"/>
  </r>
  <r>
    <s v="Регистрация новых пользователей"/>
    <x v="3"/>
    <n v="1"/>
    <n v="2"/>
    <n v="74.196849999999998"/>
    <n v="0.80865966681873969"/>
    <n v="20"/>
    <n v="32.346386672749588"/>
  </r>
  <r>
    <s v="Регистрация новых пользователей"/>
    <x v="4"/>
    <n v="1"/>
    <n v="2"/>
    <n v="74.196849999999998"/>
    <n v="0.80865966681873969"/>
    <n v="20"/>
    <n v="32.346386672749588"/>
  </r>
  <r>
    <s v="Покупка билета"/>
    <x v="0"/>
    <n v="1"/>
    <n v="1"/>
    <n v="59.032600000000002"/>
    <n v="1.0163875553507722"/>
    <n v="20"/>
    <n v="20.327751107015445"/>
  </r>
  <r>
    <s v="Покупка билета"/>
    <x v="5"/>
    <n v="1"/>
    <n v="1"/>
    <n v="59.032600000000002"/>
    <n v="1.0163875553507722"/>
    <n v="20"/>
    <n v="20.327751107015445"/>
  </r>
  <r>
    <s v="Покупка билета"/>
    <x v="6"/>
    <n v="1"/>
    <n v="1"/>
    <n v="59.032600000000002"/>
    <n v="1.0163875553507722"/>
    <n v="20"/>
    <n v="20.327751107015445"/>
  </r>
  <r>
    <s v="Покупка билета"/>
    <x v="7"/>
    <n v="1"/>
    <n v="1"/>
    <n v="59.032600000000002"/>
    <n v="1.0163875553507722"/>
    <n v="20"/>
    <n v="20.327751107015445"/>
  </r>
  <r>
    <s v="Покупка билета"/>
    <x v="8"/>
    <n v="1"/>
    <n v="1"/>
    <n v="59.032600000000002"/>
    <n v="1.0163875553507722"/>
    <n v="20"/>
    <n v="20.327751107015445"/>
  </r>
  <r>
    <s v="Покупка билета"/>
    <x v="9"/>
    <n v="1"/>
    <n v="1"/>
    <n v="59.032600000000002"/>
    <n v="1.0163875553507722"/>
    <n v="20"/>
    <n v="20.327751107015445"/>
  </r>
  <r>
    <s v="Покупка билета"/>
    <x v="10"/>
    <n v="1"/>
    <n v="1"/>
    <n v="59.032600000000002"/>
    <n v="1.0163875553507722"/>
    <n v="20"/>
    <n v="20.327751107015445"/>
  </r>
  <r>
    <s v="Покупка билета"/>
    <x v="4"/>
    <n v="1"/>
    <n v="1"/>
    <n v="59.032600000000002"/>
    <n v="1.0163875553507722"/>
    <n v="20"/>
    <n v="20.327751107015445"/>
  </r>
  <r>
    <s v="Поиск билета без покупки"/>
    <x v="0"/>
    <n v="1"/>
    <n v="2"/>
    <n v="67.97466"/>
    <n v="0.88268186997919518"/>
    <n v="20"/>
    <n v="35.307274799167807"/>
  </r>
  <r>
    <s v="Поиск билета без покупки"/>
    <x v="5"/>
    <n v="1"/>
    <n v="2"/>
    <n v="67.97466"/>
    <n v="0.88268186997919518"/>
    <n v="20"/>
    <n v="35.307274799167807"/>
  </r>
  <r>
    <s v="Поиск билета без покупки"/>
    <x v="7"/>
    <n v="1"/>
    <n v="2"/>
    <n v="67.97466"/>
    <n v="0.88268186997919518"/>
    <n v="20"/>
    <n v="35.307274799167807"/>
  </r>
  <r>
    <s v="Поиск билета без покупки"/>
    <x v="8"/>
    <n v="1"/>
    <n v="2"/>
    <n v="67.97466"/>
    <n v="0.88268186997919518"/>
    <n v="20"/>
    <n v="35.307274799167807"/>
  </r>
  <r>
    <s v="Поиск билета без покупки"/>
    <x v="9"/>
    <n v="1"/>
    <n v="2"/>
    <n v="67.97466"/>
    <n v="0.88268186997919518"/>
    <n v="20"/>
    <n v="35.307274799167807"/>
  </r>
  <r>
    <s v="Покупка билета для нескольких пассажиров"/>
    <x v="0"/>
    <n v="1"/>
    <n v="2"/>
    <n v="63.863399999999999"/>
    <n v="0.9395052565319103"/>
    <n v="20"/>
    <n v="37.580210261276413"/>
  </r>
  <r>
    <s v="Покупка билета для нескольких пассажиров"/>
    <x v="5"/>
    <n v="1"/>
    <n v="2"/>
    <n v="63.863399999999999"/>
    <n v="0.9395052565319103"/>
    <n v="20"/>
    <n v="37.580210261276413"/>
  </r>
  <r>
    <s v="Покупка билета для нескольких пассажиров"/>
    <x v="6"/>
    <n v="1"/>
    <n v="2"/>
    <n v="63.863399999999999"/>
    <n v="0.9395052565319103"/>
    <n v="20"/>
    <n v="37.580210261276413"/>
  </r>
  <r>
    <s v="Покупка билета для нескольких пассажиров"/>
    <x v="7"/>
    <n v="1"/>
    <n v="2"/>
    <n v="63.863399999999999"/>
    <n v="0.9395052565319103"/>
    <n v="20"/>
    <n v="37.580210261276413"/>
  </r>
  <r>
    <s v="Покупка билета для нескольких пассажиров"/>
    <x v="8"/>
    <n v="1"/>
    <n v="2"/>
    <n v="63.863399999999999"/>
    <n v="0.9395052565319103"/>
    <n v="20"/>
    <n v="37.580210261276413"/>
  </r>
  <r>
    <s v="Покупка билета для нескольких пассажиров"/>
    <x v="9"/>
    <n v="1"/>
    <n v="2"/>
    <n v="63.863399999999999"/>
    <n v="0.9395052565319103"/>
    <n v="20"/>
    <n v="37.580210261276413"/>
  </r>
  <r>
    <s v="Покупка билета для нескольких пассажиров"/>
    <x v="10"/>
    <n v="1"/>
    <n v="2"/>
    <n v="63.863399999999999"/>
    <n v="0.9395052565319103"/>
    <n v="20"/>
    <n v="37.580210261276413"/>
  </r>
  <r>
    <s v="Покупка билета для нескольких пассажиров"/>
    <x v="4"/>
    <n v="1"/>
    <n v="2"/>
    <n v="63.863399999999999"/>
    <n v="0.9395052565319103"/>
    <n v="20"/>
    <n v="37.580210261276413"/>
  </r>
  <r>
    <s v="Удаление бронирования "/>
    <x v="0"/>
    <n v="1"/>
    <n v="1"/>
    <n v="49.813940000000009"/>
    <n v="1.2044821188607042"/>
    <n v="20"/>
    <n v="24.089642377214084"/>
  </r>
  <r>
    <s v="Удаление бронирования "/>
    <x v="5"/>
    <n v="1"/>
    <n v="1"/>
    <n v="49.813940000000009"/>
    <n v="1.2044821188607042"/>
    <n v="20"/>
    <n v="24.089642377214084"/>
  </r>
  <r>
    <s v="Удаление бронирования "/>
    <x v="6"/>
    <n v="1"/>
    <n v="1"/>
    <n v="49.813940000000009"/>
    <n v="1.2044821188607042"/>
    <n v="20"/>
    <n v="24.089642377214084"/>
  </r>
  <r>
    <s v="Удаление бронирования "/>
    <x v="11"/>
    <n v="1"/>
    <n v="1"/>
    <n v="49.813940000000009"/>
    <n v="1.2044821188607042"/>
    <n v="20"/>
    <n v="24.089642377214084"/>
  </r>
  <r>
    <s v="Удаление бронирования "/>
    <x v="4"/>
    <n v="1"/>
    <n v="1"/>
    <n v="49.813940000000009"/>
    <n v="1.2044821188607042"/>
    <n v="20"/>
    <n v="24.089642377214084"/>
  </r>
  <r>
    <s v="Просмотр квитанций"/>
    <x v="0"/>
    <n v="1"/>
    <n v="1"/>
    <n v="150"/>
    <n v="0.4"/>
    <n v="20"/>
    <n v="8"/>
  </r>
  <r>
    <s v="Просмотр квитанций"/>
    <x v="5"/>
    <n v="1"/>
    <n v="1"/>
    <n v="150"/>
    <n v="0.4"/>
    <n v="20"/>
    <n v="8"/>
  </r>
  <r>
    <s v="Просмотр квитанций"/>
    <x v="7"/>
    <n v="1"/>
    <n v="1"/>
    <n v="150"/>
    <n v="0.4"/>
    <n v="20"/>
    <n v="8"/>
  </r>
  <r>
    <s v="Просмотр квитанций"/>
    <x v="6"/>
    <n v="1"/>
    <n v="1"/>
    <n v="150"/>
    <n v="0.4"/>
    <n v="20"/>
    <n v="8"/>
  </r>
  <r>
    <s v="Логин"/>
    <x v="0"/>
    <n v="1"/>
    <n v="1"/>
    <n v="77"/>
    <n v="0.77922077922077926"/>
    <n v="20"/>
    <n v="15.584415584415584"/>
  </r>
  <r>
    <s v="Логин"/>
    <x v="5"/>
    <n v="1"/>
    <n v="1"/>
    <n v="77"/>
    <n v="0.77922077922077926"/>
    <n v="20"/>
    <n v="15.5844155844155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>
      <items count="15">
        <item x="5"/>
        <item x="9"/>
        <item x="4"/>
        <item x="8"/>
        <item x="10"/>
        <item x="11"/>
        <item x="6"/>
        <item x="0"/>
        <item x="1"/>
        <item x="2"/>
        <item m="1" x="12"/>
        <item m="1" x="13"/>
        <item x="3"/>
        <item x="7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2"/>
    </i>
    <i>
      <x v="13"/>
    </i>
    <i t="grand">
      <x/>
    </i>
  </rowItems>
  <colItems count="1">
    <i/>
  </colItems>
  <dataFields count="1">
    <dataField name="Сумма по полю Итого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63"/>
  <sheetViews>
    <sheetView tabSelected="1" topLeftCell="A25" zoomScale="115" zoomScaleNormal="115" workbookViewId="0">
      <selection activeCell="E49" sqref="E49"/>
    </sheetView>
  </sheetViews>
  <sheetFormatPr defaultColWidth="11.42578125" defaultRowHeight="15" x14ac:dyDescent="0.25"/>
  <cols>
    <col min="1" max="1" width="44.5703125" bestFit="1" customWidth="1"/>
    <col min="2" max="2" width="31.42578125" bestFit="1" customWidth="1"/>
    <col min="3" max="3" width="18.140625" customWidth="1"/>
    <col min="4" max="4" width="17.85546875" customWidth="1"/>
    <col min="7" max="7" width="18.7109375" bestFit="1" customWidth="1"/>
    <col min="8" max="8" width="17" customWidth="1"/>
    <col min="9" max="9" width="48.42578125" bestFit="1" customWidth="1"/>
    <col min="10" max="10" width="21.5703125" bestFit="1" customWidth="1"/>
    <col min="11" max="11" width="18.7109375" customWidth="1"/>
    <col min="12" max="12" width="27.42578125" bestFit="1" customWidth="1"/>
    <col min="13" max="13" width="35.85546875" bestFit="1" customWidth="1"/>
    <col min="19" max="19" width="44" bestFit="1" customWidth="1"/>
  </cols>
  <sheetData>
    <row r="1" spans="1:25" ht="15.75" thickBot="1" x14ac:dyDescent="0.3">
      <c r="A1" t="s">
        <v>36</v>
      </c>
      <c r="B1" t="s">
        <v>37</v>
      </c>
      <c r="C1" t="s">
        <v>38</v>
      </c>
      <c r="D1" t="s">
        <v>42</v>
      </c>
      <c r="E1" t="s">
        <v>52</v>
      </c>
      <c r="F1" t="s">
        <v>53</v>
      </c>
      <c r="G1" t="s">
        <v>54</v>
      </c>
      <c r="H1" t="s">
        <v>7</v>
      </c>
      <c r="I1" s="68" t="s">
        <v>39</v>
      </c>
      <c r="J1" t="s">
        <v>51</v>
      </c>
      <c r="M1" s="64" t="s">
        <v>41</v>
      </c>
      <c r="N1" s="64" t="s">
        <v>43</v>
      </c>
      <c r="O1" s="64" t="s">
        <v>44</v>
      </c>
      <c r="P1" s="64" t="s">
        <v>55</v>
      </c>
      <c r="Q1" s="64" t="s">
        <v>45</v>
      </c>
      <c r="R1" s="64" t="s">
        <v>42</v>
      </c>
      <c r="S1" t="s">
        <v>46</v>
      </c>
      <c r="T1" s="19" t="s">
        <v>47</v>
      </c>
      <c r="U1" s="19" t="s">
        <v>48</v>
      </c>
      <c r="V1" s="33" t="s">
        <v>49</v>
      </c>
      <c r="X1" t="s">
        <v>50</v>
      </c>
    </row>
    <row r="2" spans="1:25" x14ac:dyDescent="0.25">
      <c r="A2" s="48" t="s">
        <v>61</v>
      </c>
      <c r="B2" s="43" t="s">
        <v>62</v>
      </c>
      <c r="C2">
        <v>1</v>
      </c>
      <c r="D2" s="53">
        <f t="shared" ref="D2:D3" si="0">VLOOKUP(A2,$M$1:$W$8,6,FALSE)</f>
        <v>2</v>
      </c>
      <c r="E2" s="55">
        <f>VLOOKUP(A2,$M$1:$W$8,5,FALSE)</f>
        <v>74.196849999999998</v>
      </c>
      <c r="F2" s="18">
        <f>60/E2*C2</f>
        <v>0.80865966681873969</v>
      </c>
      <c r="G2">
        <v>20</v>
      </c>
      <c r="H2" s="17">
        <f>D2*F2*G2</f>
        <v>32.346386672749588</v>
      </c>
      <c r="I2" s="69" t="s">
        <v>0</v>
      </c>
      <c r="J2" s="67">
        <v>140.88929412908934</v>
      </c>
      <c r="K2" s="15"/>
      <c r="M2" s="89" t="s">
        <v>61</v>
      </c>
      <c r="N2" s="62">
        <v>1.1805000000000001</v>
      </c>
      <c r="O2" s="62">
        <v>20.018599999999999</v>
      </c>
      <c r="P2" s="61">
        <f>N2+O2</f>
        <v>21.199099999999998</v>
      </c>
      <c r="Q2" s="80">
        <f>P2*2*1.75</f>
        <v>74.196849999999998</v>
      </c>
      <c r="R2" s="70">
        <v>2</v>
      </c>
      <c r="S2" s="16">
        <f>60/(Q2)</f>
        <v>0.80865966681873969</v>
      </c>
      <c r="T2" s="19">
        <v>20</v>
      </c>
      <c r="U2" s="20">
        <f>ROUND(R2*S2*T2,0)</f>
        <v>32</v>
      </c>
      <c r="V2" s="34">
        <f>R2/W$2</f>
        <v>0.2</v>
      </c>
      <c r="W2">
        <f>SUM(R2:R8)</f>
        <v>10</v>
      </c>
      <c r="X2" s="92">
        <v>40</v>
      </c>
      <c r="Y2" s="28">
        <f>X2/U2-1</f>
        <v>0.25</v>
      </c>
    </row>
    <row r="3" spans="1:25" x14ac:dyDescent="0.25">
      <c r="A3" s="45" t="s">
        <v>61</v>
      </c>
      <c r="B3" s="50" t="s">
        <v>64</v>
      </c>
      <c r="C3">
        <v>1</v>
      </c>
      <c r="D3" s="57">
        <f t="shared" si="0"/>
        <v>2</v>
      </c>
      <c r="E3" s="55">
        <f>VLOOKUP(A3,$M$1:$W$8,5,FALSE)</f>
        <v>74.196849999999998</v>
      </c>
      <c r="F3" s="18">
        <f>60/E3*C3</f>
        <v>0.80865966681873969</v>
      </c>
      <c r="G3">
        <v>20</v>
      </c>
      <c r="H3" s="17">
        <f>D3*F3*G3</f>
        <v>32.346386672749588</v>
      </c>
      <c r="I3" s="69" t="s">
        <v>11</v>
      </c>
      <c r="J3" s="67">
        <v>93.215236167459665</v>
      </c>
      <c r="K3" s="15"/>
      <c r="M3" s="89" t="s">
        <v>8</v>
      </c>
      <c r="N3" s="62">
        <v>1.7957000000000001</v>
      </c>
      <c r="O3" s="62">
        <v>25.037299999999998</v>
      </c>
      <c r="P3" s="61">
        <f t="shared" ref="P3:P6" si="1">N3+O3</f>
        <v>26.832999999999998</v>
      </c>
      <c r="Q3" s="80">
        <f>P3*2*1.1</f>
        <v>59.032600000000002</v>
      </c>
      <c r="R3" s="70">
        <v>1</v>
      </c>
      <c r="S3" s="16">
        <f t="shared" ref="S3:S5" si="2">60/(Q3)</f>
        <v>1.0163875553507722</v>
      </c>
      <c r="T3" s="19">
        <v>20</v>
      </c>
      <c r="U3" s="20">
        <f t="shared" ref="U3:U5" si="3">ROUND(R3*S3*T3,0)</f>
        <v>20</v>
      </c>
      <c r="V3" s="34">
        <f>R3/W$2</f>
        <v>0.1</v>
      </c>
      <c r="X3" s="92">
        <v>46</v>
      </c>
      <c r="Y3" s="28">
        <f t="shared" ref="Y3:Y8" si="4">X3/U3-1</f>
        <v>1.2999999999999998</v>
      </c>
    </row>
    <row r="4" spans="1:25" x14ac:dyDescent="0.25">
      <c r="A4" s="45" t="s">
        <v>61</v>
      </c>
      <c r="B4" s="50" t="s">
        <v>63</v>
      </c>
      <c r="C4" s="54">
        <v>1</v>
      </c>
      <c r="D4" s="57">
        <f t="shared" ref="D4:D19" si="5">VLOOKUP(A4,$M$1:$W$8,6,FALSE)</f>
        <v>2</v>
      </c>
      <c r="E4" s="55">
        <f t="shared" ref="E4:E19" si="6">VLOOKUP(A4,$M$1:$W$8,5,FALSE)</f>
        <v>74.196849999999998</v>
      </c>
      <c r="F4" s="56">
        <f t="shared" ref="F4:F19" si="7">60/E4*C4</f>
        <v>0.80865966681873969</v>
      </c>
      <c r="G4" s="54">
        <v>20</v>
      </c>
      <c r="H4" s="55">
        <f t="shared" ref="H4:H19" si="8">D4*F4*G4</f>
        <v>32.346386672749588</v>
      </c>
      <c r="I4" s="69" t="s">
        <v>6</v>
      </c>
      <c r="J4" s="67">
        <v>114.34399041825554</v>
      </c>
      <c r="K4" s="15"/>
      <c r="M4" s="89" t="s">
        <v>65</v>
      </c>
      <c r="N4" s="62">
        <v>1.1027</v>
      </c>
      <c r="O4" s="62">
        <v>25.041399999999999</v>
      </c>
      <c r="P4" s="61">
        <f t="shared" si="1"/>
        <v>26.144099999999998</v>
      </c>
      <c r="Q4" s="80">
        <f>P4*2*1.3</f>
        <v>67.97466</v>
      </c>
      <c r="R4" s="70">
        <v>2</v>
      </c>
      <c r="S4" s="16">
        <f t="shared" si="2"/>
        <v>0.88268186997919518</v>
      </c>
      <c r="T4" s="19">
        <v>20</v>
      </c>
      <c r="U4" s="20">
        <f t="shared" si="3"/>
        <v>35</v>
      </c>
      <c r="V4" s="34">
        <f t="shared" ref="V4:V5" si="9">R4/W$2</f>
        <v>0.2</v>
      </c>
      <c r="X4" s="92">
        <v>40</v>
      </c>
      <c r="Y4" s="28">
        <f t="shared" si="4"/>
        <v>0.14285714285714279</v>
      </c>
    </row>
    <row r="5" spans="1:25" x14ac:dyDescent="0.25">
      <c r="A5" s="45" t="s">
        <v>61</v>
      </c>
      <c r="B5" s="50" t="s">
        <v>80</v>
      </c>
      <c r="C5" s="54">
        <v>1</v>
      </c>
      <c r="D5" s="57">
        <f t="shared" si="5"/>
        <v>2</v>
      </c>
      <c r="E5" s="55">
        <f t="shared" si="6"/>
        <v>74.196849999999998</v>
      </c>
      <c r="F5" s="56">
        <f t="shared" si="7"/>
        <v>0.80865966681873969</v>
      </c>
      <c r="G5" s="54">
        <v>20</v>
      </c>
      <c r="H5" s="55">
        <f t="shared" si="8"/>
        <v>32.346386672749588</v>
      </c>
      <c r="I5" s="69" t="s">
        <v>10</v>
      </c>
      <c r="J5" s="67">
        <v>93.215236167459665</v>
      </c>
      <c r="K5" s="15"/>
      <c r="M5" s="89" t="s">
        <v>81</v>
      </c>
      <c r="N5" s="62">
        <v>1.8587</v>
      </c>
      <c r="O5" s="62">
        <v>30.073</v>
      </c>
      <c r="P5" s="61">
        <f t="shared" si="1"/>
        <v>31.931699999999999</v>
      </c>
      <c r="Q5" s="80">
        <f>P5*2</f>
        <v>63.863399999999999</v>
      </c>
      <c r="R5" s="70">
        <v>2</v>
      </c>
      <c r="S5" s="16">
        <f t="shared" si="2"/>
        <v>0.9395052565319103</v>
      </c>
      <c r="T5" s="19">
        <v>20</v>
      </c>
      <c r="U5" s="20">
        <f t="shared" si="3"/>
        <v>38</v>
      </c>
      <c r="V5" s="34">
        <f t="shared" si="9"/>
        <v>0.2</v>
      </c>
      <c r="X5" s="92">
        <v>77</v>
      </c>
      <c r="Y5" s="28">
        <f t="shared" si="4"/>
        <v>1.0263157894736841</v>
      </c>
    </row>
    <row r="6" spans="1:25" ht="15.75" thickBot="1" x14ac:dyDescent="0.3">
      <c r="A6" s="49" t="s">
        <v>61</v>
      </c>
      <c r="B6" s="81" t="s">
        <v>6</v>
      </c>
      <c r="C6" s="54">
        <v>1</v>
      </c>
      <c r="D6" s="57">
        <f t="shared" si="5"/>
        <v>2</v>
      </c>
      <c r="E6" s="55">
        <f t="shared" si="6"/>
        <v>74.196849999999998</v>
      </c>
      <c r="F6" s="56">
        <f t="shared" si="7"/>
        <v>0.80865966681873969</v>
      </c>
      <c r="G6" s="54">
        <v>20</v>
      </c>
      <c r="H6" s="55">
        <f t="shared" si="8"/>
        <v>32.346386672749588</v>
      </c>
      <c r="I6" s="69" t="s">
        <v>3</v>
      </c>
      <c r="J6" s="67">
        <v>57.907961368291858</v>
      </c>
      <c r="K6" s="15"/>
      <c r="M6" s="89" t="s">
        <v>9</v>
      </c>
      <c r="N6" s="62">
        <v>1.3319000000000001</v>
      </c>
      <c r="O6" s="62">
        <v>21.3108</v>
      </c>
      <c r="P6" s="61">
        <f t="shared" si="1"/>
        <v>22.642700000000001</v>
      </c>
      <c r="Q6" s="80">
        <f>P6*2*1.1</f>
        <v>49.813940000000009</v>
      </c>
      <c r="R6" s="70">
        <v>1</v>
      </c>
      <c r="S6" s="16">
        <f>60/(Q6)</f>
        <v>1.2044821188607042</v>
      </c>
      <c r="T6" s="19">
        <v>20</v>
      </c>
      <c r="U6" s="20">
        <f>ROUND(R6*S6*T6,0)</f>
        <v>24</v>
      </c>
      <c r="V6" s="34">
        <f>R6/W$2</f>
        <v>0.1</v>
      </c>
      <c r="X6" s="92">
        <v>20</v>
      </c>
      <c r="Y6" s="28">
        <f t="shared" si="4"/>
        <v>-0.16666666666666663</v>
      </c>
    </row>
    <row r="7" spans="1:25" x14ac:dyDescent="0.25">
      <c r="A7" s="48" t="s">
        <v>8</v>
      </c>
      <c r="B7" s="43" t="s">
        <v>62</v>
      </c>
      <c r="C7" s="54">
        <v>1</v>
      </c>
      <c r="D7" s="53">
        <f t="shared" si="5"/>
        <v>1</v>
      </c>
      <c r="E7" s="55">
        <f t="shared" si="6"/>
        <v>59.032600000000002</v>
      </c>
      <c r="F7" s="56">
        <f t="shared" si="7"/>
        <v>1.0163875553507722</v>
      </c>
      <c r="G7" s="54">
        <v>20</v>
      </c>
      <c r="H7" s="55">
        <f t="shared" si="8"/>
        <v>20.327751107015445</v>
      </c>
      <c r="I7" s="69" t="s">
        <v>12</v>
      </c>
      <c r="J7" s="67">
        <v>24.089642377214084</v>
      </c>
      <c r="K7" s="15"/>
      <c r="M7" s="89" t="s">
        <v>4</v>
      </c>
      <c r="N7" s="62">
        <v>0.99709999999999999</v>
      </c>
      <c r="O7" s="62">
        <v>15.026</v>
      </c>
      <c r="P7" s="61">
        <f t="shared" ref="P7" si="10">N7+O7</f>
        <v>16.023099999999999</v>
      </c>
      <c r="Q7" s="80">
        <v>150</v>
      </c>
      <c r="R7" s="70">
        <v>1</v>
      </c>
      <c r="S7" s="71">
        <f>60/(Q7)</f>
        <v>0.4</v>
      </c>
      <c r="T7" s="77">
        <v>21</v>
      </c>
      <c r="U7" s="78">
        <f>ROUND(R7*S7*T7,0)</f>
        <v>8</v>
      </c>
      <c r="V7" s="79">
        <f>R7/W$2</f>
        <v>0.1</v>
      </c>
      <c r="X7" s="92">
        <v>20</v>
      </c>
      <c r="Y7" s="28">
        <f t="shared" si="4"/>
        <v>1.5</v>
      </c>
    </row>
    <row r="8" spans="1:25" x14ac:dyDescent="0.25">
      <c r="A8" s="45" t="s">
        <v>8</v>
      </c>
      <c r="B8" s="50" t="s">
        <v>0</v>
      </c>
      <c r="C8" s="54">
        <v>1</v>
      </c>
      <c r="D8" s="57">
        <f t="shared" si="5"/>
        <v>1</v>
      </c>
      <c r="E8" s="55">
        <f t="shared" si="6"/>
        <v>59.032600000000002</v>
      </c>
      <c r="F8" s="56">
        <f t="shared" si="7"/>
        <v>1.0163875553507722</v>
      </c>
      <c r="G8" s="54">
        <v>20</v>
      </c>
      <c r="H8" s="55">
        <f t="shared" si="8"/>
        <v>20.327751107015445</v>
      </c>
      <c r="I8" s="69" t="s">
        <v>4</v>
      </c>
      <c r="J8" s="67">
        <v>89.997603745505941</v>
      </c>
      <c r="K8" s="15"/>
      <c r="M8" s="85" t="s">
        <v>82</v>
      </c>
      <c r="N8" s="62">
        <v>0.55969999999999998</v>
      </c>
      <c r="O8" s="62">
        <v>5.0110000000000001</v>
      </c>
      <c r="P8" s="61">
        <f t="shared" ref="P8" si="11">N8+O8</f>
        <v>5.5707000000000004</v>
      </c>
      <c r="Q8" s="80">
        <v>77</v>
      </c>
      <c r="R8" s="82">
        <v>1</v>
      </c>
      <c r="S8" s="71">
        <f>60/(Q8)</f>
        <v>0.77922077922077926</v>
      </c>
      <c r="T8" s="77">
        <v>22</v>
      </c>
      <c r="U8" s="78">
        <f>ROUND(R8*S8*T8,0)</f>
        <v>17</v>
      </c>
      <c r="V8" s="79">
        <f>R8/W$2</f>
        <v>0.1</v>
      </c>
      <c r="X8" s="92">
        <v>20</v>
      </c>
      <c r="Y8" s="28">
        <f t="shared" si="4"/>
        <v>0.17647058823529416</v>
      </c>
    </row>
    <row r="9" spans="1:25" x14ac:dyDescent="0.25">
      <c r="A9" s="45" t="s">
        <v>8</v>
      </c>
      <c r="B9" s="47" t="s">
        <v>4</v>
      </c>
      <c r="C9" s="66">
        <v>1</v>
      </c>
      <c r="D9" s="75">
        <f t="shared" ref="D9" si="12">VLOOKUP(A9,$M$1:$W$8,6,FALSE)</f>
        <v>1</v>
      </c>
      <c r="E9" s="72">
        <f t="shared" ref="E9" si="13">VLOOKUP(A9,$M$1:$W$8,5,FALSE)</f>
        <v>59.032600000000002</v>
      </c>
      <c r="F9" s="65">
        <f t="shared" ref="F9" si="14">60/E9*C9</f>
        <v>1.0163875553507722</v>
      </c>
      <c r="G9" s="63">
        <v>20</v>
      </c>
      <c r="H9" s="72">
        <f t="shared" ref="H9" si="15">D9*F9*G9</f>
        <v>20.327751107015445</v>
      </c>
      <c r="I9" s="69" t="s">
        <v>62</v>
      </c>
      <c r="J9" s="67">
        <v>173.23568080183892</v>
      </c>
      <c r="K9" s="15"/>
    </row>
    <row r="10" spans="1:25" x14ac:dyDescent="0.25">
      <c r="A10" s="45" t="s">
        <v>8</v>
      </c>
      <c r="B10" s="50" t="s">
        <v>77</v>
      </c>
      <c r="C10" s="54">
        <v>1</v>
      </c>
      <c r="D10" s="57">
        <f t="shared" si="5"/>
        <v>1</v>
      </c>
      <c r="E10" s="55">
        <f t="shared" si="6"/>
        <v>59.032600000000002</v>
      </c>
      <c r="F10" s="56">
        <f t="shared" si="7"/>
        <v>1.0163875553507722</v>
      </c>
      <c r="G10" s="54">
        <v>20</v>
      </c>
      <c r="H10" s="55">
        <f t="shared" si="8"/>
        <v>20.327751107015445</v>
      </c>
      <c r="I10" s="69" t="s">
        <v>64</v>
      </c>
      <c r="J10" s="67">
        <v>32.346386672749588</v>
      </c>
    </row>
    <row r="11" spans="1:25" x14ac:dyDescent="0.25">
      <c r="A11" s="45" t="s">
        <v>8</v>
      </c>
      <c r="B11" s="50" t="s">
        <v>10</v>
      </c>
      <c r="C11" s="54">
        <v>1</v>
      </c>
      <c r="D11" s="57">
        <f t="shared" si="5"/>
        <v>1</v>
      </c>
      <c r="E11" s="55">
        <f t="shared" si="6"/>
        <v>59.032600000000002</v>
      </c>
      <c r="F11" s="56">
        <f t="shared" si="7"/>
        <v>1.0163875553507722</v>
      </c>
      <c r="G11" s="54">
        <v>20</v>
      </c>
      <c r="H11" s="55">
        <f t="shared" si="8"/>
        <v>20.327751107015445</v>
      </c>
      <c r="I11" s="69" t="s">
        <v>63</v>
      </c>
      <c r="J11" s="67">
        <v>32.346386672749588</v>
      </c>
    </row>
    <row r="12" spans="1:25" x14ac:dyDescent="0.25">
      <c r="A12" s="45" t="s">
        <v>8</v>
      </c>
      <c r="B12" s="50" t="s">
        <v>11</v>
      </c>
      <c r="C12" s="54">
        <v>1</v>
      </c>
      <c r="D12" s="57">
        <f t="shared" si="5"/>
        <v>1</v>
      </c>
      <c r="E12" s="55">
        <f t="shared" si="6"/>
        <v>59.032600000000002</v>
      </c>
      <c r="F12" s="56">
        <f t="shared" si="7"/>
        <v>1.0163875553507722</v>
      </c>
      <c r="G12" s="54">
        <v>20</v>
      </c>
      <c r="H12" s="55">
        <f t="shared" si="8"/>
        <v>20.327751107015445</v>
      </c>
      <c r="I12" s="69" t="s">
        <v>80</v>
      </c>
      <c r="J12" s="67">
        <v>32.346386672749588</v>
      </c>
    </row>
    <row r="13" spans="1:25" x14ac:dyDescent="0.25">
      <c r="A13" s="45" t="s">
        <v>8</v>
      </c>
      <c r="B13" s="50" t="s">
        <v>3</v>
      </c>
      <c r="C13" s="54">
        <v>1</v>
      </c>
      <c r="D13" s="57">
        <f t="shared" si="5"/>
        <v>1</v>
      </c>
      <c r="E13" s="55">
        <f t="shared" si="6"/>
        <v>59.032600000000002</v>
      </c>
      <c r="F13" s="56">
        <f t="shared" si="7"/>
        <v>1.0163875553507722</v>
      </c>
      <c r="G13" s="54">
        <v>20</v>
      </c>
      <c r="H13" s="55">
        <f t="shared" si="8"/>
        <v>20.327751107015445</v>
      </c>
      <c r="I13" s="69" t="s">
        <v>77</v>
      </c>
      <c r="J13" s="67">
        <v>101.21523616745966</v>
      </c>
    </row>
    <row r="14" spans="1:25" ht="15.75" thickBot="1" x14ac:dyDescent="0.3">
      <c r="A14" s="49" t="s">
        <v>8</v>
      </c>
      <c r="B14" s="44" t="s">
        <v>6</v>
      </c>
      <c r="C14" s="54">
        <v>1</v>
      </c>
      <c r="D14" s="76">
        <f t="shared" si="5"/>
        <v>1</v>
      </c>
      <c r="E14" s="55">
        <f t="shared" si="6"/>
        <v>59.032600000000002</v>
      </c>
      <c r="F14" s="56">
        <f t="shared" si="7"/>
        <v>1.0163875553507722</v>
      </c>
      <c r="G14" s="54">
        <v>20</v>
      </c>
      <c r="H14" s="55">
        <f t="shared" si="8"/>
        <v>20.327751107015445</v>
      </c>
      <c r="I14" s="69" t="s">
        <v>40</v>
      </c>
      <c r="J14" s="67">
        <v>985.14904136082339</v>
      </c>
    </row>
    <row r="15" spans="1:25" x14ac:dyDescent="0.25">
      <c r="A15" s="48" t="s">
        <v>65</v>
      </c>
      <c r="B15" s="84" t="s">
        <v>62</v>
      </c>
      <c r="C15" s="54">
        <v>1</v>
      </c>
      <c r="D15" s="53">
        <f t="shared" si="5"/>
        <v>2</v>
      </c>
      <c r="E15" s="55">
        <f t="shared" si="6"/>
        <v>67.97466</v>
      </c>
      <c r="F15" s="56">
        <f t="shared" si="7"/>
        <v>0.88268186997919518</v>
      </c>
      <c r="G15" s="54">
        <v>20</v>
      </c>
      <c r="H15" s="55">
        <f t="shared" si="8"/>
        <v>35.307274799167807</v>
      </c>
    </row>
    <row r="16" spans="1:25" x14ac:dyDescent="0.25">
      <c r="A16" s="45" t="s">
        <v>65</v>
      </c>
      <c r="B16" s="50" t="s">
        <v>0</v>
      </c>
      <c r="C16" s="54">
        <v>1</v>
      </c>
      <c r="D16" s="57">
        <f t="shared" si="5"/>
        <v>2</v>
      </c>
      <c r="E16" s="55">
        <f t="shared" si="6"/>
        <v>67.97466</v>
      </c>
      <c r="F16" s="56">
        <f t="shared" si="7"/>
        <v>0.88268186997919518</v>
      </c>
      <c r="G16" s="54">
        <v>20</v>
      </c>
      <c r="H16" s="55">
        <f t="shared" si="8"/>
        <v>35.307274799167807</v>
      </c>
    </row>
    <row r="17" spans="1:8" x14ac:dyDescent="0.25">
      <c r="A17" s="45" t="s">
        <v>65</v>
      </c>
      <c r="B17" s="50" t="s">
        <v>77</v>
      </c>
      <c r="C17" s="54">
        <v>1</v>
      </c>
      <c r="D17" s="57">
        <f t="shared" si="5"/>
        <v>2</v>
      </c>
      <c r="E17" s="55">
        <f t="shared" si="6"/>
        <v>67.97466</v>
      </c>
      <c r="F17" s="56">
        <f t="shared" si="7"/>
        <v>0.88268186997919518</v>
      </c>
      <c r="G17" s="54">
        <v>20</v>
      </c>
      <c r="H17" s="55">
        <f t="shared" si="8"/>
        <v>35.307274799167807</v>
      </c>
    </row>
    <row r="18" spans="1:8" x14ac:dyDescent="0.25">
      <c r="A18" s="45" t="s">
        <v>65</v>
      </c>
      <c r="B18" s="50" t="s">
        <v>10</v>
      </c>
      <c r="C18" s="66">
        <v>1</v>
      </c>
      <c r="D18" s="75">
        <f t="shared" ref="D18" si="16">VLOOKUP(A18,$M$1:$W$8,6,FALSE)</f>
        <v>2</v>
      </c>
      <c r="E18" s="72">
        <f t="shared" ref="E18" si="17">VLOOKUP(A18,$M$1:$W$8,5,FALSE)</f>
        <v>67.97466</v>
      </c>
      <c r="F18" s="73">
        <f t="shared" ref="F18" si="18">60/E18*C18</f>
        <v>0.88268186997919518</v>
      </c>
      <c r="G18" s="66">
        <v>20</v>
      </c>
      <c r="H18" s="72">
        <f t="shared" ref="H18" si="19">D18*F18*G18</f>
        <v>35.307274799167807</v>
      </c>
    </row>
    <row r="19" spans="1:8" ht="15.75" thickBot="1" x14ac:dyDescent="0.3">
      <c r="A19" s="45" t="s">
        <v>65</v>
      </c>
      <c r="B19" s="81" t="s">
        <v>11</v>
      </c>
      <c r="C19" s="54">
        <v>1</v>
      </c>
      <c r="D19" s="57">
        <f t="shared" si="5"/>
        <v>2</v>
      </c>
      <c r="E19" s="55">
        <f t="shared" si="6"/>
        <v>67.97466</v>
      </c>
      <c r="F19" s="56">
        <f t="shared" si="7"/>
        <v>0.88268186997919518</v>
      </c>
      <c r="G19" s="54">
        <v>20</v>
      </c>
      <c r="H19" s="55">
        <f t="shared" si="8"/>
        <v>35.307274799167807</v>
      </c>
    </row>
    <row r="20" spans="1:8" x14ac:dyDescent="0.25">
      <c r="A20" s="48" t="s">
        <v>81</v>
      </c>
      <c r="B20" s="43" t="s">
        <v>62</v>
      </c>
      <c r="C20" s="54">
        <v>1</v>
      </c>
      <c r="D20" s="53">
        <f t="shared" ref="D20:D30" si="20">VLOOKUP(A20,$M$1:$W$8,6,FALSE)</f>
        <v>2</v>
      </c>
      <c r="E20" s="55">
        <f t="shared" ref="E20:E30" si="21">VLOOKUP(A20,$M$1:$W$8,5,FALSE)</f>
        <v>63.863399999999999</v>
      </c>
      <c r="F20" s="56">
        <f t="shared" ref="F20:F26" si="22">60/E20*C20</f>
        <v>0.9395052565319103</v>
      </c>
      <c r="G20" s="54">
        <v>20</v>
      </c>
      <c r="H20" s="55">
        <f t="shared" ref="H20:H26" si="23">D20*F20*G20</f>
        <v>37.580210261276413</v>
      </c>
    </row>
    <row r="21" spans="1:8" x14ac:dyDescent="0.25">
      <c r="A21" s="45" t="s">
        <v>81</v>
      </c>
      <c r="B21" s="50" t="s">
        <v>0</v>
      </c>
      <c r="C21" s="54">
        <v>1</v>
      </c>
      <c r="D21" s="57">
        <f t="shared" si="20"/>
        <v>2</v>
      </c>
      <c r="E21" s="55">
        <f t="shared" si="21"/>
        <v>63.863399999999999</v>
      </c>
      <c r="F21" s="56">
        <f t="shared" si="22"/>
        <v>0.9395052565319103</v>
      </c>
      <c r="G21" s="54">
        <v>20</v>
      </c>
      <c r="H21" s="55">
        <f t="shared" si="23"/>
        <v>37.580210261276413</v>
      </c>
    </row>
    <row r="22" spans="1:8" x14ac:dyDescent="0.25">
      <c r="A22" s="45" t="s">
        <v>81</v>
      </c>
      <c r="B22" s="47" t="s">
        <v>4</v>
      </c>
      <c r="C22" s="66">
        <v>1</v>
      </c>
      <c r="D22" s="75">
        <f>VLOOKUP(A22,$M$1:$W$8,6,FALSE)</f>
        <v>2</v>
      </c>
      <c r="E22" s="72">
        <f>VLOOKUP(A22,$M$1:$W$8,5,FALSE)</f>
        <v>63.863399999999999</v>
      </c>
      <c r="F22" s="65">
        <f>60/E22*C22</f>
        <v>0.9395052565319103</v>
      </c>
      <c r="G22" s="63">
        <v>20</v>
      </c>
      <c r="H22" s="72">
        <f>D22*F22*G22</f>
        <v>37.580210261276413</v>
      </c>
    </row>
    <row r="23" spans="1:8" x14ac:dyDescent="0.25">
      <c r="A23" s="45" t="s">
        <v>81</v>
      </c>
      <c r="B23" s="50" t="s">
        <v>77</v>
      </c>
      <c r="C23" s="54">
        <v>1</v>
      </c>
      <c r="D23" s="57">
        <f t="shared" si="20"/>
        <v>2</v>
      </c>
      <c r="E23" s="55">
        <f t="shared" si="21"/>
        <v>63.863399999999999</v>
      </c>
      <c r="F23" s="56">
        <f t="shared" si="22"/>
        <v>0.9395052565319103</v>
      </c>
      <c r="G23" s="54">
        <v>20</v>
      </c>
      <c r="H23" s="55">
        <f t="shared" si="23"/>
        <v>37.580210261276413</v>
      </c>
    </row>
    <row r="24" spans="1:8" x14ac:dyDescent="0.25">
      <c r="A24" s="45" t="s">
        <v>81</v>
      </c>
      <c r="B24" s="50" t="s">
        <v>10</v>
      </c>
      <c r="C24" s="54">
        <v>1</v>
      </c>
      <c r="D24" s="57">
        <f t="shared" si="20"/>
        <v>2</v>
      </c>
      <c r="E24" s="55">
        <f t="shared" si="21"/>
        <v>63.863399999999999</v>
      </c>
      <c r="F24" s="56">
        <f t="shared" si="22"/>
        <v>0.9395052565319103</v>
      </c>
      <c r="G24" s="54">
        <v>20</v>
      </c>
      <c r="H24" s="55">
        <f t="shared" si="23"/>
        <v>37.580210261276413</v>
      </c>
    </row>
    <row r="25" spans="1:8" x14ac:dyDescent="0.25">
      <c r="A25" s="45" t="s">
        <v>81</v>
      </c>
      <c r="B25" s="50" t="s">
        <v>11</v>
      </c>
      <c r="C25" s="54">
        <v>1</v>
      </c>
      <c r="D25" s="57">
        <f t="shared" si="20"/>
        <v>2</v>
      </c>
      <c r="E25" s="55">
        <f t="shared" si="21"/>
        <v>63.863399999999999</v>
      </c>
      <c r="F25" s="56">
        <f t="shared" si="22"/>
        <v>0.9395052565319103</v>
      </c>
      <c r="G25" s="54">
        <v>20</v>
      </c>
      <c r="H25" s="55">
        <f t="shared" si="23"/>
        <v>37.580210261276413</v>
      </c>
    </row>
    <row r="26" spans="1:8" x14ac:dyDescent="0.25">
      <c r="A26" s="45" t="s">
        <v>81</v>
      </c>
      <c r="B26" s="50" t="s">
        <v>3</v>
      </c>
      <c r="C26" s="54">
        <v>1</v>
      </c>
      <c r="D26" s="57">
        <f t="shared" si="20"/>
        <v>2</v>
      </c>
      <c r="E26" s="55">
        <f t="shared" si="21"/>
        <v>63.863399999999999</v>
      </c>
      <c r="F26" s="56">
        <f t="shared" si="22"/>
        <v>0.9395052565319103</v>
      </c>
      <c r="G26" s="54">
        <v>20</v>
      </c>
      <c r="H26" s="55">
        <f t="shared" si="23"/>
        <v>37.580210261276413</v>
      </c>
    </row>
    <row r="27" spans="1:8" ht="15.75" thickBot="1" x14ac:dyDescent="0.3">
      <c r="A27" s="49" t="s">
        <v>81</v>
      </c>
      <c r="B27" s="44" t="s">
        <v>6</v>
      </c>
      <c r="C27" s="54">
        <v>1</v>
      </c>
      <c r="D27" s="58">
        <f t="shared" si="20"/>
        <v>2</v>
      </c>
      <c r="E27" s="55">
        <f t="shared" si="21"/>
        <v>63.863399999999999</v>
      </c>
      <c r="F27" s="56">
        <f t="shared" ref="F27:F30" si="24">60/E27*C27</f>
        <v>0.9395052565319103</v>
      </c>
      <c r="G27" s="54">
        <v>20</v>
      </c>
      <c r="H27" s="55">
        <f t="shared" ref="H27:H30" si="25">D27*F27*G27</f>
        <v>37.580210261276413</v>
      </c>
    </row>
    <row r="28" spans="1:8" x14ac:dyDescent="0.25">
      <c r="A28" s="86" t="s">
        <v>9</v>
      </c>
      <c r="B28" s="83" t="s">
        <v>62</v>
      </c>
      <c r="C28" s="54">
        <v>1</v>
      </c>
      <c r="D28" s="53">
        <f t="shared" si="20"/>
        <v>1</v>
      </c>
      <c r="E28" s="55">
        <f t="shared" si="21"/>
        <v>49.813940000000009</v>
      </c>
      <c r="F28" s="56">
        <f t="shared" si="24"/>
        <v>1.2044821188607042</v>
      </c>
      <c r="G28" s="54">
        <v>20</v>
      </c>
      <c r="H28" s="55">
        <f t="shared" si="25"/>
        <v>24.089642377214084</v>
      </c>
    </row>
    <row r="29" spans="1:8" x14ac:dyDescent="0.25">
      <c r="A29" s="87" t="s">
        <v>9</v>
      </c>
      <c r="B29" s="47" t="s">
        <v>0</v>
      </c>
      <c r="C29" s="54">
        <v>1</v>
      </c>
      <c r="D29" s="57">
        <f t="shared" si="20"/>
        <v>1</v>
      </c>
      <c r="E29" s="55">
        <f t="shared" si="21"/>
        <v>49.813940000000009</v>
      </c>
      <c r="F29" s="65">
        <f t="shared" si="24"/>
        <v>1.2044821188607042</v>
      </c>
      <c r="G29" s="63">
        <v>20</v>
      </c>
      <c r="H29" s="55">
        <f t="shared" si="25"/>
        <v>24.089642377214084</v>
      </c>
    </row>
    <row r="30" spans="1:8" s="52" customFormat="1" x14ac:dyDescent="0.25">
      <c r="A30" s="87" t="s">
        <v>9</v>
      </c>
      <c r="B30" s="47" t="s">
        <v>4</v>
      </c>
      <c r="C30" s="54">
        <v>1</v>
      </c>
      <c r="D30" s="57">
        <f t="shared" si="20"/>
        <v>1</v>
      </c>
      <c r="E30" s="55">
        <f t="shared" si="21"/>
        <v>49.813940000000009</v>
      </c>
      <c r="F30" s="65">
        <f t="shared" si="24"/>
        <v>1.2044821188607042</v>
      </c>
      <c r="G30" s="54">
        <v>20</v>
      </c>
      <c r="H30" s="55">
        <f t="shared" si="25"/>
        <v>24.089642377214084</v>
      </c>
    </row>
    <row r="31" spans="1:8" s="52" customFormat="1" x14ac:dyDescent="0.25">
      <c r="A31" s="87" t="s">
        <v>9</v>
      </c>
      <c r="B31" s="47" t="s">
        <v>12</v>
      </c>
      <c r="C31" s="54">
        <v>1</v>
      </c>
      <c r="D31" s="75">
        <f t="shared" ref="D31:D35" si="26">VLOOKUP(A31,$M$1:$W$8,6,FALSE)</f>
        <v>1</v>
      </c>
      <c r="E31" s="55">
        <f t="shared" ref="E31:E35" si="27">VLOOKUP(A31,$M$1:$W$8,5,FALSE)</f>
        <v>49.813940000000009</v>
      </c>
      <c r="F31" s="65">
        <f t="shared" ref="F31:F35" si="28">60/E31*C31</f>
        <v>1.2044821188607042</v>
      </c>
      <c r="G31" s="54">
        <v>20</v>
      </c>
      <c r="H31" s="55">
        <f t="shared" ref="H31:H35" si="29">D31*F31*G31</f>
        <v>24.089642377214084</v>
      </c>
    </row>
    <row r="32" spans="1:8" ht="15.75" thickBot="1" x14ac:dyDescent="0.3">
      <c r="A32" s="88" t="s">
        <v>9</v>
      </c>
      <c r="B32" s="42" t="s">
        <v>6</v>
      </c>
      <c r="C32" s="54">
        <v>1</v>
      </c>
      <c r="D32" s="57">
        <f t="shared" si="26"/>
        <v>1</v>
      </c>
      <c r="E32" s="55">
        <f t="shared" si="27"/>
        <v>49.813940000000009</v>
      </c>
      <c r="F32" s="65">
        <f t="shared" si="28"/>
        <v>1.2044821188607042</v>
      </c>
      <c r="G32" s="54">
        <v>20</v>
      </c>
      <c r="H32" s="55">
        <f t="shared" si="29"/>
        <v>24.089642377214084</v>
      </c>
    </row>
    <row r="33" spans="1:10" x14ac:dyDescent="0.25">
      <c r="A33" s="43" t="s">
        <v>4</v>
      </c>
      <c r="B33" s="46" t="s">
        <v>62</v>
      </c>
      <c r="C33" s="54">
        <v>1</v>
      </c>
      <c r="D33" s="74">
        <f t="shared" si="26"/>
        <v>1</v>
      </c>
      <c r="E33" s="55">
        <f t="shared" si="27"/>
        <v>150</v>
      </c>
      <c r="F33" s="65">
        <f t="shared" si="28"/>
        <v>0.4</v>
      </c>
      <c r="G33" s="54">
        <v>20</v>
      </c>
      <c r="H33" s="55">
        <f t="shared" si="29"/>
        <v>8</v>
      </c>
    </row>
    <row r="34" spans="1:10" x14ac:dyDescent="0.25">
      <c r="A34" s="50" t="s">
        <v>4</v>
      </c>
      <c r="B34" s="47" t="s">
        <v>0</v>
      </c>
      <c r="C34" s="54">
        <v>1</v>
      </c>
      <c r="D34" s="75">
        <f t="shared" si="26"/>
        <v>1</v>
      </c>
      <c r="E34" s="55">
        <f t="shared" si="27"/>
        <v>150</v>
      </c>
      <c r="F34" s="65">
        <f t="shared" si="28"/>
        <v>0.4</v>
      </c>
      <c r="G34" s="54">
        <v>20</v>
      </c>
      <c r="H34" s="55">
        <f t="shared" si="29"/>
        <v>8</v>
      </c>
    </row>
    <row r="35" spans="1:10" x14ac:dyDescent="0.25">
      <c r="A35" s="50" t="s">
        <v>4</v>
      </c>
      <c r="B35" s="50" t="s">
        <v>77</v>
      </c>
      <c r="C35" s="66">
        <v>1</v>
      </c>
      <c r="D35" s="75">
        <f t="shared" si="26"/>
        <v>1</v>
      </c>
      <c r="E35" s="72">
        <f t="shared" si="27"/>
        <v>150</v>
      </c>
      <c r="F35" s="73">
        <f t="shared" si="28"/>
        <v>0.4</v>
      </c>
      <c r="G35" s="66">
        <v>20</v>
      </c>
      <c r="H35" s="72">
        <f t="shared" si="29"/>
        <v>8</v>
      </c>
    </row>
    <row r="36" spans="1:10" ht="15.75" thickBot="1" x14ac:dyDescent="0.3">
      <c r="A36" s="44" t="s">
        <v>4</v>
      </c>
      <c r="B36" s="42" t="s">
        <v>4</v>
      </c>
      <c r="C36" s="66">
        <v>1</v>
      </c>
      <c r="D36" s="76">
        <f>VLOOKUP(A36,$M$1:$W$8,6,FALSE)</f>
        <v>1</v>
      </c>
      <c r="E36" s="72">
        <f>VLOOKUP(A36,$M$1:$W$8,5,FALSE)</f>
        <v>150</v>
      </c>
      <c r="F36" s="65">
        <f>60/E36*C36</f>
        <v>0.4</v>
      </c>
      <c r="G36" s="63">
        <v>20</v>
      </c>
      <c r="H36" s="72">
        <f>D36*F36*G36</f>
        <v>8</v>
      </c>
    </row>
    <row r="37" spans="1:10" x14ac:dyDescent="0.25">
      <c r="A37" s="43" t="s">
        <v>82</v>
      </c>
      <c r="B37" s="46" t="s">
        <v>62</v>
      </c>
      <c r="C37" s="66">
        <v>1</v>
      </c>
      <c r="D37" s="75">
        <f t="shared" ref="D37" si="30">VLOOKUP(A37,$M$1:$W$8,6,FALSE)</f>
        <v>1</v>
      </c>
      <c r="E37" s="72">
        <f t="shared" ref="E37" si="31">VLOOKUP(A37,$M$1:$W$8,5,FALSE)</f>
        <v>77</v>
      </c>
      <c r="F37" s="73">
        <f t="shared" ref="F37" si="32">60/E37*C37</f>
        <v>0.77922077922077926</v>
      </c>
      <c r="G37" s="66">
        <v>20</v>
      </c>
      <c r="H37" s="72">
        <f t="shared" ref="H37" si="33">D37*F37*G37</f>
        <v>15.584415584415584</v>
      </c>
    </row>
    <row r="38" spans="1:10" ht="15.75" thickBot="1" x14ac:dyDescent="0.3">
      <c r="A38" s="44" t="s">
        <v>82</v>
      </c>
      <c r="B38" s="42" t="s">
        <v>0</v>
      </c>
      <c r="C38" s="66">
        <v>1</v>
      </c>
      <c r="D38" s="76">
        <f>VLOOKUP(A38,$M$1:$W$8,6,FALSE)</f>
        <v>1</v>
      </c>
      <c r="E38" s="72">
        <f>VLOOKUP(A38,$M$1:$W$8,5,FALSE)</f>
        <v>77</v>
      </c>
      <c r="F38" s="65">
        <f>60/E38*C38</f>
        <v>0.77922077922077926</v>
      </c>
      <c r="G38" s="63">
        <v>20</v>
      </c>
      <c r="H38" s="72">
        <f>D38*F38*G38</f>
        <v>15.584415584415584</v>
      </c>
    </row>
    <row r="40" spans="1:10" ht="15.75" thickBot="1" x14ac:dyDescent="0.3"/>
    <row r="41" spans="1:10" x14ac:dyDescent="0.25">
      <c r="A41" s="94" t="s">
        <v>79</v>
      </c>
      <c r="B41" s="95"/>
    </row>
    <row r="42" spans="1:10" ht="112.5" x14ac:dyDescent="0.3">
      <c r="A42" s="36" t="s">
        <v>78</v>
      </c>
      <c r="B42" s="37" t="s">
        <v>58</v>
      </c>
      <c r="C42" s="35" t="s">
        <v>56</v>
      </c>
      <c r="D42" s="27" t="s">
        <v>57</v>
      </c>
      <c r="E42" s="24"/>
      <c r="F42" s="27" t="s">
        <v>110</v>
      </c>
      <c r="G42" s="27" t="s">
        <v>59</v>
      </c>
      <c r="H42" s="27" t="s">
        <v>60</v>
      </c>
      <c r="J42" s="97" t="s">
        <v>111</v>
      </c>
    </row>
    <row r="43" spans="1:10" ht="18.75" x14ac:dyDescent="0.25">
      <c r="A43" s="36" t="s">
        <v>62</v>
      </c>
      <c r="B43" s="38">
        <v>520</v>
      </c>
      <c r="C43" s="25">
        <f t="shared" ref="C43:C54" si="34">GETPIVOTDATA("Итого",$I$1,"transaction rq",A43)*3</f>
        <v>519.70704240551675</v>
      </c>
      <c r="D43" s="26">
        <f t="shared" ref="D43:D55" si="35">1-B43/C43</f>
        <v>-5.6369756531915449E-4</v>
      </c>
      <c r="E43" t="str">
        <f>VLOOKUP(A43,'Лист соответствия'!A:B,2,)</f>
        <v>HomePage</v>
      </c>
      <c r="F43" s="90">
        <f>C43*3.6</f>
        <v>1870.9453526598604</v>
      </c>
      <c r="G43" s="90">
        <f>VLOOKUP(E43,'Summary Report'!A:K,8,)</f>
        <v>1875</v>
      </c>
      <c r="H43" s="22">
        <f t="shared" ref="H43:H54" si="36">1-F43/G43</f>
        <v>2.162478581407723E-3</v>
      </c>
      <c r="J43" s="98">
        <f>F43/F$55</f>
        <v>0.17584717999881719</v>
      </c>
    </row>
    <row r="44" spans="1:10" ht="18.75" x14ac:dyDescent="0.25">
      <c r="A44" s="39" t="s">
        <v>0</v>
      </c>
      <c r="B44" s="38">
        <v>422</v>
      </c>
      <c r="C44" s="25">
        <f t="shared" si="34"/>
        <v>422.66788238726804</v>
      </c>
      <c r="D44" s="26">
        <f t="shared" si="35"/>
        <v>1.5801588317895243E-3</v>
      </c>
      <c r="E44" s="66" t="str">
        <f>VLOOKUP(A44,'Лист соответствия'!A:B,2,)</f>
        <v>Login</v>
      </c>
      <c r="F44" s="90">
        <f t="shared" ref="F44:F54" si="37">C44*3.6</f>
        <v>1521.6043765941649</v>
      </c>
      <c r="G44" s="90">
        <f>VLOOKUP(E44,'Summary Report'!A:K,8,)</f>
        <v>1534</v>
      </c>
      <c r="H44" s="22">
        <f t="shared" si="36"/>
        <v>8.0805889216656324E-3</v>
      </c>
      <c r="J44" s="98">
        <f t="shared" ref="J44:J54" si="38">F44/F$55</f>
        <v>0.14301317690415011</v>
      </c>
    </row>
    <row r="45" spans="1:10" ht="37.5" x14ac:dyDescent="0.25">
      <c r="A45" s="39" t="s">
        <v>77</v>
      </c>
      <c r="B45" s="38">
        <v>305</v>
      </c>
      <c r="C45" s="60">
        <f t="shared" si="34"/>
        <v>303.64570850237897</v>
      </c>
      <c r="D45" s="51">
        <f t="shared" si="35"/>
        <v>-4.4601041928127305E-3</v>
      </c>
      <c r="E45" s="66" t="str">
        <f>VLOOKUP(A45,'Лист соответствия'!A:B,2,)</f>
        <v>Flights</v>
      </c>
      <c r="F45" s="90">
        <f t="shared" si="37"/>
        <v>1093.1245506085643</v>
      </c>
      <c r="G45" s="90">
        <f>VLOOKUP(E45,'Summary Report'!A:K,8,)</f>
        <v>1129</v>
      </c>
      <c r="H45" s="22">
        <f t="shared" si="36"/>
        <v>3.177630592686953E-2</v>
      </c>
      <c r="J45" s="98">
        <f t="shared" si="38"/>
        <v>0.1027410390895242</v>
      </c>
    </row>
    <row r="46" spans="1:10" ht="18.75" x14ac:dyDescent="0.25">
      <c r="A46" s="39" t="s">
        <v>10</v>
      </c>
      <c r="B46" s="38">
        <v>282</v>
      </c>
      <c r="C46" s="25">
        <f t="shared" si="34"/>
        <v>279.64570850237897</v>
      </c>
      <c r="D46" s="21">
        <f t="shared" si="35"/>
        <v>-8.4188364993307285E-3</v>
      </c>
      <c r="E46" s="66" t="str">
        <f>VLOOKUP(A46,'Лист соответствия'!A:B,2,)</f>
        <v>FlightTime</v>
      </c>
      <c r="F46" s="90">
        <f t="shared" si="37"/>
        <v>1006.7245506085643</v>
      </c>
      <c r="G46" s="90">
        <f>VLOOKUP(E46,'Summary Report'!A:K,8,)</f>
        <v>1056</v>
      </c>
      <c r="H46" s="22">
        <f t="shared" si="36"/>
        <v>4.6662357378253527E-2</v>
      </c>
      <c r="J46" s="98">
        <f t="shared" si="38"/>
        <v>9.4620440414475704E-2</v>
      </c>
    </row>
    <row r="47" spans="1:10" ht="18.75" x14ac:dyDescent="0.25">
      <c r="A47" s="39" t="s">
        <v>11</v>
      </c>
      <c r="B47" s="38">
        <v>270</v>
      </c>
      <c r="C47" s="25">
        <f t="shared" si="34"/>
        <v>279.64570850237897</v>
      </c>
      <c r="D47" s="21">
        <f t="shared" si="35"/>
        <v>3.4492603351704565E-2</v>
      </c>
      <c r="E47" s="66" t="str">
        <f>VLOOKUP(A47,'Лист соответствия'!A:B,2,)</f>
        <v>PaymentDetails</v>
      </c>
      <c r="F47" s="90">
        <f t="shared" si="37"/>
        <v>1006.7245506085643</v>
      </c>
      <c r="G47" s="90">
        <f>VLOOKUP(E47,'Summary Report'!A:K,8,)</f>
        <v>1056</v>
      </c>
      <c r="H47" s="22">
        <f t="shared" si="36"/>
        <v>4.6662357378253527E-2</v>
      </c>
      <c r="J47" s="98">
        <f t="shared" si="38"/>
        <v>9.4620440414475704E-2</v>
      </c>
    </row>
    <row r="48" spans="1:10" ht="18.75" x14ac:dyDescent="0.25">
      <c r="A48" s="39" t="s">
        <v>3</v>
      </c>
      <c r="B48" s="38">
        <v>175</v>
      </c>
      <c r="C48" s="25">
        <f t="shared" si="34"/>
        <v>173.72388410487557</v>
      </c>
      <c r="D48" s="21">
        <f t="shared" si="35"/>
        <v>-7.345656020182334E-3</v>
      </c>
      <c r="E48" s="66" t="str">
        <f>VLOOKUP(A48,'Лист соответствия'!A:B,2,)</f>
        <v>Confirmation</v>
      </c>
      <c r="F48" s="90">
        <f t="shared" si="37"/>
        <v>625.40598277755203</v>
      </c>
      <c r="G48" s="90">
        <f>VLOOKUP(E48,'Summary Report'!A:K,8,)</f>
        <v>632</v>
      </c>
      <c r="H48" s="22">
        <f t="shared" si="36"/>
        <v>1.0433571554506305E-2</v>
      </c>
      <c r="J48" s="98">
        <f t="shared" si="38"/>
        <v>5.8780914295263796E-2</v>
      </c>
    </row>
    <row r="49" spans="1:10" ht="18.75" x14ac:dyDescent="0.25">
      <c r="A49" s="39" t="s">
        <v>4</v>
      </c>
      <c r="B49" s="38">
        <v>280</v>
      </c>
      <c r="C49" s="25">
        <f t="shared" si="34"/>
        <v>269.99281123651781</v>
      </c>
      <c r="D49" s="21">
        <f t="shared" si="35"/>
        <v>-3.7064648935099864E-2</v>
      </c>
      <c r="E49" s="66" t="str">
        <f>VLOOKUP(A49,'Лист соответствия'!A:B,2,)</f>
        <v>Itinerary</v>
      </c>
      <c r="F49" s="90">
        <f t="shared" si="37"/>
        <v>971.97412045146416</v>
      </c>
      <c r="G49" s="90">
        <f>VLOOKUP(E49,'Summary Report'!A:K,8,)</f>
        <v>923</v>
      </c>
      <c r="H49" s="22">
        <f t="shared" si="36"/>
        <v>-5.3059718798986077E-2</v>
      </c>
      <c r="J49" s="98">
        <f t="shared" si="38"/>
        <v>9.1354302716661895E-2</v>
      </c>
    </row>
    <row r="50" spans="1:10" ht="18.75" x14ac:dyDescent="0.25">
      <c r="A50" s="39" t="s">
        <v>12</v>
      </c>
      <c r="B50" s="38">
        <v>73</v>
      </c>
      <c r="C50" s="25">
        <f t="shared" si="34"/>
        <v>72.268927131642243</v>
      </c>
      <c r="D50" s="21">
        <f t="shared" si="35"/>
        <v>-1.0116005555555807E-2</v>
      </c>
      <c r="E50" s="66" t="str">
        <f>VLOOKUP(A50,'Лист соответствия'!A:B,2,)</f>
        <v>DeleteItinerary</v>
      </c>
      <c r="F50" s="90">
        <f t="shared" si="37"/>
        <v>260.1681376739121</v>
      </c>
      <c r="G50" s="90">
        <f>VLOOKUP(E50,'Summary Report'!A:K,8,)</f>
        <v>215</v>
      </c>
      <c r="H50" s="22">
        <f t="shared" si="36"/>
        <v>-0.21008436127400976</v>
      </c>
      <c r="I50" s="30"/>
      <c r="J50" s="98">
        <f t="shared" si="38"/>
        <v>2.4452789746349599E-2</v>
      </c>
    </row>
    <row r="51" spans="1:10" ht="18.75" x14ac:dyDescent="0.25">
      <c r="A51" s="39" t="s">
        <v>6</v>
      </c>
      <c r="B51" s="38">
        <v>326</v>
      </c>
      <c r="C51" s="25">
        <f t="shared" si="34"/>
        <v>343.03197125476663</v>
      </c>
      <c r="D51" s="21">
        <f t="shared" si="35"/>
        <v>4.9651264844107312E-2</v>
      </c>
      <c r="E51" s="66" t="str">
        <f>VLOOKUP(A51,'Лист соответствия'!A:B,2,)</f>
        <v>Logout</v>
      </c>
      <c r="F51" s="90">
        <f t="shared" si="37"/>
        <v>1234.91509651716</v>
      </c>
      <c r="G51" s="90">
        <f>VLOOKUP(E51,'Summary Report'!A:K,8,)</f>
        <v>1189</v>
      </c>
      <c r="H51" s="22">
        <f t="shared" si="36"/>
        <v>-3.8616565615777976E-2</v>
      </c>
      <c r="J51" s="98">
        <f t="shared" si="38"/>
        <v>0.11606770713628051</v>
      </c>
    </row>
    <row r="52" spans="1:10" ht="18.75" x14ac:dyDescent="0.25">
      <c r="A52" s="39" t="s">
        <v>64</v>
      </c>
      <c r="B52" s="38">
        <v>97</v>
      </c>
      <c r="C52" s="25">
        <f t="shared" si="34"/>
        <v>97.039160018248765</v>
      </c>
      <c r="D52" s="21">
        <f t="shared" si="35"/>
        <v>4.0354861111124851E-4</v>
      </c>
      <c r="E52" s="66" t="str">
        <f>VLOOKUP(A52,'Лист соответствия'!A:B,2,)</f>
        <v>SignUp</v>
      </c>
      <c r="F52" s="90">
        <f t="shared" si="37"/>
        <v>349.34097606569554</v>
      </c>
      <c r="G52" s="90">
        <f>VLOOKUP(E52,'Summary Report'!A:K,8,)</f>
        <v>342</v>
      </c>
      <c r="H52" s="22">
        <f t="shared" si="36"/>
        <v>-2.1464842297355347E-2</v>
      </c>
      <c r="I52" s="28"/>
      <c r="J52" s="98">
        <f t="shared" si="38"/>
        <v>3.283400309466708E-2</v>
      </c>
    </row>
    <row r="53" spans="1:10" ht="18.75" x14ac:dyDescent="0.25">
      <c r="A53" s="39" t="s">
        <v>63</v>
      </c>
      <c r="B53" s="38">
        <v>97</v>
      </c>
      <c r="C53" s="25">
        <f t="shared" si="34"/>
        <v>97.039160018248765</v>
      </c>
      <c r="D53" s="21">
        <f t="shared" si="35"/>
        <v>4.0354861111124851E-4</v>
      </c>
      <c r="E53" s="66" t="str">
        <f>VLOOKUP(A53,'Лист соответствия'!A:B,2,)</f>
        <v>Сongratulation</v>
      </c>
      <c r="F53" s="90">
        <f t="shared" si="37"/>
        <v>349.34097606569554</v>
      </c>
      <c r="G53" s="90">
        <f>VLOOKUP(E53,'Summary Report'!A:K,8,)</f>
        <v>341</v>
      </c>
      <c r="H53" s="22">
        <f t="shared" si="36"/>
        <v>-2.4460340368608557E-2</v>
      </c>
      <c r="I53" s="28"/>
      <c r="J53" s="98">
        <f t="shared" si="38"/>
        <v>3.283400309466708E-2</v>
      </c>
    </row>
    <row r="54" spans="1:10" ht="37.5" x14ac:dyDescent="0.25">
      <c r="A54" s="39" t="s">
        <v>80</v>
      </c>
      <c r="B54" s="38">
        <v>97</v>
      </c>
      <c r="C54" s="60">
        <f t="shared" si="34"/>
        <v>97.039160018248765</v>
      </c>
      <c r="D54" s="59">
        <f t="shared" si="35"/>
        <v>4.0354861111124851E-4</v>
      </c>
      <c r="E54" s="66" t="str">
        <f>VLOOKUP(A54,'Лист соответствия'!A:B,2,)</f>
        <v>PersonalAccount</v>
      </c>
      <c r="F54" s="90">
        <f t="shared" si="37"/>
        <v>349.34097606569554</v>
      </c>
      <c r="G54" s="90">
        <f>VLOOKUP(E54,'Summary Report'!A:K,8,)</f>
        <v>342</v>
      </c>
      <c r="H54" s="22">
        <f t="shared" si="36"/>
        <v>-2.1464842297355347E-2</v>
      </c>
      <c r="I54" s="28"/>
      <c r="J54" s="98">
        <f t="shared" si="38"/>
        <v>3.283400309466708E-2</v>
      </c>
    </row>
    <row r="55" spans="1:10" ht="19.5" thickBot="1" x14ac:dyDescent="0.3">
      <c r="A55" s="40" t="s">
        <v>7</v>
      </c>
      <c r="B55" s="41">
        <f>SUM(B43:B54)</f>
        <v>2944</v>
      </c>
      <c r="C55" s="23">
        <f>SUM(C43:C54)</f>
        <v>2955.4471240824705</v>
      </c>
      <c r="D55" s="21">
        <f t="shared" si="35"/>
        <v>3.8732291940510866E-3</v>
      </c>
      <c r="F55" s="72">
        <f>SUM(F43:F54)</f>
        <v>10639.609646696894</v>
      </c>
      <c r="I55" s="28"/>
      <c r="J55" s="99">
        <f>SUM(J43:J54)</f>
        <v>1</v>
      </c>
    </row>
    <row r="56" spans="1:10" x14ac:dyDescent="0.25">
      <c r="I56" s="28"/>
    </row>
    <row r="57" spans="1:10" x14ac:dyDescent="0.25">
      <c r="C57" s="30" t="s">
        <v>76</v>
      </c>
      <c r="D57" s="30"/>
      <c r="E57" s="30"/>
      <c r="F57" s="30"/>
      <c r="G57" s="30"/>
      <c r="H57" s="30"/>
    </row>
    <row r="58" spans="1:10" x14ac:dyDescent="0.25">
      <c r="C58" t="s">
        <v>75</v>
      </c>
      <c r="D58" t="s">
        <v>71</v>
      </c>
      <c r="E58" t="s">
        <v>73</v>
      </c>
      <c r="F58" t="s">
        <v>72</v>
      </c>
      <c r="G58" t="s">
        <v>74</v>
      </c>
    </row>
    <row r="59" spans="1:10" x14ac:dyDescent="0.25">
      <c r="A59" t="s">
        <v>66</v>
      </c>
      <c r="B59" s="31">
        <f>124/3</f>
        <v>41.333333333333336</v>
      </c>
      <c r="C59" s="31">
        <v>45</v>
      </c>
      <c r="D59" s="31">
        <f>60/C59</f>
        <v>1.3333333333333333</v>
      </c>
      <c r="E59" s="31">
        <v>20</v>
      </c>
      <c r="F59" s="29">
        <f>B59/(D59*E59)</f>
        <v>1.5500000000000003</v>
      </c>
      <c r="G59">
        <f>ROUND(F59,0)</f>
        <v>2</v>
      </c>
      <c r="H59">
        <f>G59*D59*E59</f>
        <v>53.333333333333329</v>
      </c>
    </row>
    <row r="60" spans="1:10" x14ac:dyDescent="0.25">
      <c r="A60" t="s">
        <v>67</v>
      </c>
      <c r="B60" s="31">
        <f>150/3</f>
        <v>50</v>
      </c>
      <c r="C60" s="31">
        <v>20</v>
      </c>
      <c r="D60" s="31">
        <f>60/C60</f>
        <v>3</v>
      </c>
      <c r="E60" s="31">
        <v>20</v>
      </c>
      <c r="F60" s="29">
        <f>B60/(D60*E60)</f>
        <v>0.83333333333333337</v>
      </c>
      <c r="G60">
        <f t="shared" ref="G60:G63" si="39">ROUND(F60,0)</f>
        <v>1</v>
      </c>
      <c r="H60">
        <f>G60*D60*E60</f>
        <v>60</v>
      </c>
    </row>
    <row r="61" spans="1:10" x14ac:dyDescent="0.25">
      <c r="A61" t="s">
        <v>68</v>
      </c>
      <c r="B61" s="32">
        <f>30/3</f>
        <v>10</v>
      </c>
      <c r="C61" s="32">
        <v>30</v>
      </c>
      <c r="D61" s="31">
        <f>60/C61</f>
        <v>2</v>
      </c>
      <c r="E61" s="31">
        <v>20</v>
      </c>
      <c r="F61" s="29">
        <f>B61/(D61*E61)</f>
        <v>0.25</v>
      </c>
      <c r="G61">
        <v>1</v>
      </c>
      <c r="H61">
        <f>G61*D61*E61</f>
        <v>40</v>
      </c>
    </row>
    <row r="62" spans="1:10" x14ac:dyDescent="0.25">
      <c r="A62" t="s">
        <v>69</v>
      </c>
      <c r="B62" s="31">
        <f>20/3</f>
        <v>6.666666666666667</v>
      </c>
      <c r="C62" s="31">
        <v>20</v>
      </c>
      <c r="D62" s="31">
        <f>60/C62</f>
        <v>3</v>
      </c>
      <c r="E62" s="31">
        <v>20</v>
      </c>
      <c r="F62" s="29">
        <f>B62/(D62*E62)</f>
        <v>0.11111111111111112</v>
      </c>
      <c r="G62">
        <v>1</v>
      </c>
      <c r="H62">
        <f>G62*D62*E62</f>
        <v>60</v>
      </c>
    </row>
    <row r="63" spans="1:10" x14ac:dyDescent="0.25">
      <c r="A63" t="s">
        <v>70</v>
      </c>
      <c r="B63" s="31">
        <f>120/3</f>
        <v>40</v>
      </c>
      <c r="C63" s="31">
        <v>30</v>
      </c>
      <c r="D63" s="31">
        <f>60/C63</f>
        <v>2</v>
      </c>
      <c r="E63" s="31">
        <v>20</v>
      </c>
      <c r="F63" s="29">
        <f>B63/(D63*E63)</f>
        <v>1</v>
      </c>
      <c r="G63">
        <f t="shared" si="39"/>
        <v>1</v>
      </c>
      <c r="H63">
        <f>G63*D63*E63</f>
        <v>40</v>
      </c>
    </row>
  </sheetData>
  <mergeCells count="1">
    <mergeCell ref="A41:B41"/>
  </mergeCell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O44"/>
  <sheetViews>
    <sheetView workbookViewId="0">
      <selection activeCell="G16" sqref="G16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.42578125" customWidth="1"/>
    <col min="12" max="12" width="40.28515625" customWidth="1"/>
    <col min="13" max="13" width="6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9" spans="5:9" x14ac:dyDescent="0.25">
      <c r="E9" s="96" t="s">
        <v>32</v>
      </c>
      <c r="F9" s="96"/>
      <c r="G9" s="96"/>
      <c r="H9" s="96"/>
      <c r="I9" s="96"/>
    </row>
    <row r="11" spans="5:9" ht="28.5" x14ac:dyDescent="0.25">
      <c r="E11" s="1" t="s">
        <v>13</v>
      </c>
      <c r="F11" s="1" t="s">
        <v>14</v>
      </c>
      <c r="G11" s="1" t="s">
        <v>15</v>
      </c>
      <c r="H11" s="1" t="s">
        <v>16</v>
      </c>
      <c r="I11" s="1" t="s">
        <v>17</v>
      </c>
    </row>
    <row r="12" spans="5:9" ht="15.75" x14ac:dyDescent="0.25">
      <c r="E12" s="2" t="s">
        <v>0</v>
      </c>
      <c r="F12" s="3" t="s">
        <v>23</v>
      </c>
      <c r="G12" s="4">
        <v>368</v>
      </c>
      <c r="H12" s="3">
        <f>121*3</f>
        <v>363</v>
      </c>
      <c r="I12" s="5">
        <f>1-G12/H12</f>
        <v>-1.377410468319562E-2</v>
      </c>
    </row>
    <row r="13" spans="5:9" ht="31.5" x14ac:dyDescent="0.25">
      <c r="E13" s="2" t="s">
        <v>1</v>
      </c>
      <c r="F13" s="3" t="s">
        <v>22</v>
      </c>
      <c r="G13" s="4">
        <v>251</v>
      </c>
      <c r="H13" s="3">
        <f>82*3</f>
        <v>246</v>
      </c>
      <c r="I13" s="5">
        <f t="shared" ref="I13:I18" si="0">1-G13/H13</f>
        <v>-2.0325203252032464E-2</v>
      </c>
    </row>
    <row r="14" spans="5:9" ht="31.5" x14ac:dyDescent="0.25">
      <c r="E14" s="2" t="s">
        <v>2</v>
      </c>
      <c r="F14" s="3" t="s">
        <v>25</v>
      </c>
      <c r="G14" s="4">
        <v>251</v>
      </c>
      <c r="H14" s="3">
        <f>82*3</f>
        <v>246</v>
      </c>
      <c r="I14" s="5">
        <f t="shared" si="0"/>
        <v>-2.0325203252032464E-2</v>
      </c>
    </row>
    <row r="15" spans="5:9" ht="15.75" x14ac:dyDescent="0.25">
      <c r="E15" s="2" t="s">
        <v>3</v>
      </c>
      <c r="F15" s="3" t="s">
        <v>18</v>
      </c>
      <c r="G15" s="4">
        <v>175</v>
      </c>
      <c r="H15" s="3">
        <f>56*3</f>
        <v>168</v>
      </c>
      <c r="I15" s="6">
        <f t="shared" si="0"/>
        <v>-4.1666666666666741E-2</v>
      </c>
    </row>
    <row r="16" spans="5:9" ht="31.5" x14ac:dyDescent="0.25">
      <c r="E16" s="2" t="s">
        <v>19</v>
      </c>
      <c r="F16" s="3" t="s">
        <v>21</v>
      </c>
      <c r="G16" s="4">
        <v>159</v>
      </c>
      <c r="H16" s="4">
        <f>56*3</f>
        <v>168</v>
      </c>
      <c r="I16" s="5">
        <f t="shared" si="0"/>
        <v>5.3571428571428603E-2</v>
      </c>
    </row>
    <row r="17" spans="5:9" ht="47.25" x14ac:dyDescent="0.25">
      <c r="E17" s="2" t="s">
        <v>5</v>
      </c>
      <c r="F17" s="3" t="s">
        <v>20</v>
      </c>
      <c r="G17" s="4">
        <v>73</v>
      </c>
      <c r="H17" s="3">
        <f>25*3</f>
        <v>75</v>
      </c>
      <c r="I17" s="5">
        <f t="shared" si="0"/>
        <v>2.6666666666666616E-2</v>
      </c>
    </row>
    <row r="18" spans="5:9" ht="15.75" x14ac:dyDescent="0.25">
      <c r="E18" s="2" t="s">
        <v>6</v>
      </c>
      <c r="F18" s="3" t="s">
        <v>24</v>
      </c>
      <c r="G18" s="4">
        <v>326</v>
      </c>
      <c r="H18" s="3">
        <f>104*3</f>
        <v>312</v>
      </c>
      <c r="I18" s="5">
        <f t="shared" si="0"/>
        <v>-4.4871794871794934E-2</v>
      </c>
    </row>
    <row r="23" spans="5:9" x14ac:dyDescent="0.25">
      <c r="E23" s="96" t="s">
        <v>30</v>
      </c>
      <c r="F23" s="96"/>
      <c r="G23" s="96"/>
      <c r="H23" s="96"/>
      <c r="I23" s="96"/>
    </row>
    <row r="25" spans="5:9" x14ac:dyDescent="0.25">
      <c r="E25" s="8" t="s">
        <v>13</v>
      </c>
      <c r="F25" s="8" t="s">
        <v>14</v>
      </c>
      <c r="G25" s="8" t="s">
        <v>15</v>
      </c>
      <c r="H25" s="8" t="s">
        <v>16</v>
      </c>
      <c r="I25" s="8" t="s">
        <v>17</v>
      </c>
    </row>
    <row r="26" spans="5:9" ht="15.75" x14ac:dyDescent="0.25">
      <c r="E26" s="13" t="s">
        <v>0</v>
      </c>
      <c r="F26" s="12" t="s">
        <v>23</v>
      </c>
      <c r="G26" s="10">
        <f>5*368</f>
        <v>1840</v>
      </c>
      <c r="H26" s="9">
        <f>721*3</f>
        <v>2163</v>
      </c>
      <c r="I26" s="11">
        <f>1-G26/H26</f>
        <v>0.14932963476652794</v>
      </c>
    </row>
    <row r="27" spans="5:9" ht="15.75" x14ac:dyDescent="0.25">
      <c r="E27" s="13" t="s">
        <v>1</v>
      </c>
      <c r="F27" s="12" t="s">
        <v>22</v>
      </c>
      <c r="G27" s="10">
        <f>5*251</f>
        <v>1255</v>
      </c>
      <c r="H27" s="9">
        <f>3*464</f>
        <v>1392</v>
      </c>
      <c r="I27" s="11">
        <f t="shared" ref="I27:I32" si="1">1-G27/H27</f>
        <v>9.8419540229885083E-2</v>
      </c>
    </row>
    <row r="28" spans="5:9" ht="15.75" x14ac:dyDescent="0.25">
      <c r="E28" s="13" t="s">
        <v>2</v>
      </c>
      <c r="F28" s="12" t="s">
        <v>25</v>
      </c>
      <c r="G28" s="10">
        <f>5*251</f>
        <v>1255</v>
      </c>
      <c r="H28" s="9">
        <f>3*462</f>
        <v>1386</v>
      </c>
      <c r="I28" s="11">
        <f t="shared" si="1"/>
        <v>9.4516594516594554E-2</v>
      </c>
    </row>
    <row r="29" spans="5:9" ht="15.75" x14ac:dyDescent="0.25">
      <c r="E29" s="13" t="s">
        <v>3</v>
      </c>
      <c r="F29" s="12" t="s">
        <v>18</v>
      </c>
      <c r="G29" s="10">
        <f>5*175</f>
        <v>875</v>
      </c>
      <c r="H29" s="9">
        <f>3*314</f>
        <v>942</v>
      </c>
      <c r="I29" s="7">
        <f t="shared" si="1"/>
        <v>7.1125265392781301E-2</v>
      </c>
    </row>
    <row r="30" spans="5:9" ht="15.75" x14ac:dyDescent="0.25">
      <c r="E30" s="13" t="s">
        <v>19</v>
      </c>
      <c r="F30" s="12" t="s">
        <v>21</v>
      </c>
      <c r="G30" s="10">
        <f>5*159</f>
        <v>795</v>
      </c>
      <c r="H30" s="9">
        <f>3*330</f>
        <v>990</v>
      </c>
      <c r="I30" s="11">
        <f t="shared" si="1"/>
        <v>0.19696969696969702</v>
      </c>
    </row>
    <row r="31" spans="5:9" ht="15.75" x14ac:dyDescent="0.25">
      <c r="E31" s="13" t="s">
        <v>5</v>
      </c>
      <c r="F31" s="12" t="s">
        <v>20</v>
      </c>
      <c r="G31" s="10">
        <f>5*73</f>
        <v>365</v>
      </c>
      <c r="H31" s="9">
        <f>3*141</f>
        <v>423</v>
      </c>
      <c r="I31" s="11">
        <f t="shared" si="1"/>
        <v>0.13711583924349879</v>
      </c>
    </row>
    <row r="32" spans="5:9" ht="15.75" x14ac:dyDescent="0.25">
      <c r="E32" s="13" t="s">
        <v>6</v>
      </c>
      <c r="F32" s="12" t="s">
        <v>24</v>
      </c>
      <c r="G32" s="10">
        <f>5*326</f>
        <v>1630</v>
      </c>
      <c r="H32" s="9">
        <f>3*599</f>
        <v>1797</v>
      </c>
      <c r="I32" s="11">
        <f t="shared" si="1"/>
        <v>9.2932665553700611E-2</v>
      </c>
    </row>
    <row r="35" spans="5:15" x14ac:dyDescent="0.25">
      <c r="E35" s="96" t="s">
        <v>31</v>
      </c>
      <c r="F35" s="96"/>
      <c r="G35" s="96"/>
      <c r="H35" s="96"/>
      <c r="I35" s="96"/>
    </row>
    <row r="37" spans="5:15" x14ac:dyDescent="0.25">
      <c r="E37" s="8" t="s">
        <v>13</v>
      </c>
      <c r="F37" s="8" t="s">
        <v>14</v>
      </c>
      <c r="G37" s="8" t="s">
        <v>15</v>
      </c>
      <c r="H37" s="8" t="s">
        <v>16</v>
      </c>
      <c r="I37" s="8" t="s">
        <v>17</v>
      </c>
      <c r="L37" s="14" t="s">
        <v>26</v>
      </c>
      <c r="M37" s="14" t="s">
        <v>27</v>
      </c>
      <c r="N37" s="14" t="s">
        <v>28</v>
      </c>
      <c r="O37" s="14" t="s">
        <v>29</v>
      </c>
    </row>
    <row r="38" spans="5:15" ht="15.75" x14ac:dyDescent="0.25">
      <c r="E38" s="13" t="s">
        <v>0</v>
      </c>
      <c r="F38" s="12" t="s">
        <v>23</v>
      </c>
      <c r="G38" s="10">
        <f>5*368</f>
        <v>1840</v>
      </c>
      <c r="H38" s="9">
        <v>2109</v>
      </c>
      <c r="I38" s="11">
        <f>1-G38/H38</f>
        <v>0.12754860123281175</v>
      </c>
      <c r="L38" s="14" t="s">
        <v>20</v>
      </c>
      <c r="M38" s="14">
        <v>377</v>
      </c>
      <c r="N38" s="14">
        <v>27</v>
      </c>
      <c r="O38" s="14">
        <v>0</v>
      </c>
    </row>
    <row r="39" spans="5:15" ht="15.75" x14ac:dyDescent="0.25">
      <c r="E39" s="13" t="s">
        <v>1</v>
      </c>
      <c r="F39" s="12" t="s">
        <v>22</v>
      </c>
      <c r="G39" s="10">
        <f>5*251</f>
        <v>1255</v>
      </c>
      <c r="H39" s="14">
        <v>1315</v>
      </c>
      <c r="I39" s="11">
        <f t="shared" ref="I39:I44" si="2">1-G39/H39</f>
        <v>4.5627376425855459E-2</v>
      </c>
      <c r="L39" s="14" t="s">
        <v>21</v>
      </c>
      <c r="M39" s="14">
        <v>998</v>
      </c>
      <c r="N39" s="14">
        <v>1</v>
      </c>
      <c r="O39" s="14">
        <v>0</v>
      </c>
    </row>
    <row r="40" spans="5:15" ht="15.75" x14ac:dyDescent="0.25">
      <c r="E40" s="13" t="s">
        <v>2</v>
      </c>
      <c r="F40" s="12" t="s">
        <v>25</v>
      </c>
      <c r="G40" s="10">
        <f>5*251</f>
        <v>1255</v>
      </c>
      <c r="H40" s="9">
        <v>1315</v>
      </c>
      <c r="I40" s="11">
        <f t="shared" si="2"/>
        <v>4.5627376425855459E-2</v>
      </c>
      <c r="L40" s="14" t="s">
        <v>22</v>
      </c>
      <c r="M40" s="14" t="s">
        <v>33</v>
      </c>
      <c r="N40" s="14">
        <v>0</v>
      </c>
      <c r="O40" s="14">
        <v>0</v>
      </c>
    </row>
    <row r="41" spans="5:15" ht="15.75" x14ac:dyDescent="0.25">
      <c r="E41" s="13" t="s">
        <v>3</v>
      </c>
      <c r="F41" s="12" t="s">
        <v>18</v>
      </c>
      <c r="G41" s="10">
        <f>5*175</f>
        <v>875</v>
      </c>
      <c r="H41" s="14">
        <v>924</v>
      </c>
      <c r="I41" s="7">
        <f t="shared" si="2"/>
        <v>5.3030303030302983E-2</v>
      </c>
      <c r="L41" s="14" t="s">
        <v>23</v>
      </c>
      <c r="M41" s="14" t="s">
        <v>34</v>
      </c>
      <c r="N41" s="14">
        <v>139</v>
      </c>
      <c r="O41" s="14">
        <v>0</v>
      </c>
    </row>
    <row r="42" spans="5:15" ht="15.75" x14ac:dyDescent="0.25">
      <c r="E42" s="13" t="s">
        <v>19</v>
      </c>
      <c r="F42" s="12" t="s">
        <v>21</v>
      </c>
      <c r="G42" s="10">
        <f>5*159</f>
        <v>795</v>
      </c>
      <c r="H42" s="14">
        <v>998</v>
      </c>
      <c r="I42" s="11">
        <f t="shared" si="2"/>
        <v>0.20340681362725455</v>
      </c>
      <c r="L42" s="14" t="s">
        <v>24</v>
      </c>
      <c r="M42" s="14" t="s">
        <v>35</v>
      </c>
      <c r="N42" s="14">
        <v>1</v>
      </c>
      <c r="O42" s="14">
        <v>0</v>
      </c>
    </row>
    <row r="43" spans="5:15" ht="15.75" x14ac:dyDescent="0.25">
      <c r="E43" s="13" t="s">
        <v>5</v>
      </c>
      <c r="F43" s="12" t="s">
        <v>20</v>
      </c>
      <c r="G43" s="10">
        <f>5*73</f>
        <v>365</v>
      </c>
      <c r="H43" s="14">
        <v>404</v>
      </c>
      <c r="I43" s="11">
        <f t="shared" si="2"/>
        <v>9.6534653465346509E-2</v>
      </c>
      <c r="L43" s="14" t="s">
        <v>18</v>
      </c>
      <c r="M43" s="14">
        <v>924</v>
      </c>
      <c r="N43" s="14">
        <v>0</v>
      </c>
      <c r="O43" s="14">
        <v>0</v>
      </c>
    </row>
    <row r="44" spans="5:15" ht="15.75" x14ac:dyDescent="0.25">
      <c r="E44" s="13" t="s">
        <v>6</v>
      </c>
      <c r="F44" s="12" t="s">
        <v>24</v>
      </c>
      <c r="G44" s="10">
        <f>5*326</f>
        <v>1630</v>
      </c>
      <c r="H44" s="9">
        <v>1675</v>
      </c>
      <c r="I44" s="11">
        <f t="shared" si="2"/>
        <v>2.68656716417911E-2</v>
      </c>
      <c r="L44" s="14" t="s">
        <v>25</v>
      </c>
      <c r="M44" s="14" t="s">
        <v>33</v>
      </c>
      <c r="N44" s="14">
        <v>0</v>
      </c>
      <c r="O44" s="14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D18" sqref="D18"/>
    </sheetView>
  </sheetViews>
  <sheetFormatPr defaultRowHeight="15" x14ac:dyDescent="0.25"/>
  <cols>
    <col min="1" max="1" width="48.42578125" bestFit="1" customWidth="1"/>
    <col min="2" max="2" width="30.85546875" customWidth="1"/>
    <col min="3" max="3" width="16" bestFit="1" customWidth="1"/>
  </cols>
  <sheetData>
    <row r="1" spans="1:3" x14ac:dyDescent="0.25">
      <c r="A1" t="s">
        <v>62</v>
      </c>
      <c r="B1" s="91" t="s">
        <v>87</v>
      </c>
      <c r="C1" s="91"/>
    </row>
    <row r="2" spans="1:3" x14ac:dyDescent="0.25">
      <c r="A2" t="s">
        <v>0</v>
      </c>
      <c r="B2" s="91" t="s">
        <v>89</v>
      </c>
      <c r="C2" s="91"/>
    </row>
    <row r="3" spans="1:3" x14ac:dyDescent="0.25">
      <c r="A3" t="s">
        <v>77</v>
      </c>
      <c r="B3" s="91" t="s">
        <v>85</v>
      </c>
      <c r="C3" s="91"/>
    </row>
    <row r="4" spans="1:3" x14ac:dyDescent="0.25">
      <c r="A4" t="s">
        <v>10</v>
      </c>
      <c r="B4" s="91" t="s">
        <v>86</v>
      </c>
      <c r="C4" s="91"/>
    </row>
    <row r="5" spans="1:3" x14ac:dyDescent="0.25">
      <c r="A5" t="s">
        <v>11</v>
      </c>
      <c r="B5" s="91" t="s">
        <v>91</v>
      </c>
      <c r="C5" s="91"/>
    </row>
    <row r="6" spans="1:3" x14ac:dyDescent="0.25">
      <c r="A6" t="s">
        <v>3</v>
      </c>
      <c r="B6" s="91" t="s">
        <v>83</v>
      </c>
      <c r="C6" s="91"/>
    </row>
    <row r="7" spans="1:3" x14ac:dyDescent="0.25">
      <c r="A7" t="s">
        <v>4</v>
      </c>
      <c r="B7" s="100" t="s">
        <v>88</v>
      </c>
      <c r="C7" s="91"/>
    </row>
    <row r="8" spans="1:3" x14ac:dyDescent="0.25">
      <c r="A8" t="s">
        <v>12</v>
      </c>
      <c r="B8" s="91" t="s">
        <v>84</v>
      </c>
      <c r="C8" s="91"/>
    </row>
    <row r="9" spans="1:3" x14ac:dyDescent="0.25">
      <c r="A9" t="s">
        <v>6</v>
      </c>
      <c r="B9" s="91" t="s">
        <v>90</v>
      </c>
      <c r="C9" s="91"/>
    </row>
    <row r="10" spans="1:3" x14ac:dyDescent="0.25">
      <c r="A10" t="s">
        <v>64</v>
      </c>
      <c r="B10" s="91" t="s">
        <v>93</v>
      </c>
      <c r="C10" s="91"/>
    </row>
    <row r="11" spans="1:3" x14ac:dyDescent="0.25">
      <c r="A11" t="s">
        <v>63</v>
      </c>
      <c r="B11" s="91" t="s">
        <v>94</v>
      </c>
      <c r="C11" s="91"/>
    </row>
    <row r="12" spans="1:3" x14ac:dyDescent="0.25">
      <c r="A12" t="s">
        <v>80</v>
      </c>
      <c r="B12" s="91" t="s">
        <v>92</v>
      </c>
      <c r="C12" s="9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A10" sqref="A10:I10"/>
    </sheetView>
  </sheetViews>
  <sheetFormatPr defaultRowHeight="15" x14ac:dyDescent="0.25"/>
  <cols>
    <col min="1" max="1" width="34.7109375" bestFit="1" customWidth="1"/>
    <col min="2" max="2" width="10" bestFit="1" customWidth="1"/>
    <col min="3" max="3" width="9.5703125" bestFit="1" customWidth="1"/>
    <col min="4" max="4" width="8.28515625" bestFit="1" customWidth="1"/>
    <col min="5" max="5" width="9.85546875" bestFit="1" customWidth="1"/>
    <col min="6" max="6" width="13.5703125" bestFit="1" customWidth="1"/>
    <col min="7" max="7" width="10.28515625" bestFit="1" customWidth="1"/>
    <col min="8" max="8" width="8.5703125" customWidth="1"/>
    <col min="9" max="9" width="4.140625" bestFit="1" customWidth="1"/>
    <col min="10" max="10" width="5" bestFit="1" customWidth="1"/>
    <col min="11" max="11" width="7.140625" bestFit="1" customWidth="1"/>
    <col min="13" max="13" width="17.7109375" bestFit="1" customWidth="1"/>
  </cols>
  <sheetData>
    <row r="1" spans="1:13" x14ac:dyDescent="0.25">
      <c r="A1" s="66" t="s">
        <v>26</v>
      </c>
      <c r="B1" s="66" t="s">
        <v>95</v>
      </c>
      <c r="C1" s="66" t="s">
        <v>96</v>
      </c>
      <c r="D1" s="66" t="s">
        <v>97</v>
      </c>
      <c r="E1" s="66" t="s">
        <v>98</v>
      </c>
      <c r="F1" s="66" t="s">
        <v>99</v>
      </c>
      <c r="G1" s="66" t="s">
        <v>100</v>
      </c>
      <c r="H1" s="66" t="s">
        <v>27</v>
      </c>
      <c r="I1" s="66" t="s">
        <v>28</v>
      </c>
      <c r="J1" s="66" t="s">
        <v>29</v>
      </c>
      <c r="K1" s="92"/>
      <c r="M1" t="s">
        <v>109</v>
      </c>
    </row>
    <row r="2" spans="1:13" x14ac:dyDescent="0.25">
      <c r="A2" s="66" t="s">
        <v>101</v>
      </c>
      <c r="B2" s="66" t="s">
        <v>102</v>
      </c>
      <c r="C2" s="66">
        <v>0.34799999999999998</v>
      </c>
      <c r="D2" s="66">
        <v>0.57899999999999996</v>
      </c>
      <c r="E2" s="66">
        <v>3.7370000000000001</v>
      </c>
      <c r="F2" s="66">
        <v>0.47</v>
      </c>
      <c r="G2" s="66">
        <v>1.419</v>
      </c>
      <c r="H2" s="66">
        <v>341</v>
      </c>
      <c r="I2" s="66">
        <v>0</v>
      </c>
      <c r="J2" s="66">
        <v>0</v>
      </c>
      <c r="K2" s="93">
        <f t="shared" ref="K2:K20" si="0">I2/H2</f>
        <v>0</v>
      </c>
      <c r="M2" s="66">
        <v>341</v>
      </c>
    </row>
    <row r="3" spans="1:13" x14ac:dyDescent="0.25">
      <c r="A3" s="66" t="s">
        <v>103</v>
      </c>
      <c r="B3" s="66" t="s">
        <v>102</v>
      </c>
      <c r="C3" s="66">
        <v>0.69399999999999995</v>
      </c>
      <c r="D3" s="66">
        <v>0.88700000000000001</v>
      </c>
      <c r="E3" s="66">
        <v>3.6989999999999998</v>
      </c>
      <c r="F3" s="66">
        <v>0.45100000000000001</v>
      </c>
      <c r="G3" s="66">
        <v>1.2669999999999999</v>
      </c>
      <c r="H3" s="66">
        <v>183</v>
      </c>
      <c r="I3" s="66">
        <v>0</v>
      </c>
      <c r="J3" s="66">
        <v>0</v>
      </c>
      <c r="K3" s="93">
        <f t="shared" si="0"/>
        <v>0</v>
      </c>
      <c r="M3" s="66">
        <v>183</v>
      </c>
    </row>
    <row r="4" spans="1:13" x14ac:dyDescent="0.25">
      <c r="A4" s="66" t="s">
        <v>104</v>
      </c>
      <c r="B4" s="66" t="s">
        <v>102</v>
      </c>
      <c r="C4" s="66">
        <v>0.376</v>
      </c>
      <c r="D4" s="66">
        <v>0.56699999999999995</v>
      </c>
      <c r="E4" s="66">
        <v>3.9079999999999999</v>
      </c>
      <c r="F4" s="66">
        <v>0.45800000000000002</v>
      </c>
      <c r="G4" s="66">
        <v>0.87</v>
      </c>
      <c r="H4" s="66">
        <v>423</v>
      </c>
      <c r="I4" s="66">
        <v>0</v>
      </c>
      <c r="J4" s="66">
        <v>0</v>
      </c>
      <c r="K4" s="93">
        <f t="shared" si="0"/>
        <v>0</v>
      </c>
      <c r="M4" s="66">
        <v>423</v>
      </c>
    </row>
    <row r="5" spans="1:13" x14ac:dyDescent="0.25">
      <c r="A5" s="66" t="s">
        <v>105</v>
      </c>
      <c r="B5" s="66" t="s">
        <v>102</v>
      </c>
      <c r="C5" s="66">
        <v>0.627</v>
      </c>
      <c r="D5" s="66">
        <v>0.83799999999999997</v>
      </c>
      <c r="E5" s="66">
        <v>3.661</v>
      </c>
      <c r="F5" s="66">
        <v>0.372</v>
      </c>
      <c r="G5" s="66">
        <v>1.347</v>
      </c>
      <c r="H5" s="66">
        <v>449</v>
      </c>
      <c r="I5" s="66">
        <v>0</v>
      </c>
      <c r="J5" s="66">
        <v>0</v>
      </c>
      <c r="K5" s="93">
        <f t="shared" si="0"/>
        <v>0</v>
      </c>
      <c r="M5" s="66">
        <v>449</v>
      </c>
    </row>
    <row r="6" spans="1:13" x14ac:dyDescent="0.25">
      <c r="A6" s="66" t="s">
        <v>106</v>
      </c>
      <c r="B6" s="66" t="s">
        <v>102</v>
      </c>
      <c r="C6" s="66">
        <v>0.432</v>
      </c>
      <c r="D6" s="66">
        <v>0.56499999999999995</v>
      </c>
      <c r="E6" s="66">
        <v>2.843</v>
      </c>
      <c r="F6" s="66">
        <v>0.34</v>
      </c>
      <c r="G6" s="66">
        <v>0.75900000000000001</v>
      </c>
      <c r="H6" s="66">
        <v>216</v>
      </c>
      <c r="I6" s="66">
        <v>1</v>
      </c>
      <c r="J6" s="66">
        <v>0</v>
      </c>
      <c r="K6" s="93">
        <f t="shared" si="0"/>
        <v>4.6296296296296294E-3</v>
      </c>
      <c r="M6" s="66">
        <v>216</v>
      </c>
    </row>
    <row r="7" spans="1:13" x14ac:dyDescent="0.25">
      <c r="A7" s="66" t="s">
        <v>107</v>
      </c>
      <c r="B7" s="66" t="s">
        <v>102</v>
      </c>
      <c r="C7" s="66">
        <v>0.40899999999999997</v>
      </c>
      <c r="D7" s="66">
        <v>0.63800000000000001</v>
      </c>
      <c r="E7" s="66">
        <v>4.2670000000000003</v>
      </c>
      <c r="F7" s="66">
        <v>0.56699999999999995</v>
      </c>
      <c r="G7" s="66">
        <v>1.0640000000000001</v>
      </c>
      <c r="H7" s="66">
        <v>72</v>
      </c>
      <c r="I7" s="66">
        <v>0</v>
      </c>
      <c r="J7" s="66">
        <v>0</v>
      </c>
      <c r="K7" s="93">
        <f t="shared" si="0"/>
        <v>0</v>
      </c>
      <c r="M7" s="66">
        <v>72</v>
      </c>
    </row>
    <row r="8" spans="1:13" x14ac:dyDescent="0.25">
      <c r="A8" s="66" t="s">
        <v>108</v>
      </c>
      <c r="B8" s="66" t="s">
        <v>102</v>
      </c>
      <c r="C8" s="66">
        <v>0.187</v>
      </c>
      <c r="D8" s="66">
        <v>0.29299999999999998</v>
      </c>
      <c r="E8" s="66">
        <v>2.6190000000000002</v>
      </c>
      <c r="F8" s="66">
        <v>0.35299999999999998</v>
      </c>
      <c r="G8" s="66">
        <v>0.46899999999999997</v>
      </c>
      <c r="H8" s="66">
        <v>188</v>
      </c>
      <c r="I8" s="66">
        <v>0</v>
      </c>
      <c r="J8" s="66">
        <v>0</v>
      </c>
      <c r="K8" s="93">
        <f t="shared" si="0"/>
        <v>0</v>
      </c>
      <c r="M8" s="66">
        <v>188</v>
      </c>
    </row>
    <row r="9" spans="1:13" x14ac:dyDescent="0.25">
      <c r="A9" s="66" t="s">
        <v>83</v>
      </c>
      <c r="B9" s="66" t="s">
        <v>102</v>
      </c>
      <c r="C9" s="66">
        <v>4.5999999999999999E-2</v>
      </c>
      <c r="D9" s="66">
        <v>5.8000000000000003E-2</v>
      </c>
      <c r="E9" s="66">
        <v>1.454</v>
      </c>
      <c r="F9" s="66">
        <v>7.8E-2</v>
      </c>
      <c r="G9" s="66">
        <v>5.6000000000000001E-2</v>
      </c>
      <c r="H9" s="66">
        <v>632</v>
      </c>
      <c r="I9" s="66">
        <v>0</v>
      </c>
      <c r="J9" s="66">
        <v>0</v>
      </c>
      <c r="K9" s="93">
        <f t="shared" si="0"/>
        <v>0</v>
      </c>
      <c r="M9" s="66">
        <v>632</v>
      </c>
    </row>
    <row r="10" spans="1:13" x14ac:dyDescent="0.25">
      <c r="A10" s="66" t="s">
        <v>84</v>
      </c>
      <c r="B10" s="66" t="s">
        <v>102</v>
      </c>
      <c r="C10" s="66">
        <v>4.2000000000000003E-2</v>
      </c>
      <c r="D10" s="66">
        <v>7.3999999999999996E-2</v>
      </c>
      <c r="E10" s="66">
        <v>0.79800000000000004</v>
      </c>
      <c r="F10" s="66">
        <v>6.7000000000000004E-2</v>
      </c>
      <c r="G10" s="66">
        <v>8.2000000000000003E-2</v>
      </c>
      <c r="H10" s="66">
        <v>215</v>
      </c>
      <c r="I10" s="66">
        <v>1</v>
      </c>
      <c r="J10" s="66">
        <v>0</v>
      </c>
      <c r="K10" s="93">
        <f t="shared" si="0"/>
        <v>4.6511627906976744E-3</v>
      </c>
      <c r="M10" s="66">
        <v>215</v>
      </c>
    </row>
    <row r="11" spans="1:13" x14ac:dyDescent="0.25">
      <c r="A11" s="66" t="s">
        <v>85</v>
      </c>
      <c r="B11" s="66" t="s">
        <v>102</v>
      </c>
      <c r="C11" s="66">
        <v>9.5000000000000001E-2</v>
      </c>
      <c r="D11" s="66">
        <v>0.16500000000000001</v>
      </c>
      <c r="E11" s="66">
        <v>3.3370000000000002</v>
      </c>
      <c r="F11" s="66">
        <v>0.20799999999999999</v>
      </c>
      <c r="G11" s="66">
        <v>0.14299999999999999</v>
      </c>
      <c r="H11" s="66">
        <v>1129</v>
      </c>
      <c r="I11" s="66">
        <v>0</v>
      </c>
      <c r="J11" s="66">
        <v>0</v>
      </c>
      <c r="K11" s="93">
        <f t="shared" si="0"/>
        <v>0</v>
      </c>
      <c r="M11" s="66">
        <v>1129</v>
      </c>
    </row>
    <row r="12" spans="1:13" x14ac:dyDescent="0.25">
      <c r="A12" s="66" t="s">
        <v>86</v>
      </c>
      <c r="B12" s="66" t="s">
        <v>102</v>
      </c>
      <c r="C12" s="66">
        <v>4.3999999999999997E-2</v>
      </c>
      <c r="D12" s="66">
        <v>0.05</v>
      </c>
      <c r="E12" s="66">
        <v>1.1479999999999999</v>
      </c>
      <c r="F12" s="66">
        <v>3.5999999999999997E-2</v>
      </c>
      <c r="G12" s="66">
        <v>5.2999999999999999E-2</v>
      </c>
      <c r="H12" s="66">
        <v>1056</v>
      </c>
      <c r="I12" s="66">
        <v>0</v>
      </c>
      <c r="J12" s="66">
        <v>0</v>
      </c>
      <c r="K12" s="93">
        <f t="shared" si="0"/>
        <v>0</v>
      </c>
      <c r="M12" s="66">
        <v>1056</v>
      </c>
    </row>
    <row r="13" spans="1:13" x14ac:dyDescent="0.25">
      <c r="A13" s="66" t="s">
        <v>87</v>
      </c>
      <c r="B13" s="66" t="s">
        <v>102</v>
      </c>
      <c r="C13" s="66">
        <v>8.7999999999999995E-2</v>
      </c>
      <c r="D13" s="66">
        <v>0.127</v>
      </c>
      <c r="E13" s="66">
        <v>2.2570000000000001</v>
      </c>
      <c r="F13" s="66">
        <v>0.16700000000000001</v>
      </c>
      <c r="G13" s="66">
        <v>0.109</v>
      </c>
      <c r="H13" s="66">
        <v>1875</v>
      </c>
      <c r="I13" s="66">
        <v>0</v>
      </c>
      <c r="J13" s="66">
        <v>0</v>
      </c>
      <c r="K13" s="93">
        <f t="shared" si="0"/>
        <v>0</v>
      </c>
      <c r="M13" s="66">
        <v>1875</v>
      </c>
    </row>
    <row r="14" spans="1:13" x14ac:dyDescent="0.25">
      <c r="A14" s="66" t="s">
        <v>88</v>
      </c>
      <c r="B14" s="66" t="s">
        <v>102</v>
      </c>
      <c r="C14" s="66">
        <v>9.5000000000000001E-2</v>
      </c>
      <c r="D14" s="66">
        <v>0.13600000000000001</v>
      </c>
      <c r="E14" s="66">
        <v>1.6839999999999999</v>
      </c>
      <c r="F14" s="66">
        <v>8.5999999999999993E-2</v>
      </c>
      <c r="G14" s="66">
        <v>0.14199999999999999</v>
      </c>
      <c r="H14" s="66">
        <v>923</v>
      </c>
      <c r="I14" s="66">
        <v>0</v>
      </c>
      <c r="J14" s="66">
        <v>0</v>
      </c>
      <c r="K14" s="93">
        <f t="shared" si="0"/>
        <v>0</v>
      </c>
      <c r="M14" s="66">
        <v>923</v>
      </c>
    </row>
    <row r="15" spans="1:13" x14ac:dyDescent="0.25">
      <c r="A15" s="66" t="s">
        <v>89</v>
      </c>
      <c r="B15" s="66" t="s">
        <v>102</v>
      </c>
      <c r="C15" s="66">
        <v>9.4E-2</v>
      </c>
      <c r="D15" s="66">
        <v>0.158</v>
      </c>
      <c r="E15" s="66">
        <v>3.6190000000000002</v>
      </c>
      <c r="F15" s="66">
        <v>0.28100000000000003</v>
      </c>
      <c r="G15" s="66">
        <v>0.113</v>
      </c>
      <c r="H15" s="66">
        <v>1534</v>
      </c>
      <c r="I15" s="66">
        <v>0</v>
      </c>
      <c r="J15" s="66">
        <v>0</v>
      </c>
      <c r="K15" s="93">
        <f t="shared" si="0"/>
        <v>0</v>
      </c>
      <c r="M15" s="66">
        <v>1534</v>
      </c>
    </row>
    <row r="16" spans="1:13" x14ac:dyDescent="0.25">
      <c r="A16" s="66" t="s">
        <v>90</v>
      </c>
      <c r="B16" s="66" t="s">
        <v>102</v>
      </c>
      <c r="C16" s="66">
        <v>7.1999999999999995E-2</v>
      </c>
      <c r="D16" s="66">
        <v>0.109</v>
      </c>
      <c r="E16" s="66">
        <v>2.605</v>
      </c>
      <c r="F16" s="66">
        <v>0.17299999999999999</v>
      </c>
      <c r="G16" s="66">
        <v>8.8999999999999996E-2</v>
      </c>
      <c r="H16" s="66">
        <v>1189</v>
      </c>
      <c r="I16" s="66">
        <v>0</v>
      </c>
      <c r="J16" s="66">
        <v>0</v>
      </c>
      <c r="K16" s="93">
        <f t="shared" si="0"/>
        <v>0</v>
      </c>
      <c r="M16" s="66">
        <v>1189</v>
      </c>
    </row>
    <row r="17" spans="1:13" x14ac:dyDescent="0.25">
      <c r="A17" s="66" t="s">
        <v>91</v>
      </c>
      <c r="B17" s="66" t="s">
        <v>102</v>
      </c>
      <c r="C17" s="66">
        <v>4.4999999999999998E-2</v>
      </c>
      <c r="D17" s="66">
        <v>5.7000000000000002E-2</v>
      </c>
      <c r="E17" s="66">
        <v>0.123</v>
      </c>
      <c r="F17" s="66">
        <v>1.9E-2</v>
      </c>
      <c r="G17" s="66">
        <v>9.5000000000000001E-2</v>
      </c>
      <c r="H17" s="66">
        <v>1056</v>
      </c>
      <c r="I17" s="66">
        <v>0</v>
      </c>
      <c r="J17" s="66">
        <v>0</v>
      </c>
      <c r="K17" s="93">
        <f t="shared" si="0"/>
        <v>0</v>
      </c>
      <c r="M17" s="66">
        <v>1056</v>
      </c>
    </row>
    <row r="18" spans="1:13" x14ac:dyDescent="0.25">
      <c r="A18" s="66" t="s">
        <v>92</v>
      </c>
      <c r="B18" s="66" t="s">
        <v>102</v>
      </c>
      <c r="C18" s="66">
        <v>7.8E-2</v>
      </c>
      <c r="D18" s="66">
        <v>0.193</v>
      </c>
      <c r="E18" s="66">
        <v>1.927</v>
      </c>
      <c r="F18" s="66">
        <v>0.318</v>
      </c>
      <c r="G18" s="66">
        <v>0.214</v>
      </c>
      <c r="H18" s="66">
        <v>342</v>
      </c>
      <c r="I18" s="66">
        <v>0</v>
      </c>
      <c r="J18" s="66">
        <v>0</v>
      </c>
      <c r="K18" s="93">
        <f t="shared" si="0"/>
        <v>0</v>
      </c>
      <c r="M18" s="66">
        <v>342</v>
      </c>
    </row>
    <row r="19" spans="1:13" x14ac:dyDescent="0.25">
      <c r="A19" s="66" t="s">
        <v>93</v>
      </c>
      <c r="B19" s="66" t="s">
        <v>102</v>
      </c>
      <c r="C19" s="66">
        <v>4.5999999999999999E-2</v>
      </c>
      <c r="D19" s="66">
        <v>8.8999999999999996E-2</v>
      </c>
      <c r="E19" s="66">
        <v>1.161</v>
      </c>
      <c r="F19" s="66">
        <v>0.16500000000000001</v>
      </c>
      <c r="G19" s="66">
        <v>6.2E-2</v>
      </c>
      <c r="H19" s="66">
        <v>342</v>
      </c>
      <c r="I19" s="66">
        <v>0</v>
      </c>
      <c r="J19" s="66">
        <v>0</v>
      </c>
      <c r="K19" s="93">
        <f t="shared" si="0"/>
        <v>0</v>
      </c>
      <c r="M19" s="66">
        <v>342</v>
      </c>
    </row>
    <row r="20" spans="1:13" x14ac:dyDescent="0.25">
      <c r="A20" s="66" t="s">
        <v>94</v>
      </c>
      <c r="B20" s="66" t="s">
        <v>102</v>
      </c>
      <c r="C20" s="66">
        <v>0.04</v>
      </c>
      <c r="D20" s="66">
        <v>4.3999999999999997E-2</v>
      </c>
      <c r="E20" s="66">
        <v>6.0999999999999999E-2</v>
      </c>
      <c r="F20" s="66">
        <v>3.0000000000000001E-3</v>
      </c>
      <c r="G20" s="66">
        <v>4.7E-2</v>
      </c>
      <c r="H20" s="66">
        <v>341</v>
      </c>
      <c r="I20" s="66">
        <v>0</v>
      </c>
      <c r="J20" s="66">
        <v>0</v>
      </c>
      <c r="K20" s="93">
        <f t="shared" si="0"/>
        <v>0</v>
      </c>
      <c r="M20" s="66">
        <v>341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Автоматизированный расчет</vt:lpstr>
      <vt:lpstr>Шаблоны соотвествие профилю</vt:lpstr>
      <vt:lpstr>Лист соответствия</vt:lpstr>
      <vt:lpstr>Summary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Сергей Агеев</cp:lastModifiedBy>
  <dcterms:created xsi:type="dcterms:W3CDTF">2015-06-05T18:19:34Z</dcterms:created>
  <dcterms:modified xsi:type="dcterms:W3CDTF">2022-04-11T08:57:07Z</dcterms:modified>
</cp:coreProperties>
</file>