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.nguyenhoang/Desktop/stocks/App/"/>
    </mc:Choice>
  </mc:AlternateContent>
  <xr:revisionPtr revIDLastSave="0" documentId="13_ncr:1_{9F573F5B-110F-B440-A56F-B87BEA7D782E}" xr6:coauthVersionLast="47" xr6:coauthVersionMax="47" xr10:uidLastSave="{00000000-0000-0000-0000-000000000000}"/>
  <bookViews>
    <workbookView xWindow="0" yWindow="760" windowWidth="30240" windowHeight="16920" activeTab="4" xr2:uid="{6E97E035-CD8B-E14F-AE63-F6FF20D3511A}"/>
  </bookViews>
  <sheets>
    <sheet name="HAH2" sheetId="1" r:id="rId1"/>
    <sheet name="Formula" sheetId="3" r:id="rId2"/>
    <sheet name="ThongKe" sheetId="2" r:id="rId3"/>
    <sheet name="HAH" sheetId="4" r:id="rId4"/>
    <sheet name="HPG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4" i="4" l="1"/>
  <c r="J33" i="4"/>
  <c r="E31" i="4"/>
  <c r="E28" i="4"/>
  <c r="D28" i="4"/>
  <c r="B28" i="4"/>
  <c r="C28" i="4" s="1"/>
  <c r="E27" i="4"/>
  <c r="E26" i="4"/>
  <c r="O25" i="4"/>
  <c r="K25" i="4"/>
  <c r="Q34" i="4" s="1"/>
  <c r="J25" i="4"/>
  <c r="P31" i="4" s="1"/>
  <c r="F25" i="4"/>
  <c r="E25" i="4"/>
  <c r="O24" i="4"/>
  <c r="K24" i="4"/>
  <c r="J24" i="4"/>
  <c r="F24" i="4"/>
  <c r="E24" i="4"/>
  <c r="J23" i="4"/>
  <c r="O29" i="4" s="1"/>
  <c r="F22" i="4"/>
  <c r="F26" i="4" s="1"/>
  <c r="G21" i="4"/>
  <c r="G20" i="4"/>
  <c r="G19" i="4"/>
  <c r="D28" i="1"/>
  <c r="E27" i="1"/>
  <c r="E26" i="1"/>
  <c r="E25" i="1"/>
  <c r="E24" i="1"/>
  <c r="R9" i="2" a="1"/>
  <c r="D8" i="2" a="1"/>
  <c r="I9" i="2" a="1"/>
  <c r="S9" i="2" a="1"/>
  <c r="G8" i="2" a="1"/>
  <c r="O8" i="2" a="1"/>
  <c r="S6" i="2" a="1"/>
  <c r="H7" i="2" a="1"/>
  <c r="I11" i="2" a="1"/>
  <c r="K7" i="2" a="1"/>
  <c r="F11" i="2" a="1"/>
  <c r="M10" i="2" a="1"/>
  <c r="G7" i="2" a="1"/>
  <c r="F6" i="2" a="1"/>
  <c r="S11" i="2" a="1"/>
  <c r="I6" i="2" a="1"/>
  <c r="B6" i="2" a="1"/>
  <c r="L10" i="2" a="1"/>
  <c r="F9" i="2" a="1"/>
  <c r="H12" i="2" a="1"/>
  <c r="S12" i="2" a="1"/>
  <c r="O7" i="2" a="1"/>
  <c r="F12" i="2" a="1"/>
  <c r="K6" i="2" a="1"/>
  <c r="B10" i="2" a="1"/>
  <c r="C7" i="2" a="1"/>
  <c r="R7" i="2" a="1"/>
  <c r="B8" i="2" a="1"/>
  <c r="J8" i="2" a="1"/>
  <c r="S10" i="2" a="1"/>
  <c r="J11" i="2" a="1"/>
  <c r="R11" i="2" a="1"/>
  <c r="F10" i="2" a="1"/>
  <c r="H8" i="2" a="1"/>
  <c r="Q10" i="2" a="1"/>
  <c r="O11" i="2" a="1"/>
  <c r="I7" i="2" a="1"/>
  <c r="I10" i="2" a="1"/>
  <c r="B11" i="2" a="1"/>
  <c r="H10" i="2" a="1"/>
  <c r="G12" i="2" a="1"/>
  <c r="O12" i="2" a="1"/>
  <c r="J7" i="2" a="1"/>
  <c r="C6" i="2" a="1"/>
  <c r="F8" i="2" a="1"/>
  <c r="P12" i="2" a="1"/>
  <c r="M11" i="2" a="1"/>
  <c r="S8" i="2" a="1"/>
  <c r="G6" i="2" a="1"/>
  <c r="E9" i="2" a="1"/>
  <c r="P11" i="2" a="1"/>
  <c r="N11" i="2" a="1"/>
  <c r="N7" i="2" a="1"/>
  <c r="C8" i="2" a="1"/>
  <c r="J6" i="2" a="1"/>
  <c r="P6" i="2" a="1"/>
  <c r="C12" i="2" a="1"/>
  <c r="E12" i="2" a="1"/>
  <c r="J12" i="2" a="1"/>
  <c r="R10" i="2" a="1"/>
  <c r="M7" i="2" a="1"/>
  <c r="R6" i="2" a="1"/>
  <c r="Q7" i="2" a="1"/>
  <c r="J9" i="2" a="1"/>
  <c r="I8" i="2" a="1"/>
  <c r="B12" i="2" a="1"/>
  <c r="N10" i="2" a="1"/>
  <c r="P8" i="2" a="1"/>
  <c r="N6" i="2" a="1"/>
  <c r="D6" i="2" a="1"/>
  <c r="M9" i="2" a="1"/>
  <c r="B7" i="2" a="1"/>
  <c r="Q6" i="2" a="1"/>
  <c r="C11" i="2" a="1"/>
  <c r="J10" i="2" a="1"/>
  <c r="D12" i="2" a="1"/>
  <c r="E11" i="2" a="1"/>
  <c r="L12" i="2" a="1"/>
  <c r="L11" i="2" a="1"/>
  <c r="I12" i="2" a="1"/>
  <c r="L9" i="2" a="1"/>
  <c r="G9" i="2" a="1"/>
  <c r="H9" i="2" a="1"/>
  <c r="E6" i="2" a="1"/>
  <c r="N12" i="2" a="1"/>
  <c r="O6" i="2" a="1"/>
  <c r="C9" i="2" a="1"/>
  <c r="H11" i="2" a="1"/>
  <c r="R8" i="2" a="1"/>
  <c r="E8" i="2" a="1"/>
  <c r="N9" i="2" a="1"/>
  <c r="M12" i="2" a="1"/>
  <c r="D7" i="2" a="1"/>
  <c r="P10" i="2" a="1"/>
  <c r="O9" i="2" a="1"/>
  <c r="Q9" i="2" a="1"/>
  <c r="B9" i="2" a="1"/>
  <c r="D11" i="2" a="1"/>
  <c r="N8" i="2" a="1"/>
  <c r="S7" i="2" a="1"/>
  <c r="E10" i="2" a="1"/>
  <c r="M8" i="2" a="1"/>
  <c r="Q12" i="2" a="1"/>
  <c r="Q8" i="2" a="1"/>
  <c r="M6" i="2" a="1"/>
  <c r="R12" i="2" a="1"/>
  <c r="K8" i="2" a="1"/>
  <c r="D10" i="2" a="1"/>
  <c r="P7" i="2" a="1"/>
  <c r="Q11" i="2" a="1"/>
  <c r="G10" i="2" a="1"/>
  <c r="E7" i="2" a="1"/>
  <c r="O10" i="2" a="1"/>
  <c r="G11" i="2" a="1"/>
  <c r="C10" i="2" a="1"/>
  <c r="L7" i="2" a="1"/>
  <c r="L8" i="2" a="1"/>
  <c r="L6" i="2" a="1"/>
  <c r="F7" i="2" a="1"/>
  <c r="H6" i="2" a="1"/>
  <c r="P9" i="2" a="1"/>
  <c r="D9" i="2" a="1"/>
  <c r="S12" i="2" l="1"/>
  <c r="S11" i="2"/>
  <c r="S10" i="2"/>
  <c r="S9" i="2"/>
  <c r="S8" i="2"/>
  <c r="S7" i="2"/>
  <c r="S6" i="2"/>
  <c r="R12" i="2"/>
  <c r="R11" i="2"/>
  <c r="R10" i="2"/>
  <c r="R9" i="2"/>
  <c r="R8" i="2"/>
  <c r="R7" i="2"/>
  <c r="R6" i="2"/>
  <c r="Q12" i="2"/>
  <c r="Q11" i="2"/>
  <c r="Q10" i="2"/>
  <c r="Q9" i="2"/>
  <c r="Q8" i="2"/>
  <c r="Q7" i="2"/>
  <c r="Q6" i="2"/>
  <c r="P12" i="2"/>
  <c r="P11" i="2"/>
  <c r="P10" i="2"/>
  <c r="P9" i="2"/>
  <c r="P8" i="2"/>
  <c r="P7" i="2"/>
  <c r="P6" i="2"/>
  <c r="O12" i="2"/>
  <c r="O11" i="2"/>
  <c r="O10" i="2"/>
  <c r="O9" i="2"/>
  <c r="O8" i="2"/>
  <c r="O7" i="2"/>
  <c r="O6" i="2"/>
  <c r="N12" i="2"/>
  <c r="N11" i="2"/>
  <c r="N10" i="2"/>
  <c r="N9" i="2"/>
  <c r="N8" i="2"/>
  <c r="N7" i="2"/>
  <c r="N6" i="2"/>
  <c r="M12" i="2"/>
  <c r="M11" i="2"/>
  <c r="M10" i="2"/>
  <c r="M9" i="2"/>
  <c r="M8" i="2"/>
  <c r="M7" i="2"/>
  <c r="M6" i="2"/>
  <c r="L10" i="2"/>
  <c r="L9" i="2"/>
  <c r="L8" i="2"/>
  <c r="L7" i="2"/>
  <c r="L6" i="2"/>
  <c r="L11" i="2"/>
  <c r="L12" i="2"/>
  <c r="K6" i="2"/>
  <c r="K7" i="2"/>
  <c r="K8" i="2"/>
  <c r="J6" i="2"/>
  <c r="J7" i="2"/>
  <c r="J8" i="2"/>
  <c r="J9" i="2"/>
  <c r="J10" i="2"/>
  <c r="J11" i="2"/>
  <c r="J12" i="2"/>
  <c r="I6" i="2"/>
  <c r="I7" i="2"/>
  <c r="I8" i="2"/>
  <c r="I9" i="2"/>
  <c r="I10" i="2"/>
  <c r="I11" i="2"/>
  <c r="I12" i="2"/>
  <c r="H7" i="2"/>
  <c r="H8" i="2"/>
  <c r="H9" i="2"/>
  <c r="H10" i="2"/>
  <c r="H11" i="2"/>
  <c r="G6" i="2"/>
  <c r="G7" i="2"/>
  <c r="G8" i="2"/>
  <c r="G9" i="2"/>
  <c r="G10" i="2"/>
  <c r="G11" i="2"/>
  <c r="G12" i="2"/>
  <c r="H6" i="2"/>
  <c r="H12" i="2"/>
  <c r="F6" i="2"/>
  <c r="F7" i="2"/>
  <c r="F8" i="2"/>
  <c r="F9" i="2"/>
  <c r="F10" i="2"/>
  <c r="F11" i="2"/>
  <c r="F12" i="2"/>
  <c r="E6" i="2"/>
  <c r="E7" i="2"/>
  <c r="E8" i="2"/>
  <c r="E9" i="2"/>
  <c r="E10" i="2"/>
  <c r="E11" i="2"/>
  <c r="E12" i="2"/>
  <c r="D6" i="2"/>
  <c r="D7" i="2"/>
  <c r="D8" i="2"/>
  <c r="D9" i="2"/>
  <c r="D10" i="2"/>
  <c r="D11" i="2"/>
  <c r="D12" i="2"/>
  <c r="C6" i="2"/>
  <c r="C7" i="2"/>
  <c r="C8" i="2"/>
  <c r="C9" i="2"/>
  <c r="C10" i="2"/>
  <c r="C11" i="2"/>
  <c r="C12" i="2"/>
  <c r="B6" i="2"/>
  <c r="B7" i="2"/>
  <c r="B8" i="2"/>
  <c r="B9" i="2"/>
  <c r="B10" i="2"/>
  <c r="B11" i="2"/>
  <c r="B12" i="2"/>
  <c r="P29" i="4"/>
  <c r="Q31" i="4"/>
  <c r="F27" i="4"/>
  <c r="F28" i="4" s="1"/>
  <c r="Q29" i="4"/>
  <c r="K23" i="4"/>
  <c r="P34" i="4"/>
  <c r="F31" i="4"/>
  <c r="J30" i="4" s="1"/>
  <c r="E28" i="1"/>
  <c r="J34" i="1"/>
  <c r="J33" i="1"/>
  <c r="H7" i="1"/>
  <c r="H8" i="1"/>
  <c r="H9" i="1"/>
  <c r="H10" i="1"/>
  <c r="H11" i="1"/>
  <c r="H12" i="1"/>
  <c r="H13" i="1"/>
  <c r="J23" i="1" s="1"/>
  <c r="K24" i="1"/>
  <c r="J24" i="1"/>
  <c r="E31" i="1"/>
  <c r="O25" i="1"/>
  <c r="O24" i="1"/>
  <c r="B28" i="1"/>
  <c r="C28" i="1" s="1"/>
  <c r="F22" i="1"/>
  <c r="G21" i="1"/>
  <c r="G20" i="1"/>
  <c r="G19" i="1"/>
  <c r="M22" i="2" a="1"/>
  <c r="A15" i="2" a="1"/>
  <c r="K30" i="4" l="1"/>
  <c r="L30" i="4"/>
  <c r="Q32" i="4"/>
  <c r="P32" i="4"/>
  <c r="O32" i="4"/>
  <c r="A15" i="2"/>
  <c r="M22" i="2"/>
  <c r="K25" i="1"/>
  <c r="K23" i="1"/>
  <c r="O32" i="1" s="1"/>
  <c r="O29" i="1"/>
  <c r="P29" i="1"/>
  <c r="Q29" i="1"/>
  <c r="F24" i="1"/>
  <c r="J25" i="1"/>
  <c r="Q34" i="1"/>
  <c r="F31" i="1"/>
  <c r="F26" i="1"/>
  <c r="Q31" i="1"/>
  <c r="F25" i="1"/>
  <c r="P34" i="1"/>
  <c r="F27" i="1"/>
  <c r="B27" i="2" a="1"/>
  <c r="B27" i="2" l="1"/>
  <c r="J30" i="1"/>
  <c r="K30" i="1" s="1"/>
  <c r="Q32" i="1"/>
  <c r="P31" i="1"/>
  <c r="P32" i="1"/>
  <c r="F28" i="1"/>
  <c r="H22" i="2" a="1"/>
  <c r="A21" i="2" a="1"/>
  <c r="L30" i="1" l="1"/>
  <c r="A21" i="2"/>
  <c r="H22" i="2"/>
  <c r="H16" i="2" a="1"/>
  <c r="H16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<sst xmlns="http://schemas.openxmlformats.org/spreadsheetml/2006/main" count="245" uniqueCount="139">
  <si>
    <t>Báo cáo thu nhập</t>
  </si>
  <si>
    <t>Năm</t>
  </si>
  <si>
    <t>Quý</t>
  </si>
  <si>
    <t>Tổng DT</t>
  </si>
  <si>
    <t>LNG</t>
  </si>
  <si>
    <t>Biên LNG</t>
  </si>
  <si>
    <t>LNST</t>
  </si>
  <si>
    <t>EPS</t>
  </si>
  <si>
    <t>Quý 1/2021</t>
  </si>
  <si>
    <t>Quý 2/2021</t>
  </si>
  <si>
    <t>Quý 3/2021</t>
  </si>
  <si>
    <t>Quý 4/2021</t>
  </si>
  <si>
    <t>Quý 1/2022</t>
  </si>
  <si>
    <t>Quý 2/2022</t>
  </si>
  <si>
    <t>Quý 3/2022</t>
  </si>
  <si>
    <t>Quý 4/2022</t>
  </si>
  <si>
    <t>Quý 1/2023</t>
  </si>
  <si>
    <t>Quý 2/2023</t>
  </si>
  <si>
    <t>Quý 3/2023</t>
  </si>
  <si>
    <t>Quý 4/2023</t>
  </si>
  <si>
    <t>GVHB</t>
  </si>
  <si>
    <t>CPTC</t>
  </si>
  <si>
    <t>Cân đối kế toán</t>
  </si>
  <si>
    <t>VCSH</t>
  </si>
  <si>
    <t>Tổng Tài Sản</t>
  </si>
  <si>
    <t>Nợ Phải Trả</t>
  </si>
  <si>
    <t>Tài Sản NH</t>
  </si>
  <si>
    <t>Nợ NH</t>
  </si>
  <si>
    <t>HTK</t>
  </si>
  <si>
    <t>Khoản PTNH</t>
  </si>
  <si>
    <t>% TTDT so vs CK</t>
  </si>
  <si>
    <t>%TTLN so vs CK</t>
  </si>
  <si>
    <t>Khả năng thanh toán</t>
  </si>
  <si>
    <t>Q4/2023</t>
  </si>
  <si>
    <t>Q3/2023</t>
  </si>
  <si>
    <t>Q2/2023</t>
  </si>
  <si>
    <t>Q1/2023</t>
  </si>
  <si>
    <t>KNTT tổng quát</t>
  </si>
  <si>
    <t>KNTT nhanh</t>
  </si>
  <si>
    <t>KNTT tức thời</t>
  </si>
  <si>
    <t>Hệ số TTTX</t>
  </si>
  <si>
    <t>D/E</t>
  </si>
  <si>
    <t>Lưu chuyển tiền tệ</t>
  </si>
  <si>
    <t>HĐKD</t>
  </si>
  <si>
    <t>HĐĐT</t>
  </si>
  <si>
    <t>HĐTC</t>
  </si>
  <si>
    <t>Dòng tiền thuần</t>
  </si>
  <si>
    <t>Cơ cấu tài sản</t>
  </si>
  <si>
    <t>HTK / DT</t>
  </si>
  <si>
    <t>Khoản phải thu / Doanh thu</t>
  </si>
  <si>
    <t>Khả năng thanh toán tổng quát</t>
  </si>
  <si>
    <t>Tên chỉ số</t>
  </si>
  <si>
    <t>Công thức</t>
  </si>
  <si>
    <t>Khả năng thanh toán nhanh</t>
  </si>
  <si>
    <t>Khả năng thanh toán tức thời</t>
  </si>
  <si>
    <t>(Tài sản ngắn hạn - Hàng tồn kho) / Nợ ngắn hạn</t>
  </si>
  <si>
    <t>(Tiền và tương đương tiền + Đầu tư tài chính ngắn hạn) / Nợ ngắn hạn</t>
  </si>
  <si>
    <t>Hệ số thanh toán thường xuyên</t>
  </si>
  <si>
    <t>(VCSH + Nợ phải trả - Nợ ngắn hạn) / (Tổng tài sản - tài sản ngắn hạn)</t>
  </si>
  <si>
    <t>Nợ phải trả / Tổng tài sản</t>
  </si>
  <si>
    <t>KPT / TSNH</t>
  </si>
  <si>
    <t>Khoản phải thu / Tài sản ngắn hạn</t>
  </si>
  <si>
    <t>Hàng tồn kho / Doanh thu</t>
  </si>
  <si>
    <t>KPT / DT</t>
  </si>
  <si>
    <t>Tiền,TĐT/ TTS</t>
  </si>
  <si>
    <t>DT Kế Hoạch</t>
  </si>
  <si>
    <t>LNST Kế Hoạch</t>
  </si>
  <si>
    <t>% HTKH</t>
  </si>
  <si>
    <t>Luỹ kế:</t>
  </si>
  <si>
    <t>Định giá theo LN và Giá quá khứ</t>
  </si>
  <si>
    <t>Định giá theo P/E</t>
  </si>
  <si>
    <t>Định giá theo giá trị sổ sách</t>
  </si>
  <si>
    <t>BVPS:</t>
  </si>
  <si>
    <t>D.BVPS</t>
  </si>
  <si>
    <t>Khấu hao TT VG</t>
  </si>
  <si>
    <t>Khấu hao TT VCSH</t>
  </si>
  <si>
    <t>Min</t>
  </si>
  <si>
    <t>Mean</t>
  </si>
  <si>
    <t>Max</t>
  </si>
  <si>
    <t>EPS theo KHKD:</t>
  </si>
  <si>
    <t>P/E 5Y</t>
  </si>
  <si>
    <t>EPS theo KHKD điều chỉnh:</t>
  </si>
  <si>
    <t>Vốn góp</t>
  </si>
  <si>
    <t>2022 -&gt; 2023</t>
  </si>
  <si>
    <t>Diluted EPS</t>
  </si>
  <si>
    <t>Tăng trưởng VG so với ATH</t>
  </si>
  <si>
    <t>D.EPS theo KHKD:</t>
  </si>
  <si>
    <t>Tăng trưởng VCSH so với ATH</t>
  </si>
  <si>
    <t>D.EPS theo KHKD điều chỉnh:</t>
  </si>
  <si>
    <t>KLCP</t>
  </si>
  <si>
    <t>ATH Giá</t>
  </si>
  <si>
    <t>KNLN / ATH LN</t>
  </si>
  <si>
    <t>LNĐC / ATH LN</t>
  </si>
  <si>
    <t>ATH LN</t>
  </si>
  <si>
    <t>Deluted EPS</t>
  </si>
  <si>
    <t>KLCP sau Bổ Sung</t>
  </si>
  <si>
    <t>Basic EPS</t>
  </si>
  <si>
    <t>KHLN điều chỉnh</t>
  </si>
  <si>
    <t>Chênh lệch giá so với ATH LN</t>
  </si>
  <si>
    <t>Định giá theo chênh lệch với ATH LN</t>
  </si>
  <si>
    <t>Kế Hoạch Kinh Doanh</t>
  </si>
  <si>
    <t>MCK:</t>
  </si>
  <si>
    <t>KPT/ DT</t>
  </si>
  <si>
    <t>B.EPS theo KHKD:</t>
  </si>
  <si>
    <t>B.EPS theo KHKD điều chỉnh:</t>
  </si>
  <si>
    <t>Cấu trúc chi phí</t>
  </si>
  <si>
    <t>GVHB / DT</t>
  </si>
  <si>
    <t>Tăng trưởng DT và LN</t>
  </si>
  <si>
    <t>Giá vốn hàng bán / Doanh thu</t>
  </si>
  <si>
    <t>Chi phí tài chính / Doanh thu</t>
  </si>
  <si>
    <t>&lt; 50%</t>
  </si>
  <si>
    <t>&lt; 70%</t>
  </si>
  <si>
    <t>Tiền và tương đương tiền / Tổng tài sản</t>
  </si>
  <si>
    <t>&gt; 10%</t>
  </si>
  <si>
    <t>Áp lực Nợ NH so với đầu năm</t>
  </si>
  <si>
    <t>&gt; 1</t>
  </si>
  <si>
    <t>&lt; 1</t>
  </si>
  <si>
    <t>Khả năng sinh lời</t>
  </si>
  <si>
    <t>ROE</t>
  </si>
  <si>
    <t>ROA</t>
  </si>
  <si>
    <t>&lt; 10%</t>
  </si>
  <si>
    <t>BLNG</t>
  </si>
  <si>
    <t>Lợi nhuận sau thuế / Doanh thu</t>
  </si>
  <si>
    <t>&gt; 20%</t>
  </si>
  <si>
    <t>&gt; 10%/y</t>
  </si>
  <si>
    <t>Tiền, TĐT</t>
  </si>
  <si>
    <t>ĐTTC NH</t>
  </si>
  <si>
    <t>CPLV</t>
  </si>
  <si>
    <t>CPLV / DT</t>
  </si>
  <si>
    <t>HAH</t>
  </si>
  <si>
    <t>Q1/2021</t>
  </si>
  <si>
    <t>Q2/2021</t>
  </si>
  <si>
    <t>Q3/2021</t>
  </si>
  <si>
    <t>Q4/2021</t>
  </si>
  <si>
    <t>Q1/2022</t>
  </si>
  <si>
    <t>Q2/2022</t>
  </si>
  <si>
    <t>Q3/2022</t>
  </si>
  <si>
    <t>Q4/2022</t>
  </si>
  <si>
    <t>Tổng tài sản / Nợ phải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</si>
</sst>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(* #,##0_);_(* \(#,##0\);_(* &quot;-&quot;_);_(@_)"/>
    <numFmt numFmtId="164" formatCode="#,##0.000"/>
    <numFmt numFmtId="165" formatCode="0.0"/>
    <numFmt numFmtId="166" formatCode="0.0%"/>
    <numFmt numFmtId="167" formatCode="_(* #,##0.0_);_(* \(#,##0.0\);_(* &quot;-&quot;_);_(@_)"/>
    <numFmt numFmtId="168" formatCode="0.000"/>
    <numFmt numFmtId="169" formatCode="_(* #,##0.00_);_(* \(#,##0.00\);_(* &quot;-&quot;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D6D6D6"/>
        <bgColor indexed="64"/>
      </patternFill>
    </fill>
    <fill>
      <patternFill patternType="solid">
        <fgColor rgb="FFBD94FF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3" fontId="0" fillId="0" borderId="1" xfId="0" applyNumberFormat="1" applyBorder="1" applyAlignment="1">
      <alignment vertical="center"/>
    </xf>
    <xf numFmtId="1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4" fontId="0" fillId="0" borderId="1" xfId="0" applyNumberFormat="1" applyBorder="1" applyAlignment="1">
      <alignment vertical="center"/>
    </xf>
    <xf numFmtId="0" fontId="0" fillId="0" borderId="1" xfId="0" applyBorder="1"/>
    <xf numFmtId="0" fontId="0" fillId="0" borderId="0" xfId="0" applyAlignment="1">
      <alignment horizontal="center"/>
    </xf>
    <xf numFmtId="3" fontId="0" fillId="0" borderId="1" xfId="0" applyNumberForma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/>
    <xf numFmtId="0" fontId="5" fillId="0" borderId="1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3" fontId="0" fillId="0" borderId="1" xfId="0" applyNumberFormat="1" applyBorder="1"/>
    <xf numFmtId="2" fontId="0" fillId="0" borderId="1" xfId="1" applyNumberFormat="1" applyFon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2" fillId="0" borderId="0" xfId="0" applyFont="1"/>
    <xf numFmtId="166" fontId="0" fillId="0" borderId="1" xfId="2" applyNumberFormat="1" applyFont="1" applyBorder="1"/>
    <xf numFmtId="10" fontId="0" fillId="0" borderId="1" xfId="2" applyNumberFormat="1" applyFont="1" applyBorder="1"/>
    <xf numFmtId="41" fontId="0" fillId="0" borderId="1" xfId="1" applyFont="1" applyBorder="1"/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3" fontId="0" fillId="6" borderId="1" xfId="0" applyNumberForma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10" fontId="0" fillId="3" borderId="1" xfId="0" applyNumberForma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3" fontId="0" fillId="0" borderId="6" xfId="0" applyNumberFormat="1" applyBorder="1" applyAlignment="1">
      <alignment vertical="center"/>
    </xf>
    <xf numFmtId="3" fontId="5" fillId="0" borderId="2" xfId="0" applyNumberFormat="1" applyFont="1" applyBorder="1" applyAlignment="1">
      <alignment vertical="center"/>
    </xf>
    <xf numFmtId="3" fontId="7" fillId="0" borderId="10" xfId="0" applyNumberFormat="1" applyFont="1" applyBorder="1" applyAlignment="1">
      <alignment vertical="center"/>
    </xf>
    <xf numFmtId="41" fontId="0" fillId="0" borderId="0" xfId="1" applyFont="1"/>
    <xf numFmtId="9" fontId="0" fillId="0" borderId="0" xfId="2" applyFont="1"/>
    <xf numFmtId="166" fontId="0" fillId="0" borderId="0" xfId="2" applyNumberFormat="1" applyFont="1"/>
    <xf numFmtId="10" fontId="0" fillId="0" borderId="0" xfId="2" applyNumberFormat="1" applyFont="1"/>
    <xf numFmtId="2" fontId="0" fillId="0" borderId="1" xfId="0" applyNumberFormat="1" applyBorder="1" applyAlignment="1">
      <alignment vertical="center"/>
    </xf>
    <xf numFmtId="168" fontId="0" fillId="0" borderId="1" xfId="0" applyNumberFormat="1" applyBorder="1" applyAlignment="1">
      <alignment vertical="center"/>
    </xf>
    <xf numFmtId="166" fontId="0" fillId="0" borderId="1" xfId="2" applyNumberFormat="1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0" fontId="5" fillId="0" borderId="0" xfId="0" applyFont="1" applyAlignment="1">
      <alignment vertical="center"/>
    </xf>
    <xf numFmtId="2" fontId="0" fillId="0" borderId="0" xfId="2" applyNumberFormat="1" applyFont="1" applyBorder="1" applyAlignment="1">
      <alignment vertical="center"/>
    </xf>
    <xf numFmtId="166" fontId="0" fillId="0" borderId="1" xfId="2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41" fontId="0" fillId="0" borderId="1" xfId="0" applyNumberFormat="1" applyBorder="1"/>
    <xf numFmtId="2" fontId="0" fillId="0" borderId="1" xfId="1" applyNumberFormat="1" applyFont="1" applyBorder="1" applyAlignment="1">
      <alignment vertical="center"/>
    </xf>
    <xf numFmtId="168" fontId="0" fillId="0" borderId="1" xfId="1" applyNumberFormat="1" applyFont="1" applyBorder="1" applyAlignment="1">
      <alignment vertical="center"/>
    </xf>
    <xf numFmtId="2" fontId="0" fillId="0" borderId="1" xfId="1" applyNumberFormat="1" applyFont="1" applyBorder="1"/>
    <xf numFmtId="2" fontId="0" fillId="0" borderId="1" xfId="1" applyNumberFormat="1" applyFont="1" applyFill="1" applyBorder="1" applyAlignment="1">
      <alignment vertical="center"/>
    </xf>
    <xf numFmtId="0" fontId="2" fillId="0" borderId="1" xfId="0" applyFont="1" applyBorder="1"/>
    <xf numFmtId="0" fontId="6" fillId="0" borderId="1" xfId="0" applyFont="1" applyBorder="1" applyAlignment="1">
      <alignment vertical="center"/>
    </xf>
    <xf numFmtId="0" fontId="0" fillId="0" borderId="10" xfId="0" applyBorder="1"/>
    <xf numFmtId="9" fontId="0" fillId="0" borderId="1" xfId="2" applyFont="1" applyBorder="1" applyAlignment="1">
      <alignment vertical="center"/>
    </xf>
    <xf numFmtId="49" fontId="0" fillId="0" borderId="1" xfId="0" applyNumberFormat="1" applyBorder="1" applyAlignment="1">
      <alignment vertical="center"/>
    </xf>
    <xf numFmtId="166" fontId="0" fillId="0" borderId="0" xfId="2" applyNumberFormat="1" applyFont="1" applyAlignment="1">
      <alignment horizontal="right"/>
    </xf>
    <xf numFmtId="3" fontId="0" fillId="0" borderId="0" xfId="0" applyNumberFormat="1"/>
    <xf numFmtId="0" fontId="8" fillId="0" borderId="0" xfId="0" applyFont="1"/>
    <xf numFmtId="167" fontId="0" fillId="0" borderId="0" xfId="1" applyNumberFormat="1" applyFont="1"/>
    <xf numFmtId="169" fontId="0" fillId="0" borderId="0" xfId="1" applyNumberFormat="1" applyFont="1"/>
    <xf numFmtId="4" fontId="0" fillId="0" borderId="0" xfId="0" applyNumberFormat="1"/>
    <xf numFmtId="2" fontId="0" fillId="0" borderId="0" xfId="0" applyNumberFormat="1"/>
    <xf numFmtId="0" fontId="2" fillId="8" borderId="9" xfId="0" applyFont="1" applyFill="1" applyBorder="1"/>
    <xf numFmtId="0" fontId="2" fillId="0" borderId="9" xfId="0" applyFont="1" applyBorder="1"/>
    <xf numFmtId="165" fontId="0" fillId="0" borderId="0" xfId="1" applyNumberFormat="1" applyFont="1"/>
    <xf numFmtId="0" fontId="2" fillId="0" borderId="2" xfId="0" applyFont="1" applyBorder="1" applyAlignment="1">
      <alignment horizontal="center" vertical="center" wrapText="1"/>
    </xf>
    <xf numFmtId="10" fontId="0" fillId="0" borderId="2" xfId="2" applyNumberFormat="1" applyFont="1" applyBorder="1"/>
    <xf numFmtId="0" fontId="0" fillId="0" borderId="0" xfId="0" applyAlignment="1">
      <alignment horizontal="right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vertical="center"/>
    </xf>
    <xf numFmtId="3" fontId="0" fillId="0" borderId="0" xfId="0" applyNumberFormat="1" applyAlignment="1">
      <alignment horizontal="right" vertical="center"/>
    </xf>
    <xf numFmtId="0" fontId="3" fillId="0" borderId="0" xfId="0" applyFont="1" applyAlignment="1">
      <alignment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4" borderId="9" xfId="0" applyFont="1" applyFill="1" applyBorder="1" applyAlignment="1">
      <alignment horizontal="center"/>
    </xf>
    <xf numFmtId="0" fontId="2" fillId="9" borderId="9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Comma [0]" xfId="1" builtinId="6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BD94FF"/>
      <color rgb="FFD883FF"/>
      <color rgb="FFD6D6D6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09C9-6A8C-EC4B-8FF1-E41DC4FA3367}">
  <dimension ref="A1:U40"/>
  <sheetViews>
    <sheetView workbookViewId="0">
      <selection activeCell="L13" sqref="L13:N13"/>
    </sheetView>
  </sheetViews>
  <sheetFormatPr baseColWidth="10" defaultRowHeight="16" x14ac:dyDescent="0.2"/>
  <cols>
    <col min="2" max="2" width="14.1640625" customWidth="1"/>
    <col min="3" max="3" width="13.33203125" customWidth="1"/>
    <col min="4" max="4" width="15.83203125" customWidth="1"/>
    <col min="5" max="5" width="16.1640625" customWidth="1"/>
    <col min="6" max="6" width="16" customWidth="1"/>
    <col min="7" max="8" width="13.5" customWidth="1"/>
    <col min="9" max="9" width="17.33203125" customWidth="1"/>
    <col min="10" max="10" width="14.5" customWidth="1"/>
    <col min="11" max="11" width="15" customWidth="1"/>
    <col min="12" max="12" width="13.83203125" customWidth="1"/>
    <col min="13" max="13" width="13.1640625" customWidth="1"/>
    <col min="14" max="14" width="13.5" customWidth="1"/>
    <col min="15" max="15" width="17.1640625" customWidth="1"/>
    <col min="16" max="16" width="18.6640625" customWidth="1"/>
    <col min="17" max="17" width="20.6640625" customWidth="1"/>
    <col min="18" max="19" width="14.6640625" customWidth="1"/>
    <col min="20" max="20" width="19.6640625" customWidth="1"/>
    <col min="21" max="21" width="16.5" customWidth="1"/>
  </cols>
  <sheetData>
    <row r="1" spans="1:21" ht="16" customHeight="1" x14ac:dyDescent="0.2">
      <c r="B1" s="11"/>
      <c r="C1" s="102" t="s">
        <v>0</v>
      </c>
      <c r="D1" s="103"/>
      <c r="E1" s="103"/>
      <c r="F1" s="103"/>
      <c r="G1" s="104"/>
      <c r="H1" s="12"/>
      <c r="I1" s="87" t="s">
        <v>22</v>
      </c>
      <c r="J1" s="88"/>
      <c r="K1" s="88"/>
      <c r="L1" s="88"/>
      <c r="M1" s="88"/>
      <c r="N1" s="88"/>
      <c r="O1" s="88"/>
      <c r="P1" s="88"/>
      <c r="Q1" s="89"/>
      <c r="R1" s="90" t="s">
        <v>42</v>
      </c>
      <c r="S1" s="91"/>
      <c r="T1" s="91"/>
      <c r="U1" s="92"/>
    </row>
    <row r="2" spans="1:21" x14ac:dyDescent="0.2">
      <c r="A2" s="1" t="s">
        <v>1</v>
      </c>
      <c r="B2" s="1" t="s">
        <v>2</v>
      </c>
      <c r="C2" s="1" t="s">
        <v>3</v>
      </c>
      <c r="D2" s="1" t="s">
        <v>20</v>
      </c>
      <c r="E2" s="1" t="s">
        <v>4</v>
      </c>
      <c r="F2" s="1" t="s">
        <v>21</v>
      </c>
      <c r="G2" s="1" t="s">
        <v>6</v>
      </c>
      <c r="H2" s="1" t="s">
        <v>7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9" t="s">
        <v>125</v>
      </c>
      <c r="Q2" s="19" t="s">
        <v>126</v>
      </c>
      <c r="R2" s="19" t="s">
        <v>43</v>
      </c>
      <c r="S2" s="19" t="s">
        <v>44</v>
      </c>
      <c r="T2" s="19" t="s">
        <v>45</v>
      </c>
      <c r="U2" s="21" t="s">
        <v>46</v>
      </c>
    </row>
    <row r="3" spans="1:21" x14ac:dyDescent="0.2">
      <c r="A3" s="107">
        <v>2021</v>
      </c>
      <c r="B3" s="2" t="s">
        <v>8</v>
      </c>
      <c r="C3" s="3">
        <v>359006</v>
      </c>
      <c r="D3" s="3"/>
      <c r="E3" s="3">
        <v>96771</v>
      </c>
      <c r="F3" s="3"/>
      <c r="G3" s="3">
        <v>66799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 x14ac:dyDescent="0.2">
      <c r="A4" s="107"/>
      <c r="B4" s="2" t="s">
        <v>9</v>
      </c>
      <c r="C4" s="3">
        <v>449267</v>
      </c>
      <c r="D4" s="3"/>
      <c r="E4" s="3">
        <v>141279</v>
      </c>
      <c r="F4" s="3"/>
      <c r="G4" s="3">
        <v>82344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 x14ac:dyDescent="0.2">
      <c r="A5" s="107"/>
      <c r="B5" s="2" t="s">
        <v>10</v>
      </c>
      <c r="C5" s="3">
        <v>475605</v>
      </c>
      <c r="D5" s="3"/>
      <c r="E5" s="3">
        <v>139835</v>
      </c>
      <c r="F5" s="3"/>
      <c r="G5" s="3">
        <v>92885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 x14ac:dyDescent="0.2">
      <c r="A6" s="107"/>
      <c r="B6" s="2" t="s">
        <v>11</v>
      </c>
      <c r="C6" s="3">
        <v>671423</v>
      </c>
      <c r="D6" s="3">
        <v>-2054350</v>
      </c>
      <c r="E6" s="3">
        <v>336559</v>
      </c>
      <c r="F6" s="3"/>
      <c r="G6" s="3">
        <v>203486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">
      <c r="A7" s="107">
        <v>2022</v>
      </c>
      <c r="B7" s="2" t="s">
        <v>12</v>
      </c>
      <c r="C7" s="3">
        <v>652451</v>
      </c>
      <c r="D7" s="3">
        <v>-2489110</v>
      </c>
      <c r="E7" s="3">
        <v>33998</v>
      </c>
      <c r="F7" s="22">
        <v>9520</v>
      </c>
      <c r="G7" s="3">
        <v>199943</v>
      </c>
      <c r="H7" s="5">
        <f>(SUM(G4:G7)/P21)*1000</f>
        <v>8.2260393669928096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">
      <c r="A8" s="107"/>
      <c r="B8" s="2" t="s">
        <v>13</v>
      </c>
      <c r="C8" s="3">
        <v>929221</v>
      </c>
      <c r="D8" s="3">
        <v>-3129740</v>
      </c>
      <c r="E8" s="3">
        <v>434016</v>
      </c>
      <c r="F8" s="22">
        <v>15170</v>
      </c>
      <c r="G8" s="3">
        <v>239691</v>
      </c>
      <c r="H8" s="5">
        <f>(SUM(G5:G8)/P21)*1000</f>
        <v>10.462840061493219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 x14ac:dyDescent="0.2">
      <c r="A9" s="107"/>
      <c r="B9" s="2" t="s">
        <v>14</v>
      </c>
      <c r="C9" s="3">
        <v>778572</v>
      </c>
      <c r="D9" s="3">
        <v>-2636790</v>
      </c>
      <c r="E9" s="3">
        <v>376873</v>
      </c>
      <c r="F9" s="22">
        <v>15940</v>
      </c>
      <c r="G9" s="3">
        <v>218137</v>
      </c>
      <c r="H9" s="5">
        <f>(SUM(G6:G9)/P21)*1000</f>
        <v>12.243387263458082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">
      <c r="A10" s="107"/>
      <c r="B10" s="2" t="s">
        <v>15</v>
      </c>
      <c r="C10" s="3">
        <v>845365</v>
      </c>
      <c r="D10" s="3">
        <v>-2010060</v>
      </c>
      <c r="E10" s="3">
        <v>270876</v>
      </c>
      <c r="F10" s="22">
        <v>52470</v>
      </c>
      <c r="G10" s="3">
        <v>171487</v>
      </c>
      <c r="H10" s="5">
        <f>(SUM(G7:G10)/P21)*1000</f>
        <v>11.788498479920305</v>
      </c>
      <c r="I10" s="9">
        <v>2938250</v>
      </c>
      <c r="J10" s="9">
        <v>5106085</v>
      </c>
      <c r="K10" s="9">
        <v>2167835</v>
      </c>
      <c r="L10" s="9">
        <v>1750033</v>
      </c>
      <c r="M10" s="9">
        <v>915672</v>
      </c>
      <c r="N10" s="9">
        <v>78440</v>
      </c>
      <c r="O10" s="9">
        <v>984010</v>
      </c>
      <c r="P10" s="9">
        <v>415480</v>
      </c>
      <c r="Q10" s="22">
        <v>140100</v>
      </c>
      <c r="R10" s="9">
        <v>214560</v>
      </c>
      <c r="S10" s="9">
        <v>-618370</v>
      </c>
      <c r="T10" s="9">
        <v>199420</v>
      </c>
      <c r="U10" s="9">
        <v>-204390</v>
      </c>
    </row>
    <row r="11" spans="1:21" x14ac:dyDescent="0.2">
      <c r="A11" s="107">
        <v>2023</v>
      </c>
      <c r="B11" s="2" t="s">
        <v>16</v>
      </c>
      <c r="C11" s="3">
        <v>655142</v>
      </c>
      <c r="D11" s="3">
        <v>-1837120</v>
      </c>
      <c r="E11" s="3">
        <v>192455</v>
      </c>
      <c r="F11" s="22">
        <v>20840</v>
      </c>
      <c r="G11" s="3">
        <v>119019</v>
      </c>
      <c r="H11" s="5">
        <f>(SUM(G8:G11)/P21)*1000</f>
        <v>10.638105657675514</v>
      </c>
      <c r="I11" s="9">
        <v>3014283</v>
      </c>
      <c r="J11" s="9">
        <v>4964150</v>
      </c>
      <c r="K11" s="9">
        <v>1949867</v>
      </c>
      <c r="L11" s="9">
        <v>1690900</v>
      </c>
      <c r="M11" s="9">
        <v>760384</v>
      </c>
      <c r="N11" s="9">
        <v>70350</v>
      </c>
      <c r="O11" s="9">
        <v>997800</v>
      </c>
      <c r="P11" s="9">
        <v>377800</v>
      </c>
      <c r="Q11" s="22">
        <v>120100</v>
      </c>
      <c r="R11" s="9">
        <v>167970</v>
      </c>
      <c r="S11" s="9">
        <v>-124010</v>
      </c>
      <c r="T11" s="9">
        <v>-80990</v>
      </c>
      <c r="U11" s="9">
        <v>-37020</v>
      </c>
    </row>
    <row r="12" spans="1:21" x14ac:dyDescent="0.2">
      <c r="A12" s="107"/>
      <c r="B12" s="2" t="s">
        <v>17</v>
      </c>
      <c r="C12" s="3">
        <v>611423</v>
      </c>
      <c r="D12" s="3">
        <v>-2143720</v>
      </c>
      <c r="E12" s="3">
        <v>147179</v>
      </c>
      <c r="F12" s="22">
        <v>18980</v>
      </c>
      <c r="G12" s="3">
        <v>97210</v>
      </c>
      <c r="H12" s="5">
        <f>(SUM(G9:G12)/Q21)*1000</f>
        <v>5.7415940106141017</v>
      </c>
      <c r="I12" s="9">
        <v>3059979</v>
      </c>
      <c r="J12" s="9">
        <v>4995981</v>
      </c>
      <c r="K12" s="9">
        <v>1936002</v>
      </c>
      <c r="L12" s="9">
        <v>1779618</v>
      </c>
      <c r="M12" s="9">
        <v>843958</v>
      </c>
      <c r="N12" s="9">
        <v>84910</v>
      </c>
      <c r="O12" s="9">
        <v>1072290</v>
      </c>
      <c r="P12" s="9">
        <v>377600</v>
      </c>
      <c r="Q12" s="22">
        <v>120100</v>
      </c>
      <c r="R12" s="9">
        <v>158930</v>
      </c>
      <c r="S12" s="9">
        <v>-102880</v>
      </c>
      <c r="T12" s="9">
        <v>-57210</v>
      </c>
      <c r="U12" s="9">
        <v>-1160</v>
      </c>
    </row>
    <row r="13" spans="1:21" x14ac:dyDescent="0.2">
      <c r="A13" s="107"/>
      <c r="B13" s="2" t="s">
        <v>18</v>
      </c>
      <c r="C13" s="3">
        <v>681360</v>
      </c>
      <c r="D13" s="3">
        <v>-2412720</v>
      </c>
      <c r="E13" s="3">
        <v>158223</v>
      </c>
      <c r="F13" s="22">
        <v>19550</v>
      </c>
      <c r="G13" s="3">
        <v>105700</v>
      </c>
      <c r="H13" s="5">
        <f>(SUM(G10:G13)/Q21)*1000</f>
        <v>4.6760424564063685</v>
      </c>
      <c r="I13" s="9">
        <v>3133556</v>
      </c>
      <c r="J13" s="9">
        <v>5075641</v>
      </c>
      <c r="K13" s="9">
        <v>1942085</v>
      </c>
      <c r="L13" s="9">
        <v>1844523</v>
      </c>
      <c r="M13" s="9">
        <v>864117</v>
      </c>
      <c r="N13" s="9">
        <v>85110</v>
      </c>
      <c r="O13" s="9">
        <v>1203960</v>
      </c>
      <c r="P13" s="9">
        <v>310620</v>
      </c>
      <c r="Q13" s="22">
        <v>117500</v>
      </c>
      <c r="R13" s="9">
        <v>480700</v>
      </c>
      <c r="S13" s="9">
        <v>-148180</v>
      </c>
      <c r="T13" s="9">
        <v>-400790</v>
      </c>
      <c r="U13" s="9">
        <v>-68270</v>
      </c>
    </row>
    <row r="14" spans="1:21" x14ac:dyDescent="0.2">
      <c r="A14" s="107"/>
      <c r="B14" s="2" t="s">
        <v>19</v>
      </c>
      <c r="C14" s="3"/>
      <c r="D14" s="3"/>
      <c r="E14" s="3"/>
      <c r="F14" s="3"/>
      <c r="G14" s="3"/>
      <c r="H14" s="3"/>
      <c r="I14" s="9"/>
      <c r="J14" s="9"/>
      <c r="K14" s="9"/>
      <c r="L14" s="9"/>
      <c r="M14" s="9"/>
      <c r="N14" s="9"/>
      <c r="O14" s="9"/>
      <c r="P14" s="9"/>
      <c r="Q14" s="9"/>
      <c r="R14" s="7"/>
      <c r="S14" s="7"/>
      <c r="T14" s="9"/>
      <c r="U14" s="7"/>
    </row>
    <row r="18" spans="1:17" x14ac:dyDescent="0.2">
      <c r="A18" s="1" t="s">
        <v>1</v>
      </c>
      <c r="B18" s="1" t="s">
        <v>3</v>
      </c>
      <c r="C18" s="1" t="s">
        <v>65</v>
      </c>
      <c r="D18" s="1" t="s">
        <v>6</v>
      </c>
      <c r="E18" s="1" t="s">
        <v>66</v>
      </c>
      <c r="F18" s="19" t="s">
        <v>97</v>
      </c>
      <c r="G18" s="1" t="s">
        <v>67</v>
      </c>
      <c r="H18" s="45"/>
      <c r="I18" s="94" t="s">
        <v>80</v>
      </c>
      <c r="J18" s="95"/>
      <c r="K18" s="96"/>
      <c r="M18" s="19" t="s">
        <v>1</v>
      </c>
      <c r="N18" s="19" t="s">
        <v>82</v>
      </c>
      <c r="O18" s="15" t="s">
        <v>23</v>
      </c>
      <c r="P18" s="10" t="s">
        <v>89</v>
      </c>
      <c r="Q18" s="10" t="s">
        <v>95</v>
      </c>
    </row>
    <row r="19" spans="1:17" x14ac:dyDescent="0.2">
      <c r="A19" s="18">
        <v>2020</v>
      </c>
      <c r="B19" s="31">
        <v>1191667</v>
      </c>
      <c r="C19" s="31">
        <v>1219100</v>
      </c>
      <c r="D19" s="31">
        <v>138296</v>
      </c>
      <c r="E19" s="31">
        <v>85100</v>
      </c>
      <c r="F19" s="105">
        <v>-0.15</v>
      </c>
      <c r="G19" s="33">
        <f>D19/E19</f>
        <v>1.6250998824911869</v>
      </c>
      <c r="H19" s="46"/>
      <c r="I19" s="18" t="s">
        <v>76</v>
      </c>
      <c r="J19" s="7" t="s">
        <v>77</v>
      </c>
      <c r="K19" s="7" t="s">
        <v>78</v>
      </c>
      <c r="M19" s="7">
        <v>2021</v>
      </c>
      <c r="N19" s="22">
        <v>487830</v>
      </c>
      <c r="O19" s="22">
        <v>1902030</v>
      </c>
      <c r="P19" s="28">
        <v>48788888</v>
      </c>
      <c r="Q19" s="7"/>
    </row>
    <row r="20" spans="1:17" x14ac:dyDescent="0.2">
      <c r="A20" s="18">
        <v>2021</v>
      </c>
      <c r="B20" s="31">
        <v>1955301</v>
      </c>
      <c r="C20" s="31">
        <v>1661100</v>
      </c>
      <c r="D20" s="31">
        <v>445513</v>
      </c>
      <c r="E20" s="31">
        <v>157800</v>
      </c>
      <c r="F20" s="106"/>
      <c r="G20" s="33">
        <f>D20/E20</f>
        <v>2.8232762991128011</v>
      </c>
      <c r="H20" s="47"/>
      <c r="I20" s="7">
        <v>2.77</v>
      </c>
      <c r="J20" s="7">
        <v>6.15</v>
      </c>
      <c r="K20" s="7">
        <v>10.18</v>
      </c>
      <c r="M20" s="18">
        <v>2022</v>
      </c>
      <c r="N20" s="22">
        <v>703450</v>
      </c>
      <c r="O20" s="22">
        <v>2886921</v>
      </c>
      <c r="P20" s="28">
        <v>48788888</v>
      </c>
      <c r="Q20" s="28">
        <v>70344667</v>
      </c>
    </row>
    <row r="21" spans="1:17" x14ac:dyDescent="0.2">
      <c r="A21" s="18">
        <v>2022</v>
      </c>
      <c r="B21" s="31">
        <v>3205610</v>
      </c>
      <c r="C21" s="31">
        <v>2388000</v>
      </c>
      <c r="D21" s="31">
        <v>821937</v>
      </c>
      <c r="E21" s="31">
        <v>550000</v>
      </c>
      <c r="F21" s="106"/>
      <c r="G21" s="33">
        <f>D21/E21</f>
        <v>1.4944309090909091</v>
      </c>
      <c r="H21" s="47"/>
      <c r="M21" s="18">
        <v>2023</v>
      </c>
      <c r="N21" s="22">
        <v>703450</v>
      </c>
      <c r="O21" s="22">
        <v>3133556</v>
      </c>
      <c r="P21" s="28">
        <v>70344667</v>
      </c>
      <c r="Q21" s="56">
        <v>105520000</v>
      </c>
    </row>
    <row r="22" spans="1:17" x14ac:dyDescent="0.2">
      <c r="A22" s="18">
        <v>2023</v>
      </c>
      <c r="B22" s="37"/>
      <c r="C22" s="3">
        <v>2698000</v>
      </c>
      <c r="D22" s="18"/>
      <c r="E22" s="3">
        <v>490000</v>
      </c>
      <c r="F22" s="3">
        <f>E22 + E22*F19</f>
        <v>416500</v>
      </c>
      <c r="H22" s="48"/>
      <c r="I22" s="7"/>
      <c r="J22" s="61" t="s">
        <v>96</v>
      </c>
      <c r="K22" s="61" t="s">
        <v>94</v>
      </c>
    </row>
    <row r="23" spans="1:17" x14ac:dyDescent="0.2">
      <c r="A23" s="85"/>
      <c r="B23" s="86"/>
      <c r="C23" s="86"/>
      <c r="D23" s="86"/>
      <c r="E23" s="86"/>
      <c r="F23" s="86"/>
      <c r="I23" s="63"/>
      <c r="J23" s="58">
        <f>SUM(H10:H13)/4</f>
        <v>8.2110601511540722</v>
      </c>
      <c r="K23" s="58">
        <f>J23 * (P21/Q21)</f>
        <v>5.4738844963030973</v>
      </c>
      <c r="M23" s="53"/>
      <c r="N23" s="54"/>
      <c r="O23" s="18" t="s">
        <v>83</v>
      </c>
    </row>
    <row r="24" spans="1:17" x14ac:dyDescent="0.2">
      <c r="A24" s="34" t="s">
        <v>36</v>
      </c>
      <c r="B24" s="3">
        <v>655142</v>
      </c>
      <c r="C24" s="65"/>
      <c r="D24" s="3">
        <v>119019</v>
      </c>
      <c r="E24" s="4">
        <f>D24/E22</f>
        <v>0.24289591836734695</v>
      </c>
      <c r="F24" s="4">
        <f>D24/F22</f>
        <v>0.28575990396158463</v>
      </c>
      <c r="H24" s="49"/>
      <c r="I24" s="62" t="s">
        <v>79</v>
      </c>
      <c r="J24" s="43">
        <f>E22/P21*1000</f>
        <v>6.9657021761152125</v>
      </c>
      <c r="K24" s="43">
        <f>E22/Q21*1000</f>
        <v>4.6436694465504171</v>
      </c>
      <c r="M24" s="100" t="s">
        <v>85</v>
      </c>
      <c r="N24" s="101"/>
      <c r="O24" s="18">
        <f>IF(B31=2022,100% - N20/N21,100% - N19/N21)</f>
        <v>0</v>
      </c>
    </row>
    <row r="25" spans="1:17" x14ac:dyDescent="0.2">
      <c r="A25" s="18" t="s">
        <v>35</v>
      </c>
      <c r="B25" s="3">
        <v>611423</v>
      </c>
      <c r="C25" s="65"/>
      <c r="D25" s="3">
        <v>97210</v>
      </c>
      <c r="E25" s="4">
        <f>D25/E22</f>
        <v>0.19838775510204082</v>
      </c>
      <c r="F25" s="4">
        <f>D25/F22</f>
        <v>0.23339735894357744</v>
      </c>
      <c r="H25" s="49"/>
      <c r="I25" s="62" t="s">
        <v>81</v>
      </c>
      <c r="J25" s="43">
        <f>F22/P21*1000</f>
        <v>5.9208468496979307</v>
      </c>
      <c r="K25" s="43">
        <f>F22/Q21*1000</f>
        <v>3.9471190295678542</v>
      </c>
      <c r="M25" s="100" t="s">
        <v>87</v>
      </c>
      <c r="N25" s="101"/>
      <c r="O25" s="44">
        <f>IF(B31=2022,100% - O20/O21,100% - O19/O21)</f>
        <v>7.8707704601417738E-2</v>
      </c>
    </row>
    <row r="26" spans="1:17" x14ac:dyDescent="0.2">
      <c r="A26" s="18" t="s">
        <v>34</v>
      </c>
      <c r="B26" s="3">
        <v>681360</v>
      </c>
      <c r="C26" s="65"/>
      <c r="D26" s="3">
        <v>105700</v>
      </c>
      <c r="E26" s="4">
        <f>D26/E22</f>
        <v>0.21571428571428572</v>
      </c>
      <c r="F26" s="4">
        <f>D26/F22</f>
        <v>0.253781512605042</v>
      </c>
      <c r="H26" s="49"/>
    </row>
    <row r="27" spans="1:17" ht="16" customHeight="1" x14ac:dyDescent="0.2">
      <c r="A27" s="18" t="s">
        <v>33</v>
      </c>
      <c r="B27" s="35"/>
      <c r="C27" s="65"/>
      <c r="D27" s="3"/>
      <c r="E27" s="4">
        <f>D27/E22</f>
        <v>0</v>
      </c>
      <c r="F27" s="4">
        <f>D27/F22</f>
        <v>0</v>
      </c>
      <c r="H27" s="49"/>
      <c r="I27" s="94" t="s">
        <v>69</v>
      </c>
      <c r="J27" s="95"/>
      <c r="K27" s="95"/>
      <c r="L27" s="96"/>
      <c r="N27" s="97" t="s">
        <v>70</v>
      </c>
      <c r="O27" s="98"/>
      <c r="P27" s="98"/>
      <c r="Q27" s="99"/>
    </row>
    <row r="28" spans="1:17" x14ac:dyDescent="0.2">
      <c r="A28" s="36" t="s">
        <v>68</v>
      </c>
      <c r="B28" s="3">
        <f>SUM(B24:B27)</f>
        <v>1947925</v>
      </c>
      <c r="C28" s="64">
        <f>B28/C22</f>
        <v>0.72198851000741293</v>
      </c>
      <c r="D28" s="3">
        <f>SUM(D24:D27)</f>
        <v>321929</v>
      </c>
      <c r="E28" s="27">
        <f>SUM(E24:E27)</f>
        <v>0.65699795918367354</v>
      </c>
      <c r="F28" s="4">
        <f>SUM(F24:F27)</f>
        <v>0.77293877551020407</v>
      </c>
      <c r="H28" s="49"/>
      <c r="I28" s="7"/>
      <c r="J28" s="7" t="s">
        <v>98</v>
      </c>
      <c r="K28" s="7" t="s">
        <v>74</v>
      </c>
      <c r="L28" s="7" t="s">
        <v>75</v>
      </c>
      <c r="N28" s="32"/>
      <c r="O28" s="13" t="s">
        <v>76</v>
      </c>
      <c r="P28" s="13" t="s">
        <v>77</v>
      </c>
      <c r="Q28" s="13" t="s">
        <v>78</v>
      </c>
    </row>
    <row r="29" spans="1:17" x14ac:dyDescent="0.2">
      <c r="I29" s="7" t="s">
        <v>79</v>
      </c>
      <c r="J29" s="22"/>
      <c r="K29" s="3"/>
      <c r="L29" s="3"/>
      <c r="N29" s="17" t="s">
        <v>96</v>
      </c>
      <c r="O29" s="57">
        <f>J23*I20</f>
        <v>22.744636618696781</v>
      </c>
      <c r="P29" s="57">
        <f>J23*J20</f>
        <v>50.498019929597547</v>
      </c>
      <c r="Q29" s="59">
        <f>J23*K20</f>
        <v>83.588592338748455</v>
      </c>
    </row>
    <row r="30" spans="1:17" x14ac:dyDescent="0.2">
      <c r="B30" s="19" t="s">
        <v>1</v>
      </c>
      <c r="C30" s="19" t="s">
        <v>90</v>
      </c>
      <c r="D30" s="19" t="s">
        <v>93</v>
      </c>
      <c r="E30" s="20" t="s">
        <v>91</v>
      </c>
      <c r="F30" s="20" t="s">
        <v>92</v>
      </c>
      <c r="H30" s="50"/>
      <c r="I30" s="7" t="s">
        <v>81</v>
      </c>
      <c r="J30" s="22">
        <f>C31*F31</f>
        <v>31163.884823289376</v>
      </c>
      <c r="K30" s="3">
        <f>J30 - J30 * O24</f>
        <v>31163.884823289376</v>
      </c>
      <c r="L30" s="3">
        <f>J30 - J30 * O25</f>
        <v>28711.046982385309</v>
      </c>
      <c r="N30" s="17" t="s">
        <v>103</v>
      </c>
      <c r="O30" s="7"/>
      <c r="P30" s="6"/>
      <c r="Q30" s="42"/>
    </row>
    <row r="31" spans="1:17" x14ac:dyDescent="0.2">
      <c r="B31" s="18">
        <v>2022</v>
      </c>
      <c r="C31" s="3">
        <v>61500</v>
      </c>
      <c r="D31" s="31">
        <v>821937</v>
      </c>
      <c r="E31" s="52">
        <f>E22/D31</f>
        <v>0.59615274650003591</v>
      </c>
      <c r="F31" s="52">
        <f>F22/D31</f>
        <v>0.50672983452503051</v>
      </c>
      <c r="H31" s="51"/>
      <c r="N31" s="17" t="s">
        <v>104</v>
      </c>
      <c r="O31" s="7"/>
      <c r="P31" s="42">
        <f>J25*J20</f>
        <v>36.413208125642278</v>
      </c>
      <c r="Q31" s="42">
        <f>J25*K20</f>
        <v>60.274220929924937</v>
      </c>
    </row>
    <row r="32" spans="1:17" x14ac:dyDescent="0.2">
      <c r="A32" s="16"/>
      <c r="B32" s="16"/>
      <c r="C32" s="16"/>
      <c r="D32" s="16"/>
      <c r="E32" s="16"/>
      <c r="F32" s="16"/>
      <c r="G32" s="16"/>
      <c r="H32" s="16"/>
      <c r="I32" s="93" t="s">
        <v>71</v>
      </c>
      <c r="J32" s="93"/>
      <c r="N32" s="17" t="s">
        <v>84</v>
      </c>
      <c r="O32" s="57">
        <f>K23*I20</f>
        <v>15.162660054759579</v>
      </c>
      <c r="P32" s="60">
        <f>K23*J20</f>
        <v>33.664389652264049</v>
      </c>
      <c r="Q32" s="60">
        <f>K23*K20</f>
        <v>55.724144172365527</v>
      </c>
    </row>
    <row r="33" spans="5:17" x14ac:dyDescent="0.2">
      <c r="I33" s="17" t="s">
        <v>72</v>
      </c>
      <c r="J33" s="55">
        <f>((J13-K13)/P21)*1000</f>
        <v>44.545750710569145</v>
      </c>
      <c r="N33" s="17" t="s">
        <v>86</v>
      </c>
      <c r="O33" s="18"/>
      <c r="P33" s="6"/>
      <c r="Q33" s="42"/>
    </row>
    <row r="34" spans="5:17" x14ac:dyDescent="0.2">
      <c r="I34" s="17" t="s">
        <v>73</v>
      </c>
      <c r="J34" s="55">
        <f>((J13-K13)/Q21)*1000</f>
        <v>29.696322971948447</v>
      </c>
      <c r="N34" s="17" t="s">
        <v>88</v>
      </c>
      <c r="O34" s="7"/>
      <c r="P34" s="42">
        <f>K25*J20</f>
        <v>24.274782031842303</v>
      </c>
      <c r="Q34" s="42">
        <f>K25*K20</f>
        <v>40.181671721000754</v>
      </c>
    </row>
    <row r="35" spans="5:17" ht="14" customHeight="1" x14ac:dyDescent="0.2"/>
    <row r="36" spans="5:17" x14ac:dyDescent="0.2">
      <c r="E36" s="16"/>
      <c r="G36" s="16"/>
      <c r="H36" s="16"/>
    </row>
    <row r="40" spans="5:17" x14ac:dyDescent="0.2">
      <c r="M40" s="75"/>
    </row>
  </sheetData>
  <mergeCells count="14">
    <mergeCell ref="A23:F23"/>
    <mergeCell ref="I1:Q1"/>
    <mergeCell ref="R1:U1"/>
    <mergeCell ref="I32:J32"/>
    <mergeCell ref="I27:L27"/>
    <mergeCell ref="N27:Q27"/>
    <mergeCell ref="M24:N24"/>
    <mergeCell ref="M25:N25"/>
    <mergeCell ref="C1:G1"/>
    <mergeCell ref="F19:F21"/>
    <mergeCell ref="A3:A6"/>
    <mergeCell ref="A7:A10"/>
    <mergeCell ref="A11:A14"/>
    <mergeCell ref="I18:K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CFD37-1AB2-8043-9F81-8E8C51AA9CBE}">
  <dimension ref="A1:E25"/>
  <sheetViews>
    <sheetView workbookViewId="0">
      <selection activeCell="C8" sqref="C8"/>
    </sheetView>
  </sheetViews>
  <sheetFormatPr baseColWidth="10" defaultRowHeight="16" x14ac:dyDescent="0.2"/>
  <cols>
    <col min="1" max="1" width="29.33203125" customWidth="1"/>
    <col min="2" max="2" width="60" customWidth="1"/>
    <col min="3" max="3" width="15.83203125" customWidth="1"/>
  </cols>
  <sheetData>
    <row r="1" spans="1:5" x14ac:dyDescent="0.2">
      <c r="A1" s="110" t="s">
        <v>105</v>
      </c>
      <c r="B1" s="110"/>
    </row>
    <row r="2" spans="1:5" x14ac:dyDescent="0.2">
      <c r="A2" t="s">
        <v>106</v>
      </c>
      <c r="B2" t="s">
        <v>108</v>
      </c>
    </row>
    <row r="3" spans="1:5" x14ac:dyDescent="0.2">
      <c r="A3" t="s">
        <v>128</v>
      </c>
      <c r="B3" t="s">
        <v>109</v>
      </c>
      <c r="C3" t="s">
        <v>120</v>
      </c>
    </row>
    <row r="6" spans="1:5" x14ac:dyDescent="0.2">
      <c r="A6" s="108" t="s">
        <v>32</v>
      </c>
      <c r="B6" s="108"/>
      <c r="C6" s="25"/>
      <c r="D6" s="25"/>
      <c r="E6" s="25"/>
    </row>
    <row r="7" spans="1:5" x14ac:dyDescent="0.2">
      <c r="A7" s="8" t="s">
        <v>51</v>
      </c>
      <c r="B7" s="8" t="s">
        <v>52</v>
      </c>
    </row>
    <row r="8" spans="1:5" x14ac:dyDescent="0.2">
      <c r="A8" t="s">
        <v>50</v>
      </c>
      <c r="B8" t="s">
        <v>138</v>
      </c>
    </row>
    <row r="9" spans="1:5" x14ac:dyDescent="0.2">
      <c r="A9" t="s">
        <v>53</v>
      </c>
      <c r="B9" t="s">
        <v>55</v>
      </c>
    </row>
    <row r="10" spans="1:5" x14ac:dyDescent="0.2">
      <c r="A10" t="s">
        <v>54</v>
      </c>
      <c r="B10" t="s">
        <v>56</v>
      </c>
    </row>
    <row r="11" spans="1:5" x14ac:dyDescent="0.2">
      <c r="A11" t="s">
        <v>57</v>
      </c>
      <c r="B11" t="s">
        <v>58</v>
      </c>
      <c r="C11" t="s">
        <v>115</v>
      </c>
    </row>
    <row r="12" spans="1:5" x14ac:dyDescent="0.2">
      <c r="A12" t="s">
        <v>41</v>
      </c>
      <c r="B12" t="s">
        <v>59</v>
      </c>
      <c r="C12" t="s">
        <v>116</v>
      </c>
    </row>
    <row r="15" spans="1:5" x14ac:dyDescent="0.2">
      <c r="A15" s="109" t="s">
        <v>47</v>
      </c>
      <c r="B15" s="109"/>
    </row>
    <row r="16" spans="1:5" x14ac:dyDescent="0.2">
      <c r="A16" t="s">
        <v>48</v>
      </c>
      <c r="B16" t="s">
        <v>62</v>
      </c>
      <c r="C16" t="s">
        <v>111</v>
      </c>
    </row>
    <row r="17" spans="1:3" x14ac:dyDescent="0.2">
      <c r="A17" t="s">
        <v>60</v>
      </c>
      <c r="B17" t="s">
        <v>61</v>
      </c>
      <c r="C17" t="s">
        <v>110</v>
      </c>
    </row>
    <row r="18" spans="1:3" x14ac:dyDescent="0.2">
      <c r="A18" t="s">
        <v>63</v>
      </c>
      <c r="B18" t="s">
        <v>49</v>
      </c>
    </row>
    <row r="19" spans="1:3" x14ac:dyDescent="0.2">
      <c r="A19" t="s">
        <v>64</v>
      </c>
      <c r="B19" t="s">
        <v>112</v>
      </c>
      <c r="C19" t="s">
        <v>113</v>
      </c>
    </row>
    <row r="22" spans="1:3" x14ac:dyDescent="0.2">
      <c r="A22" s="111" t="s">
        <v>117</v>
      </c>
      <c r="B22" s="111"/>
    </row>
    <row r="23" spans="1:3" x14ac:dyDescent="0.2">
      <c r="A23" t="s">
        <v>121</v>
      </c>
      <c r="B23" t="s">
        <v>122</v>
      </c>
      <c r="C23" t="s">
        <v>123</v>
      </c>
    </row>
    <row r="24" spans="1:3" x14ac:dyDescent="0.2">
      <c r="A24" t="s">
        <v>118</v>
      </c>
      <c r="C24" t="s">
        <v>124</v>
      </c>
    </row>
    <row r="25" spans="1:3" x14ac:dyDescent="0.2">
      <c r="A25" t="s">
        <v>119</v>
      </c>
    </row>
  </sheetData>
  <mergeCells count="4">
    <mergeCell ref="A6:B6"/>
    <mergeCell ref="A15:B15"/>
    <mergeCell ref="A1:B1"/>
    <mergeCell ref="A22:B2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A348E-9FE3-8A4F-86F9-8354F69AF717}">
  <dimension ref="A1:S28"/>
  <sheetViews>
    <sheetView workbookViewId="0">
      <selection activeCell="O18" sqref="O18"/>
    </sheetView>
  </sheetViews>
  <sheetFormatPr baseColWidth="10" defaultRowHeight="16" x14ac:dyDescent="0.2"/>
  <cols>
    <col min="1" max="1" width="8.6640625" customWidth="1"/>
    <col min="3" max="3" width="13.33203125" customWidth="1"/>
    <col min="4" max="4" width="16.33203125" customWidth="1"/>
    <col min="5" max="5" width="13.83203125" customWidth="1"/>
    <col min="6" max="6" width="11.83203125" customWidth="1"/>
    <col min="7" max="7" width="13" customWidth="1"/>
    <col min="8" max="8" width="11.83203125" customWidth="1"/>
    <col min="9" max="9" width="13.83203125" customWidth="1"/>
    <col min="10" max="10" width="13.33203125" customWidth="1"/>
    <col min="13" max="13" width="12.6640625" customWidth="1"/>
    <col min="14" max="14" width="14.5" customWidth="1"/>
    <col min="15" max="15" width="13.1640625" customWidth="1"/>
    <col min="16" max="16" width="13.83203125" customWidth="1"/>
    <col min="20" max="20" width="13.6640625" customWidth="1"/>
  </cols>
  <sheetData>
    <row r="1" spans="1:19" ht="19" x14ac:dyDescent="0.25">
      <c r="A1" s="68" t="s">
        <v>101</v>
      </c>
      <c r="B1" s="68" t="s">
        <v>129</v>
      </c>
    </row>
    <row r="3" spans="1:19" x14ac:dyDescent="0.2">
      <c r="A3" s="74"/>
      <c r="B3" s="74"/>
      <c r="C3" s="73" t="s">
        <v>107</v>
      </c>
      <c r="D3" s="73"/>
      <c r="E3" s="121" t="s">
        <v>105</v>
      </c>
      <c r="F3" s="121"/>
      <c r="G3" s="120" t="s">
        <v>32</v>
      </c>
      <c r="H3" s="120"/>
      <c r="I3" s="120"/>
      <c r="J3" s="120"/>
      <c r="K3" s="120"/>
      <c r="L3" s="120"/>
      <c r="M3" s="116" t="s">
        <v>47</v>
      </c>
      <c r="N3" s="116"/>
      <c r="O3" s="116"/>
      <c r="P3" s="116"/>
      <c r="Q3" s="112" t="s">
        <v>117</v>
      </c>
      <c r="R3" s="112"/>
      <c r="S3" s="112"/>
    </row>
    <row r="4" spans="1:19" ht="51" x14ac:dyDescent="0.2">
      <c r="A4" s="1" t="s">
        <v>1</v>
      </c>
      <c r="B4" s="1" t="s">
        <v>2</v>
      </c>
      <c r="C4" s="1" t="s">
        <v>30</v>
      </c>
      <c r="D4" s="1" t="s">
        <v>31</v>
      </c>
      <c r="E4" s="1" t="s">
        <v>106</v>
      </c>
      <c r="F4" s="1" t="s">
        <v>128</v>
      </c>
      <c r="G4" s="30" t="s">
        <v>37</v>
      </c>
      <c r="H4" s="30" t="s">
        <v>38</v>
      </c>
      <c r="I4" s="29" t="s">
        <v>39</v>
      </c>
      <c r="J4" s="29" t="s">
        <v>40</v>
      </c>
      <c r="K4" s="29" t="s">
        <v>114</v>
      </c>
      <c r="L4" s="29" t="s">
        <v>41</v>
      </c>
      <c r="M4" s="29" t="s">
        <v>48</v>
      </c>
      <c r="N4" s="29" t="s">
        <v>60</v>
      </c>
      <c r="O4" s="29" t="s">
        <v>102</v>
      </c>
      <c r="P4" s="76" t="s">
        <v>64</v>
      </c>
      <c r="Q4" s="1" t="s">
        <v>5</v>
      </c>
      <c r="R4" s="29" t="s">
        <v>118</v>
      </c>
      <c r="S4" s="29" t="s">
        <v>119</v>
      </c>
    </row>
    <row r="5" spans="1:19" x14ac:dyDescent="0.2">
      <c r="A5" s="117">
        <v>2023</v>
      </c>
      <c r="B5" s="1"/>
      <c r="C5" s="1"/>
      <c r="D5" s="1"/>
      <c r="E5" s="1"/>
      <c r="F5" s="1"/>
      <c r="G5" s="30"/>
      <c r="H5" s="30"/>
      <c r="I5" s="29"/>
      <c r="J5" s="29"/>
      <c r="K5" s="29"/>
      <c r="L5" s="29"/>
      <c r="M5" s="29"/>
      <c r="N5" s="29"/>
      <c r="O5" s="29"/>
      <c r="P5" s="77"/>
      <c r="Q5" s="1"/>
      <c r="R5" s="29"/>
      <c r="S5" s="29"/>
    </row>
    <row r="6" spans="1:19" x14ac:dyDescent="0.2">
      <c r="A6" s="118"/>
      <c r="B6" s="2" t="str" cm="1">
        <f t="array" aca="1" ref="B6" ca="1">INDIRECT("'"&amp;B1&amp;"'!B3")</f>
        <v>Q3/2023</v>
      </c>
      <c r="C6" s="4" cm="1">
        <f t="array" aca="1" ref="C6" ca="1">(INDIRECT("'" &amp; B1 &amp; "'!C3") - INDIRECT("'" &amp; B1 &amp; "'!C7")) / INDIRECT("'" &amp; B1 &amp; "'!C7")</f>
        <v>-0.12485935790138869</v>
      </c>
      <c r="D6" s="4" cm="1">
        <f t="array" aca="1" ref="D6" ca="1">(INDIRECT("'" &amp; B1 &amp; "'!G3") - INDIRECT("'" &amp; B1 &amp; "'!G7")) / INDIRECT("'" &amp; B1 &amp; "'!G7")</f>
        <v>-0.58965854085262726</v>
      </c>
      <c r="E6" s="26" cm="1">
        <f t="array" aca="1" ref="E6" ca="1">-(INDIRECT("'" &amp; B1 &amp; "'!D3") / INDIRECT("'" &amp; B1 &amp; "'!C3")*100%)</f>
        <v>0.76778208289303751</v>
      </c>
      <c r="F6" s="27" cm="1">
        <f t="array" aca="1" ref="F6" ca="1">(INDIRECT("'" &amp; B1 &amp; "'!F3") / INDIRECT("'" &amp; B1 &amp; "'!C3"))</f>
        <v>-2.6323822942350594E-2</v>
      </c>
      <c r="G6" s="23" cm="1">
        <f t="array" aca="1" ref="G6" ca="1">INDIRECT("'" &amp; B1 &amp; "'!J3")/INDIRECT("'" &amp; B1 &amp; "'!K3")</f>
        <v>2.6135017846807864</v>
      </c>
      <c r="H6" s="24" cm="1">
        <f t="array" aca="1" ref="H6" ca="1">(INDIRECT("'" &amp; B1 &amp; "'!L3") - INDIRECT("'" &amp; B1 &amp; "'!N3")) / INDIRECT("'" &amp; B1 &amp; "'!M3")</f>
        <v>2.0360808039661342</v>
      </c>
      <c r="I6" s="24" cm="1">
        <f t="array" aca="1" ref="I6" ca="1">(INDIRECT("'" &amp; B1 &amp; "'!P3") + INDIRECT("'" &amp; B1 &amp; "'!Q3")) / INDIRECT("'" &amp; B1 &amp; "'!M3")</f>
        <v>0.4954438987358179</v>
      </c>
      <c r="J6" s="14" cm="1">
        <f t="array" aca="1" ref="J6" ca="1">(INDIRECT("'" &amp; B1 &amp; "'!I3") + INDIRECT("'" &amp; B1 &amp; "'!K3") - INDIRECT("'" &amp; B1 &amp; "'!M3")) / (INDIRECT("'" &amp; B1 &amp; "'!J3") - INDIRECT("'" &amp; B1 &amp; "'!L3"))</f>
        <v>1.3034266478125056</v>
      </c>
      <c r="K6" s="27" cm="1">
        <f t="array" aca="1" ref="K6" ca="1">IF(
    (INDIRECT("'" &amp; B1 &amp; "'!M3") &gt; INDIRECT("'" &amp; B1 &amp; "'!M6")),(INDIRECT("'" &amp; B1 &amp; "'!M3") - INDIRECT("'" &amp; B1 &amp; "'!M6")) / INDIRECT("'" &amp; B1 &amp; "'!M3"), -((INDIRECT("'" &amp; B1 &amp; "'!M6") - INDIRECT("'" &amp; B1 &amp; "'!M3")) / INDIRECT("'" &amp; B1 &amp; "'!M6"))
)</f>
        <v>-5.6302973447886852E-2</v>
      </c>
      <c r="L6" s="14" cm="1">
        <f t="array" aca="1" ref="L6" ca="1">(INDIRECT("'"&amp;B1&amp;"'!K3")/INDIRECT("'"&amp;B1&amp;"'!J3"))</f>
        <v>0.38262839760109069</v>
      </c>
      <c r="M6" s="27" cm="1">
        <f t="array" aca="1" ref="M6" ca="1">INDIRECT("'" &amp; B1 &amp; "'!N3")/INDIRECT("'" &amp; B1 &amp; "'!C3")</f>
        <v>0.12491634378302219</v>
      </c>
      <c r="N6" s="27" cm="1">
        <f t="array" aca="1" ref="N6" ca="1">INDIRECT("'" &amp; B1 &amp; "'!O3")/INDIRECT("'" &amp; B1 &amp; "'!L3")</f>
        <v>0.65272322437833519</v>
      </c>
      <c r="O6" s="27" cm="1">
        <f t="array" aca="1" ref="O6" ca="1">INDIRECT("'" &amp; B1 &amp; "'!O3")/INDIRECT("'" &amp; B1 &amp; "'!C3")</f>
        <v>1.7669998238816484</v>
      </c>
      <c r="P6" s="77" cm="1">
        <f t="array" aca="1" ref="P6" ca="1">INDIRECT("'" &amp; B1 &amp; "'!P3")/INDIRECT("'" &amp; B1 &amp; "'!J3")</f>
        <v>6.1198390744812474E-2</v>
      </c>
      <c r="Q6" s="4" cm="1">
        <f t="array" aca="1" ref="Q6" ca="1">INDIRECT("'" &amp; B1 &amp; "'!E3") / INDIRECT("'" &amp; B1 &amp; "'!C3")*100%</f>
        <v>0.23221644945403311</v>
      </c>
      <c r="R6" s="26" cm="1">
        <f t="array" aca="1" ref="R6" ca="1">(INDIRECT("'" &amp; B1 &amp; "'!G3") / INDIRECT("'" &amp; B1 &amp; "'!I3"))</f>
        <v>3.5926595854677564E-2</v>
      </c>
      <c r="S6" s="26" cm="1">
        <f t="array" aca="1" ref="S6" ca="1">(INDIRECT("'" &amp; B1 &amp; "'!G3") / INDIRECT("'" &amp; B1 &amp; "'!J3"))</f>
        <v>2.2180060051540298E-2</v>
      </c>
    </row>
    <row r="7" spans="1:19" x14ac:dyDescent="0.2">
      <c r="A7" s="118"/>
      <c r="B7" s="2" t="str" cm="1">
        <f t="array" aca="1" ref="B7" ca="1">INDIRECT("'"&amp;B1&amp;"'!B4")</f>
        <v>Q2/2023</v>
      </c>
      <c r="C7" s="4" cm="1">
        <f t="array" aca="1" ref="C7" ca="1">(INDIRECT("'" &amp; B1 &amp; "'!C4") - INDIRECT("'" &amp; B1 &amp; "'!C8")) / INDIRECT("'" &amp; B1 &amp; "'!C8")</f>
        <v>-0.34200475452018408</v>
      </c>
      <c r="D7" s="4" cm="1">
        <f t="array" aca="1" ref="D7" ca="1">(INDIRECT("'" &amp; B1 &amp; "'!G4") - INDIRECT("'" &amp; B1 &amp; "'!G8")) / INDIRECT("'" &amp; B1 &amp; "'!G8")</f>
        <v>-0.75427067214923771</v>
      </c>
      <c r="E7" s="26" cm="1">
        <f t="array" aca="1" ref="E7" ca="1">-(INDIRECT("'" &amp; B1 &amp; "'!D4") / INDIRECT("'" &amp; B1 &amp; "'!C4")*100%)</f>
        <v>0.7592583203445078</v>
      </c>
      <c r="F7" s="27" cm="1">
        <f t="array" aca="1" ref="F7" ca="1">(INDIRECT("'" &amp; B1 &amp; "'!F4") / INDIRECT("'" &amp; B1 &amp; "'!C4"))</f>
        <v>-3.1456127754435147E-2</v>
      </c>
      <c r="G7" s="23" cm="1">
        <f t="array" aca="1" ref="G7" ca="1">INDIRECT("'" &amp; B1 &amp; "'!J4")/INDIRECT("'" &amp; B1 &amp; "'!K4")</f>
        <v>2.5794550030705725</v>
      </c>
      <c r="H7" s="24" cm="1">
        <f t="array" aca="1" ref="H7" ca="1">(INDIRECT("'" &amp; B1 &amp; "'!L4") - INDIRECT("'" &amp; B1 &amp; "'!N4")) / INDIRECT("'" &amp; B1 &amp; "'!M4")</f>
        <v>2.0055871746146083</v>
      </c>
      <c r="I7" s="24" cm="1">
        <f t="array" aca="1" ref="I7" ca="1">(INDIRECT("'" &amp; B1 &amp; "'!P4") + INDIRECT("'" &amp; B1 &amp; "'!Q4")) / INDIRECT("'" &amp; B1 &amp; "'!M4")</f>
        <v>0.58963884768670116</v>
      </c>
      <c r="J7" s="14" cm="1">
        <f t="array" aca="1" ref="J7" ca="1">(INDIRECT("'" &amp; B1 &amp; "'!I4") + INDIRECT("'" &amp; B1 &amp; "'!K4") - INDIRECT("'" &amp; B1 &amp; "'!M4")) / (INDIRECT("'" &amp; B1 &amp; "'!J4") - INDIRECT("'" &amp; B1 &amp; "'!L4"))</f>
        <v>1.2902962134560061</v>
      </c>
      <c r="K7" s="27" cm="1">
        <f t="array" aca="1" ref="K7" ca="1">IF(
    (INDIRECT("'" &amp; B1 &amp; "'!M4") &gt; INDIRECT("'" &amp; B1 &amp; "'!M6")),(INDIRECT("'" &amp; B1 &amp; "'!M4") - INDIRECT("'" &amp; B1 &amp; "'!M6")) / INDIRECT("'" &amp; B1 &amp; "'!M4"), -((INDIRECT("'" &amp; B1 &amp; "'!M6") - INDIRECT("'" &amp; B1 &amp; "'!M4")) / INDIRECT("'" &amp; B1 &amp; "'!M6"))
)</f>
        <v>-7.8188563359547256E-2</v>
      </c>
      <c r="L7" s="14" cm="1">
        <f t="array" aca="1" ref="L7" ca="1">(INDIRECT("'"&amp;B1&amp;"'!K4")/INDIRECT("'"&amp;B1&amp;"'!J4"))</f>
        <v>0.38767879215167705</v>
      </c>
      <c r="M7" s="27" cm="1">
        <f t="array" aca="1" ref="M7" ca="1">INDIRECT("'" &amp; B1 &amp; "'!N4")/INDIRECT("'" &amp; B1 &amp; "'!C4")</f>
        <v>0.13886621864077733</v>
      </c>
      <c r="N7" s="27" cm="1">
        <f t="array" aca="1" ref="N7" ca="1">INDIRECT("'" &amp; B1 &amp; "'!O4")/INDIRECT("'" &amp; B1 &amp; "'!L4")</f>
        <v>0.60316553172675491</v>
      </c>
      <c r="O7" s="27" cm="1">
        <f t="array" aca="1" ref="O7" ca="1">INDIRECT("'" &amp; B1 &amp; "'!O4")/INDIRECT("'" &amp; B1 &amp; "'!C4")</f>
        <v>1.7537645786959273</v>
      </c>
      <c r="P7" s="77" cm="1">
        <f t="array" aca="1" ref="P7" ca="1">INDIRECT("'" &amp; B1 &amp; "'!P4")/INDIRECT("'" &amp; B1 &amp; "'!J4")</f>
        <v>7.5608858948002428E-2</v>
      </c>
      <c r="Q7" s="4" cm="1">
        <f t="array" aca="1" ref="Q7" ca="1">INDIRECT("'" &amp; B1 &amp; "'!E4") / INDIRECT("'" &amp; B1 &amp; "'!C4")*100%</f>
        <v>0.24074004412657032</v>
      </c>
      <c r="R7" s="26" cm="1">
        <f t="array" aca="1" ref="R7" ca="1">(INDIRECT("'" &amp; B1 &amp; "'!G4") / INDIRECT("'" &amp; B1 &amp; "'!I4"))</f>
        <v>2.6069189958456723E-2</v>
      </c>
      <c r="S7" s="26" cm="1">
        <f t="array" aca="1" ref="S7" ca="1">(INDIRECT("'" &amp; B1 &amp; "'!G4") / INDIRECT("'" &amp; B1 &amp; "'!J4"))</f>
        <v>1.5962717882989592E-2</v>
      </c>
    </row>
    <row r="8" spans="1:19" x14ac:dyDescent="0.2">
      <c r="A8" s="119"/>
      <c r="B8" s="2" t="str" cm="1">
        <f t="array" aca="1" ref="B8" ca="1">INDIRECT("'"&amp;B1&amp;"'!B5")</f>
        <v>Q1/2023</v>
      </c>
      <c r="C8" s="4" cm="1">
        <f t="array" aca="1" ref="C8" ca="1">(INDIRECT("'" &amp; B1 &amp; "'!C5") - INDIRECT("'" &amp; B1 &amp; "'!C9")) / INDIRECT("'" &amp; B1 &amp; "'!C9")</f>
        <v>4.1229149775232161E-3</v>
      </c>
      <c r="D8" s="4" cm="1">
        <f t="array" aca="1" ref="D8" ca="1">(INDIRECT("'" &amp; B1 &amp; "'!G5") - INDIRECT("'" &amp; B1 &amp; "'!G9")) / INDIRECT("'" &amp; B1 &amp; "'!G9")</f>
        <v>-0.51890696319870866</v>
      </c>
      <c r="E8" s="26" cm="1">
        <f t="array" aca="1" ref="E8" ca="1">-(INDIRECT("'" &amp; B1 &amp; "'!D5") / INDIRECT("'" &amp; B1 &amp; "'!C5")*100%)</f>
        <v>0.70623880966082109</v>
      </c>
      <c r="F8" s="27" cm="1">
        <f t="array" aca="1" ref="F8" ca="1">(INDIRECT("'" &amp; B1 &amp; "'!F5") / INDIRECT("'" &amp; B1 &amp; "'!C5"))</f>
        <v>-2.9729478081817501E-2</v>
      </c>
      <c r="G8" s="23" cm="1">
        <f t="array" aca="1" ref="G8" ca="1">INDIRECT("'" &amp; B1 &amp; "'!J5")/INDIRECT("'" &amp; B1 &amp; "'!K5")</f>
        <v>2.5458928972555035</v>
      </c>
      <c r="H8" s="24" cm="1">
        <f t="array" aca="1" ref="H8" ca="1">(INDIRECT("'" &amp; B1 &amp; "'!L5") - INDIRECT("'" &amp; B1 &amp; "'!N5")) / INDIRECT("'" &amp; B1 &amp; "'!M5")</f>
        <v>2.131221856325225</v>
      </c>
      <c r="I8" s="24" cm="1">
        <f t="array" aca="1" ref="I8" ca="1">(INDIRECT("'" &amp; B1 &amp; "'!P5") + INDIRECT("'" &amp; B1 &amp; "'!Q5")) / INDIRECT("'" &amp; B1 &amp; "'!M5")</f>
        <v>0.65479810201161515</v>
      </c>
      <c r="J8" s="14" cm="1">
        <f t="array" aca="1" ref="J8" ca="1">(INDIRECT("'" &amp; B1 &amp; "'!I5") + INDIRECT("'" &amp; B1 &amp; "'!K5") - INDIRECT("'" &amp; B1 &amp; "'!M5")) / (INDIRECT("'" &amp; B1 &amp; "'!J5") - INDIRECT("'" &amp; B1 &amp; "'!L5"))</f>
        <v>1.2842782298088353</v>
      </c>
      <c r="K8" s="27" cm="1">
        <f t="array" aca="1" ref="K8" ca="1">IF(
    (INDIRECT("'" &amp; B1 &amp; "'!M5") &gt; INDIRECT("'" &amp; B1 &amp; "'!M6")),(INDIRECT("'" &amp; B1 &amp; "'!M5") - INDIRECT("'" &amp; B1 &amp; "'!M6")) / INDIRECT("'" &amp; B1 &amp; "'!M5"), -((INDIRECT("'" &amp; B1 &amp; "'!M6") - INDIRECT("'" &amp; B1 &amp; "'!M5")) / INDIRECT("'" &amp; B1 &amp; "'!M6"))
)</f>
        <v>-0.16958820362335381</v>
      </c>
      <c r="L8" s="14" cm="1">
        <f t="array" aca="1" ref="L8" ca="1">(INDIRECT("'"&amp;B1&amp;"'!K5")/INDIRECT("'"&amp;B1&amp;"'!J5"))</f>
        <v>0.39278950072016355</v>
      </c>
      <c r="M8" s="27" cm="1">
        <f t="array" aca="1" ref="M8" ca="1">INDIRECT("'" &amp; B1 &amp; "'!N5")/INDIRECT("'" &amp; B1 &amp; "'!C5")</f>
        <v>0.10738451722606279</v>
      </c>
      <c r="N8" s="27" cm="1">
        <f t="array" aca="1" ref="N8" ca="1">INDIRECT("'" &amp; B1 &amp; "'!O5")/INDIRECT("'" &amp; B1 &amp; "'!L5")</f>
        <v>0.59010206996396597</v>
      </c>
      <c r="O8" s="27" cm="1">
        <f t="array" aca="1" ref="O8" ca="1">INDIRECT("'" &amp; B1 &amp; "'!O5")/INDIRECT("'" &amp; B1 &amp; "'!C5")</f>
        <v>1.5230354992284103</v>
      </c>
      <c r="P8" s="77" cm="1">
        <f t="array" aca="1" ref="P8" ca="1">INDIRECT("'" &amp; B1 &amp; "'!P5")/INDIRECT("'" &amp; B1 &amp; "'!J5")</f>
        <v>7.6105476264818755E-2</v>
      </c>
      <c r="Q8" s="4" cm="1">
        <f t="array" aca="1" ref="Q8" ca="1">INDIRECT("'" &amp; B1 &amp; "'!E5") / INDIRECT("'" &amp; B1 &amp; "'!C5")*100%</f>
        <v>0.29375966395020309</v>
      </c>
      <c r="R8" s="26" cm="1">
        <f t="array" aca="1" ref="R8" ca="1">(INDIRECT("'" &amp; B1 &amp; "'!G5") / INDIRECT("'" &amp; B1 &amp; "'!I5"))</f>
        <v>4.1925061449107466E-2</v>
      </c>
      <c r="S8" s="26" cm="1">
        <f t="array" aca="1" ref="S8" ca="1">(INDIRECT("'" &amp; B1 &amp; "'!G5") / INDIRECT("'" &amp; B1 &amp; "'!J5"))</f>
        <v>2.5457329049283363E-2</v>
      </c>
    </row>
    <row r="9" spans="1:19" x14ac:dyDescent="0.2">
      <c r="A9" s="117">
        <v>2022</v>
      </c>
      <c r="B9" s="2" t="str" cm="1">
        <f t="array" aca="1" ref="B9" ca="1">INDIRECT("'"&amp;B1&amp;"'!B6")</f>
        <v>Q4/2022</v>
      </c>
      <c r="C9" s="4" cm="1">
        <f t="array" aca="1" ref="C9" ca="1">(INDIRECT("'" &amp; B1 &amp; "'!C6") - INDIRECT("'" &amp; B1 &amp; "'!C10")) / INDIRECT("'" &amp; B1 &amp; "'!C10")</f>
        <v>0.25906470287732175</v>
      </c>
      <c r="D9" s="4" cm="1">
        <f t="array" aca="1" ref="D9" ca="1">(INDIRECT("'" &amp; B1 &amp; "'!G6") - INDIRECT("'" &amp; B1 &amp; "'!G10")) / INDIRECT("'" &amp; B1 &amp; "'!G10")</f>
        <v>-0.28922498818693887</v>
      </c>
      <c r="E9" s="26" cm="1">
        <f t="array" aca="1" ref="E9" ca="1">-(INDIRECT("'" &amp; B1 &amp; "'!D6") / INDIRECT("'" &amp; B1 &amp; "'!C6")*100%)</f>
        <v>0.6795750947815441</v>
      </c>
      <c r="F9" s="27" cm="1">
        <f t="array" aca="1" ref="F9" ca="1">(INDIRECT("'" &amp; B1 &amp; "'!F6") / INDIRECT("'" &amp; B1 &amp; "'!C6"))</f>
        <v>-2.4629597866010541E-2</v>
      </c>
      <c r="G9" s="23" cm="1">
        <f t="array" aca="1" ref="G9" ca="1">INDIRECT("'" &amp; B1 &amp; "'!J6")/INDIRECT("'" &amp; B1 &amp; "'!K6")</f>
        <v>2.3553856060934555</v>
      </c>
      <c r="H9" s="24" cm="1">
        <f t="array" aca="1" ref="H9" ca="1">(INDIRECT("'" &amp; B1 &amp; "'!L6") - INDIRECT("'" &amp; B1 &amp; "'!N6")) / INDIRECT("'" &amp; B1 &amp; "'!M6")</f>
        <v>1.8255388671258563</v>
      </c>
      <c r="I9" s="24" cm="1">
        <f t="array" aca="1" ref="I9" ca="1">(INDIRECT("'" &amp; B1 &amp; "'!P6") + INDIRECT("'" &amp; B1 &amp; "'!Q6")) / INDIRECT("'" &amp; B1 &amp; "'!M6")</f>
        <v>0.60674630953694064</v>
      </c>
      <c r="J9" s="14" cm="1">
        <f t="array" aca="1" ref="J9" ca="1">(INDIRECT("'" &amp; B1 &amp; "'!I6") + INDIRECT("'" &amp; B1 &amp; "'!K6") - INDIRECT("'" &amp; B1 &amp; "'!M6")) / (INDIRECT("'" &amp; B1 &amp; "'!J6") - INDIRECT("'" &amp; B1 &amp; "'!L6"))</f>
        <v>1.248613475412933</v>
      </c>
      <c r="K9" s="27"/>
      <c r="L9" s="14" cm="1">
        <f t="array" aca="1" ref="L9" ca="1">(INDIRECT("'"&amp;B1&amp;"'!K6")/INDIRECT("'"&amp;B1&amp;"'!J6"))</f>
        <v>0.42455893311607623</v>
      </c>
      <c r="M9" s="27" cm="1">
        <f t="array" aca="1" ref="M9" ca="1">INDIRECT("'" &amp; B1 &amp; "'!N6")/INDIRECT("'" &amp; B1 &amp; "'!C6")</f>
        <v>9.2787139283031589E-2</v>
      </c>
      <c r="N9" s="27" cm="1">
        <f t="array" aca="1" ref="N9" ca="1">INDIRECT("'" &amp; B1 &amp; "'!O6")/INDIRECT("'" &amp; B1 &amp; "'!L6")</f>
        <v>0.56228228969527416</v>
      </c>
      <c r="O9" s="27" cm="1">
        <f t="array" aca="1" ref="O9" ca="1">INDIRECT("'" &amp; B1 &amp; "'!O6")/INDIRECT("'" &amp; B1 &amp; "'!C6")</f>
        <v>1.1640084460558457</v>
      </c>
      <c r="P9" s="77" cm="1">
        <f t="array" aca="1" ref="P9" ca="1">INDIRECT("'" &amp; B1 &amp; "'!P6")/INDIRECT("'" &amp; B1 &amp; "'!J6")</f>
        <v>8.1369777432220569E-2</v>
      </c>
      <c r="Q9" s="4" cm="1">
        <f t="array" aca="1" ref="Q9" ca="1">INDIRECT("'" &amp; B1 &amp; "'!E6") / INDIRECT("'" &amp; B1 &amp; "'!C6")*100%</f>
        <v>0.32042372229746913</v>
      </c>
      <c r="R9" s="26" cm="1">
        <f t="array" aca="1" ref="R9" ca="1">(INDIRECT("'" &amp; B1 &amp; "'!G6") / INDIRECT("'" &amp; B1 &amp; "'!I6"))</f>
        <v>6.4504722198587591E-2</v>
      </c>
      <c r="S9" s="26" cm="1">
        <f t="array" aca="1" ref="S9" ca="1">(INDIRECT("'" &amp; B1 &amp; "'!G6") / INDIRECT("'" &amp; B1 &amp; "'!J6"))</f>
        <v>3.7118653528094424E-2</v>
      </c>
    </row>
    <row r="10" spans="1:19" x14ac:dyDescent="0.2">
      <c r="A10" s="118"/>
      <c r="B10" s="2" t="str" cm="1">
        <f t="array" aca="1" ref="B10" ca="1">INDIRECT("'"&amp;B1&amp;"'!B7")</f>
        <v>Q3/2022</v>
      </c>
      <c r="C10" s="4" cm="1">
        <f t="array" aca="1" ref="C10" ca="1">(INDIRECT("'" &amp; B1 &amp; "'!C7") - INDIRECT("'" &amp; B1 &amp; "'!C11")) / INDIRECT("'" &amp; B1 &amp; "'!C11")</f>
        <v>0.63701735056896069</v>
      </c>
      <c r="D10" s="4" cm="1">
        <f t="array" aca="1" ref="D10" ca="1">(INDIRECT("'" &amp; B1 &amp; "'!G7") - INDIRECT("'" &amp; B1 &amp; "'!G11")) / INDIRECT("'" &amp; B1 &amp; "'!G11")</f>
        <v>1.7227454521997161</v>
      </c>
      <c r="E10" s="26" cm="1">
        <f t="array" aca="1" ref="E10" ca="1">-(INDIRECT("'" &amp; B1 &amp; "'!D7") / INDIRECT("'" &amp; B1 &amp; "'!C7")*100%)</f>
        <v>0.51594200664806855</v>
      </c>
      <c r="F10" s="27" cm="1">
        <f t="array" aca="1" ref="F10" ca="1">(INDIRECT("'" &amp; B1 &amp; "'!F7") / INDIRECT("'" &amp; B1 &amp; "'!C7"))</f>
        <v>-1.8178151795851891E-2</v>
      </c>
      <c r="G10" s="23" cm="1">
        <f t="array" aca="1" ref="G10" ca="1">INDIRECT("'" &amp; B1 &amp; "'!J7")/INDIRECT("'" &amp; B1 &amp; "'!K7")</f>
        <v>2.4254808914586703</v>
      </c>
      <c r="H10" s="24" cm="1">
        <f t="array" aca="1" ref="H10" ca="1">(INDIRECT("'" &amp; B1 &amp; "'!L7") - INDIRECT("'" &amp; B1 &amp; "'!N7")) / INDIRECT("'" &amp; B1 &amp; "'!M7")</f>
        <v>2.1772626725729136</v>
      </c>
      <c r="I10" s="24" cm="1">
        <f t="array" aca="1" ref="I10" ca="1">(INDIRECT("'" &amp; B1 &amp; "'!P7") + INDIRECT("'" &amp; B1 &amp; "'!Q7")) / INDIRECT("'" &amp; B1 &amp; "'!M7")</f>
        <v>1.0192151492308434</v>
      </c>
      <c r="J10" s="14" cm="1">
        <f t="array" aca="1" ref="J10" ca="1">(INDIRECT("'" &amp; B1 &amp; "'!I7") + INDIRECT("'" &amp; B1 &amp; "'!K7") - INDIRECT("'" &amp; B1 &amp; "'!M7")) / (INDIRECT("'" &amp; B1 &amp; "'!J7") - INDIRECT("'" &amp; B1 &amp; "'!L7"))</f>
        <v>1.4244691886260406</v>
      </c>
      <c r="K10" s="27"/>
      <c r="L10" s="14" cm="1">
        <f t="array" aca="1" ref="L10" ca="1">(INDIRECT("'"&amp;B1&amp;"'!K7")/INDIRECT("'"&amp;B1&amp;"'!J7"))</f>
        <v>0.412289374664422</v>
      </c>
      <c r="M10" s="27" cm="1">
        <f t="array" aca="1" ref="M10" ca="1">INDIRECT("'" &amp; B1 &amp; "'!N7")/INDIRECT("'" &amp; B1 &amp; "'!C7")</f>
        <v>0.1025531357408178</v>
      </c>
      <c r="N10" s="27" cm="1">
        <f t="array" aca="1" ref="N10" ca="1">INDIRECT("'" &amp; B1 &amp; "'!O7")/INDIRECT("'" &amp; B1 &amp; "'!L7")</f>
        <v>0.5010590249041823</v>
      </c>
      <c r="O10" s="27" cm="1">
        <f t="array" aca="1" ref="O10" ca="1">INDIRECT("'" &amp; B1 &amp; "'!O7")/INDIRECT("'" &amp; B1 &amp; "'!C7")</f>
        <v>1.2986390468704243</v>
      </c>
      <c r="P10" s="77" cm="1">
        <f t="array" aca="1" ref="P10" ca="1">INDIRECT("'" &amp; B1 &amp; "'!P7")/INDIRECT("'" &amp; B1 &amp; "'!J7")</f>
        <v>0.13360785664321453</v>
      </c>
      <c r="Q10" s="4" cm="1">
        <f t="array" aca="1" ref="Q10" ca="1">INDIRECT("'" &amp; B1 &amp; "'!E7") / INDIRECT("'" &amp; B1 &amp; "'!C7")*100%</f>
        <v>0.48405670894920444</v>
      </c>
      <c r="R10" s="26" cm="1">
        <f t="array" aca="1" ref="R10" ca="1">(INDIRECT("'" &amp; B1 &amp; "'!G7") / INDIRECT("'" &amp; B1 &amp; "'!I7"))</f>
        <v>9.9858375758122828E-2</v>
      </c>
      <c r="S10" s="26" cm="1">
        <f t="array" aca="1" ref="S10" ca="1">(INDIRECT("'" &amp; B1 &amp; "'!G7") / INDIRECT("'" &amp; B1 &amp; "'!J7"))</f>
        <v>5.8687807100670196E-2</v>
      </c>
    </row>
    <row r="11" spans="1:19" x14ac:dyDescent="0.2">
      <c r="A11" s="118"/>
      <c r="B11" s="2" t="str" cm="1">
        <f t="array" aca="1" ref="B11" ca="1">INDIRECT("'"&amp;B1&amp;"'!B8")</f>
        <v>Q2/2022</v>
      </c>
      <c r="C11" s="4" cm="1">
        <f t="array" aca="1" ref="C11" ca="1">(INDIRECT("'" &amp; B1 &amp; "'!C8") - INDIRECT("'" &amp; B1 &amp; "'!C12")) / INDIRECT("'" &amp; B1 &amp; "'!C12")</f>
        <v>1.0683091976690868</v>
      </c>
      <c r="D11" s="4" cm="1">
        <f t="array" aca="1" ref="D11" ca="1">(INDIRECT("'" &amp; B1 &amp; "'!G8") - INDIRECT("'" &amp; B1 &amp; "'!G12")) / INDIRECT("'" &amp; B1 &amp; "'!G12")</f>
        <v>2.3212055445220203</v>
      </c>
      <c r="E11" s="26" cm="1">
        <f t="array" aca="1" ref="E11" ca="1">-(INDIRECT("'" &amp; B1 &amp; "'!D8") / INDIRECT("'" &amp; B1 &amp; "'!C8")*100%)</f>
        <v>0.53292489084943195</v>
      </c>
      <c r="F11" s="27" cm="1">
        <f t="array" aca="1" ref="F11" ca="1">(INDIRECT("'" &amp; B1 &amp; "'!F8") / INDIRECT("'" &amp; B1 &amp; "'!C8"))</f>
        <v>-1.5455957194251959E-2</v>
      </c>
      <c r="G11" s="23" cm="1">
        <f t="array" aca="1" ref="G11" ca="1">INDIRECT("'" &amp; B1 &amp; "'!J8")/INDIRECT("'" &amp; B1 &amp; "'!K8")</f>
        <v>2.2178329345939534</v>
      </c>
      <c r="H11" s="24" cm="1">
        <f t="array" aca="1" ref="H11" ca="1">(INDIRECT("'" &amp; B1 &amp; "'!L8") - INDIRECT("'" &amp; B1 &amp; "'!N8")) / INDIRECT("'" &amp; B1 &amp; "'!M8")</f>
        <v>1.8518952075760475</v>
      </c>
      <c r="I11" s="24" cm="1">
        <f t="array" aca="1" ref="I11" ca="1">(INDIRECT("'" &amp; B1 &amp; "'!P8") + INDIRECT("'" &amp; B1 &amp; "'!Q8")) / INDIRECT("'" &amp; B1 &amp; "'!M8")</f>
        <v>0.9336474076908361</v>
      </c>
      <c r="J11" s="14" cm="1">
        <f t="array" aca="1" ref="J11" ca="1">(INDIRECT("'" &amp; B1 &amp; "'!I8") + INDIRECT("'" &amp; B1 &amp; "'!K8") - INDIRECT("'" &amp; B1 &amp; "'!M8")) / (INDIRECT("'" &amp; B1 &amp; "'!J8") - INDIRECT("'" &amp; B1 &amp; "'!L8"))</f>
        <v>1.2953057845488476</v>
      </c>
      <c r="K11" s="27"/>
      <c r="L11" s="14" cm="1">
        <f t="array" aca="1" ref="L11" ca="1">(INDIRECT("'"&amp;B1&amp;"'!K8")/INDIRECT("'"&amp;B1&amp;"'!J8"))</f>
        <v>0.45089058981941876</v>
      </c>
      <c r="M11" s="27" cm="1">
        <f t="array" aca="1" ref="M11" ca="1">INDIRECT("'" &amp; B1 &amp; "'!N8")/INDIRECT("'" &amp; B1 &amp; "'!C8")</f>
        <v>9.182960781127418E-2</v>
      </c>
      <c r="N11" s="27" cm="1">
        <f t="array" aca="1" ref="N11" ca="1">INDIRECT("'" &amp; B1 &amp; "'!O8")/INDIRECT("'" &amp; B1 &amp; "'!L8")</f>
        <v>0.45676262325539269</v>
      </c>
      <c r="O11" s="27" cm="1">
        <f t="array" aca="1" ref="O11" ca="1">INDIRECT("'" &amp; B1 &amp; "'!O8")/INDIRECT("'" &amp; B1 &amp; "'!C8")</f>
        <v>0.80325240174296531</v>
      </c>
      <c r="P11" s="77" cm="1">
        <f t="array" aca="1" ref="P11" ca="1">INDIRECT("'" &amp; B1 &amp; "'!P8")/INDIRECT("'" &amp; B1 &amp; "'!J8")</f>
        <v>0.12435897968155296</v>
      </c>
      <c r="Q11" s="4" cm="1">
        <f t="array" aca="1" ref="Q11" ca="1">INDIRECT("'" &amp; B1 &amp; "'!E8") / INDIRECT("'" &amp; B1 &amp; "'!C8")*100%</f>
        <v>0.46707403298031364</v>
      </c>
      <c r="R11" s="26" cm="1">
        <f t="array" aca="1" ref="R11" ca="1">(INDIRECT("'" &amp; B1 &amp; "'!G8") / INDIRECT("'" &amp; B1 &amp; "'!I8"))</f>
        <v>0.13626859389924367</v>
      </c>
      <c r="S11" s="26" cm="1">
        <f t="array" aca="1" ref="S11" ca="1">(INDIRECT("'" &amp; B1 &amp; "'!G8") / INDIRECT("'" &amp; B1 &amp; "'!J8"))</f>
        <v>7.4826335792471096E-2</v>
      </c>
    </row>
    <row r="12" spans="1:19" x14ac:dyDescent="0.2">
      <c r="A12" s="119"/>
      <c r="B12" s="2" t="str" cm="1">
        <f t="array" aca="1" ref="B12" ca="1">INDIRECT("'"&amp;B1&amp;"'!B9")</f>
        <v>Q1/2022</v>
      </c>
      <c r="C12" s="4" cm="1">
        <f t="array" aca="1" ref="C12" ca="1">(INDIRECT("'" &amp; B1 &amp; "'!C9") - INDIRECT("'" &amp; B1 &amp; "'!C13")) / INDIRECT("'" &amp; B1 &amp; "'!C13")</f>
        <v>0.81738188219695496</v>
      </c>
      <c r="D12" s="4" cm="1">
        <f t="array" aca="1" ref="D12" ca="1">(INDIRECT("'" &amp; B1 &amp; "'!G9") - INDIRECT("'" &amp; B1 &amp; "'!G13")) / INDIRECT("'" &amp; B1 &amp; "'!G13")</f>
        <v>2.0717894145987792</v>
      </c>
      <c r="E12" s="26" cm="1">
        <f t="array" aca="1" ref="E12" ca="1">-(INDIRECT("'" &amp; B1 &amp; "'!D9") / INDIRECT("'" &amp; B1 &amp; "'!C9")*100%)</f>
        <v>0.47891872339838548</v>
      </c>
      <c r="F12" s="27" cm="1">
        <f t="array" aca="1" ref="F12" ca="1">(INDIRECT("'" &amp; B1 &amp; "'!F9") / INDIRECT("'" &amp; B1 &amp; "'!C9"))</f>
        <v>-1.4191104006277867E-2</v>
      </c>
      <c r="G12" s="23" cm="1">
        <f t="array" aca="1" ref="G12" ca="1">INDIRECT("'" &amp; B1 &amp; "'!J9")/INDIRECT("'" &amp; B1 &amp; "'!K9")</f>
        <v>2.1705839563026887</v>
      </c>
      <c r="H12" s="24" cm="1">
        <f t="array" aca="1" ref="H12" ca="1">(INDIRECT("'" &amp; B1 &amp; "'!L9") - INDIRECT("'" &amp; B1 &amp; "'!N9")) / INDIRECT("'" &amp; B1 &amp; "'!M9")</f>
        <v>2.4718925787798387</v>
      </c>
      <c r="I12" s="24" cm="1">
        <f t="array" aca="1" ref="I12" ca="1">(INDIRECT("'" &amp; B1 &amp; "'!P9") + INDIRECT("'" &amp; B1 &amp; "'!Q9")) / INDIRECT("'" &amp; B1 &amp; "'!M9")</f>
        <v>0.76927396577963036</v>
      </c>
      <c r="J12" s="14" cm="1">
        <f t="array" aca="1" ref="J12" ca="1">(INDIRECT("'" &amp; B1 &amp; "'!I9") + INDIRECT("'" &amp; B1 &amp; "'!K9") - INDIRECT("'" &amp; B1 &amp; "'!M9")) / (INDIRECT("'" &amp; B1 &amp; "'!J9") - INDIRECT("'" &amp; B1 &amp; "'!L9"))</f>
        <v>1.558182610806446</v>
      </c>
      <c r="K12" s="27"/>
      <c r="L12" s="14" cm="1">
        <f t="array" aca="1" ref="L12" ca="1">(INDIRECT("'"&amp;B1&amp;"'!K9")/INDIRECT("'"&amp;B1&amp;"'!J9"))</f>
        <v>0.4607055152583785</v>
      </c>
      <c r="M12" s="27" cm="1">
        <f t="array" aca="1" ref="M12" ca="1">INDIRECT("'" &amp; B1 &amp; "'!N9")/INDIRECT("'" &amp; B1 &amp; "'!C9")</f>
        <v>9.1907284991516611E-2</v>
      </c>
      <c r="N12" s="27" cm="1">
        <f t="array" aca="1" ref="N12" ca="1">INDIRECT("'" &amp; B1 &amp; "'!O9")/INDIRECT("'" &amp; B1 &amp; "'!L9")</f>
        <v>0.654424512537226</v>
      </c>
      <c r="O12" s="27" cm="1">
        <f t="array" aca="1" ref="O12" ca="1">INDIRECT("'" &amp; B1 &amp; "'!O9")/INDIRECT("'" &amp; B1 &amp; "'!C9")</f>
        <v>1.8571264355484167</v>
      </c>
      <c r="P12" s="77" cm="1">
        <f t="array" aca="1" ref="P12" ca="1">INDIRECT("'" &amp; B1 &amp; "'!P9")/INDIRECT("'" &amp; B1 &amp; "'!J9")</f>
        <v>0.10495160893570665</v>
      </c>
      <c r="Q12" s="4" cm="1">
        <f t="array" aca="1" ref="Q12" ca="1">INDIRECT("'" &amp; B1 &amp; "'!E9") / INDIRECT("'" &amp; B1 &amp; "'!C9")*100%</f>
        <v>0.52108127660161452</v>
      </c>
      <c r="R12" s="26" cm="1">
        <f t="array" aca="1" ref="R12" ca="1">(INDIRECT("'" &amp; B1 &amp; "'!G9") / INDIRECT("'" &amp; B1 &amp; "'!I9"))</f>
        <v>0.1258567333431394</v>
      </c>
      <c r="S12" s="26" cm="1">
        <f t="array" aca="1" ref="S12" ca="1">(INDIRECT("'" &amp; B1 &amp; "'!G9") / INDIRECT("'" &amp; B1 &amp; "'!J9"))</f>
        <v>6.7873842159552014E-2</v>
      </c>
    </row>
    <row r="13" spans="1:19" x14ac:dyDescent="0.2">
      <c r="B13" s="38"/>
      <c r="E13" s="41"/>
      <c r="F13" s="41"/>
    </row>
    <row r="14" spans="1:19" x14ac:dyDescent="0.2">
      <c r="A14" s="115" t="s">
        <v>100</v>
      </c>
      <c r="B14" s="115"/>
      <c r="C14" s="115"/>
      <c r="D14" s="115"/>
      <c r="E14" s="115"/>
    </row>
    <row r="15" spans="1:19" x14ac:dyDescent="0.2">
      <c r="A15" s="25" t="str" cm="1">
        <f t="array" aca="1" ref="A15:F19" ca="1">INDIRECT("'" &amp; B1 &amp; "'!$A$18:$F$22")</f>
        <v>Năm</v>
      </c>
      <c r="B15" s="25" t="str">
        <f ca="1"/>
        <v>Tổng DT</v>
      </c>
      <c r="C15" s="25" t="str">
        <f ca="1"/>
        <v>DT Kế Hoạch</v>
      </c>
      <c r="D15" s="25" t="str">
        <f ca="1"/>
        <v>LNST</v>
      </c>
      <c r="E15" s="25" t="str">
        <f ca="1"/>
        <v>LNST Kế Hoạch</v>
      </c>
      <c r="F15" s="25" t="str">
        <f ca="1"/>
        <v>KHLN điều chỉnh</v>
      </c>
      <c r="H15" s="113" t="s">
        <v>99</v>
      </c>
      <c r="I15" s="113"/>
      <c r="J15" s="113"/>
      <c r="K15" s="113"/>
    </row>
    <row r="16" spans="1:19" x14ac:dyDescent="0.2">
      <c r="A16">
        <f ca="1"/>
        <v>2020</v>
      </c>
      <c r="B16" s="38">
        <f ca="1"/>
        <v>1191667</v>
      </c>
      <c r="C16" s="38">
        <f ca="1"/>
        <v>1219100</v>
      </c>
      <c r="D16" s="38">
        <f ca="1"/>
        <v>138296</v>
      </c>
      <c r="E16" s="38">
        <f ca="1"/>
        <v>85100</v>
      </c>
      <c r="F16" s="39">
        <f ca="1"/>
        <v>-0.15</v>
      </c>
      <c r="H16" cm="1">
        <f t="array" aca="1" ref="H16:K18" ca="1">INDIRECT("'" &amp; B1 &amp; "'!$I$28:$L$30")</f>
        <v>0</v>
      </c>
      <c r="I16" t="str">
        <f ca="1"/>
        <v>Chênh lệch giá so với ATH LN</v>
      </c>
      <c r="J16" t="str">
        <f ca="1"/>
        <v>Khấu hao TT VG</v>
      </c>
      <c r="K16" t="str">
        <f ca="1"/>
        <v>Khấu hao TT VCSH</v>
      </c>
    </row>
    <row r="17" spans="1:14" x14ac:dyDescent="0.2">
      <c r="A17">
        <f ca="1"/>
        <v>2021</v>
      </c>
      <c r="B17" s="38">
        <f ca="1"/>
        <v>1955301</v>
      </c>
      <c r="C17" s="38">
        <f ca="1"/>
        <v>1661100</v>
      </c>
      <c r="D17" s="38">
        <f ca="1"/>
        <v>445513</v>
      </c>
      <c r="E17" s="38">
        <f ca="1"/>
        <v>157800</v>
      </c>
      <c r="F17">
        <f ca="1"/>
        <v>0</v>
      </c>
      <c r="H17" s="67" t="str">
        <f ca="1"/>
        <v>EPS theo KHKD:</v>
      </c>
      <c r="I17" s="67">
        <f ca="1"/>
        <v>0</v>
      </c>
      <c r="J17" s="67">
        <f ca="1"/>
        <v>0</v>
      </c>
      <c r="K17">
        <f ca="1"/>
        <v>0</v>
      </c>
    </row>
    <row r="18" spans="1:14" x14ac:dyDescent="0.2">
      <c r="A18">
        <f ca="1"/>
        <v>2022</v>
      </c>
      <c r="B18" s="38">
        <f ca="1"/>
        <v>3205610</v>
      </c>
      <c r="C18" s="38">
        <f ca="1"/>
        <v>2388000</v>
      </c>
      <c r="D18" s="38">
        <f ca="1"/>
        <v>821937</v>
      </c>
      <c r="E18" s="38">
        <f ca="1"/>
        <v>550000</v>
      </c>
      <c r="F18">
        <f ca="1"/>
        <v>0</v>
      </c>
      <c r="H18" s="67" t="str">
        <f ca="1"/>
        <v>EPS theo KHKD điều chỉnh:</v>
      </c>
      <c r="I18" s="67">
        <f ca="1"/>
        <v>31163.884823289376</v>
      </c>
      <c r="J18" s="67">
        <f ca="1"/>
        <v>31163.884823289376</v>
      </c>
      <c r="K18" s="38">
        <f ca="1"/>
        <v>28711.046982385309</v>
      </c>
    </row>
    <row r="19" spans="1:14" x14ac:dyDescent="0.2">
      <c r="A19">
        <f ca="1"/>
        <v>2023</v>
      </c>
      <c r="B19" s="38">
        <f ca="1"/>
        <v>0</v>
      </c>
      <c r="C19" s="38">
        <f ca="1"/>
        <v>2698000</v>
      </c>
      <c r="D19" s="38">
        <f ca="1"/>
        <v>0</v>
      </c>
      <c r="E19" s="38">
        <f ca="1"/>
        <v>490000</v>
      </c>
      <c r="F19" s="38">
        <f ca="1"/>
        <v>416500</v>
      </c>
    </row>
    <row r="20" spans="1:14" x14ac:dyDescent="0.2">
      <c r="B20" s="38"/>
      <c r="C20" s="38"/>
      <c r="D20" s="38"/>
      <c r="E20" s="39"/>
    </row>
    <row r="21" spans="1:14" x14ac:dyDescent="0.2">
      <c r="A21" s="78" t="str" cm="1">
        <f t="array" aca="1" ref="A21:F25" ca="1">INDIRECT("'" &amp; B1 &amp; "'!$A$24:$F$28")</f>
        <v>Q1/2023</v>
      </c>
      <c r="B21" s="38">
        <f ca="1"/>
        <v>655142</v>
      </c>
      <c r="C21" s="38">
        <f ca="1"/>
        <v>0</v>
      </c>
      <c r="D21" s="38">
        <f ca="1"/>
        <v>119019</v>
      </c>
      <c r="E21" s="66">
        <f ca="1"/>
        <v>0.24289591836734695</v>
      </c>
      <c r="F21" s="40">
        <f ca="1"/>
        <v>0.28575990396158463</v>
      </c>
      <c r="H21" s="114" t="s">
        <v>70</v>
      </c>
      <c r="I21" s="114"/>
      <c r="J21" s="114"/>
      <c r="K21" s="114"/>
      <c r="M21" s="113" t="s">
        <v>71</v>
      </c>
      <c r="N21" s="113"/>
    </row>
    <row r="22" spans="1:14" x14ac:dyDescent="0.2">
      <c r="A22" s="78" t="str">
        <f ca="1"/>
        <v>Q2/2023</v>
      </c>
      <c r="B22" s="38">
        <f ca="1"/>
        <v>611423</v>
      </c>
      <c r="C22" s="38">
        <f ca="1"/>
        <v>0</v>
      </c>
      <c r="D22" s="38">
        <f ca="1"/>
        <v>97210</v>
      </c>
      <c r="E22" s="66">
        <f ca="1"/>
        <v>0.19838775510204082</v>
      </c>
      <c r="F22" s="40">
        <f ca="1"/>
        <v>0.23339735894357744</v>
      </c>
      <c r="H22" cm="1">
        <f t="array" aca="1" ref="H22:K28" ca="1">INDIRECT("'" &amp; B1 &amp; "'!$N$28:$Q$34")</f>
        <v>0</v>
      </c>
      <c r="I22" t="str">
        <f ca="1"/>
        <v>Min</v>
      </c>
      <c r="J22" t="str">
        <f ca="1"/>
        <v>Mean</v>
      </c>
      <c r="K22" t="str">
        <f ca="1"/>
        <v>Max</v>
      </c>
      <c r="M22" s="72" t="str" cm="1">
        <f t="array" aca="1" ref="M22:N23" ca="1">INDIRECT("'" &amp; B1 &amp; "'!$I$33:$J$34")</f>
        <v>BVPS:</v>
      </c>
      <c r="N22" s="69">
        <f ca="1"/>
        <v>20.204971614976866</v>
      </c>
    </row>
    <row r="23" spans="1:14" x14ac:dyDescent="0.2">
      <c r="A23" s="78" t="str">
        <f ca="1"/>
        <v>Q3/2023</v>
      </c>
      <c r="B23" s="38">
        <f ca="1"/>
        <v>681360</v>
      </c>
      <c r="C23" s="38">
        <f ca="1"/>
        <v>0</v>
      </c>
      <c r="D23" s="38">
        <f ca="1"/>
        <v>105700</v>
      </c>
      <c r="E23" s="66">
        <f ca="1"/>
        <v>0.21571428571428572</v>
      </c>
      <c r="F23" s="40">
        <f ca="1"/>
        <v>0.253781512605042</v>
      </c>
      <c r="H23" s="71" t="str">
        <f ca="1"/>
        <v>Basic EPS</v>
      </c>
      <c r="I23" s="71">
        <f ca="1"/>
        <v>0</v>
      </c>
      <c r="J23" s="71">
        <f ca="1"/>
        <v>0</v>
      </c>
      <c r="K23" s="70">
        <f ca="1"/>
        <v>0</v>
      </c>
      <c r="M23" s="72" t="str">
        <f ca="1"/>
        <v>D.BVPS</v>
      </c>
      <c r="N23" s="69">
        <f ca="1"/>
        <v>13.469598180439727</v>
      </c>
    </row>
    <row r="24" spans="1:14" x14ac:dyDescent="0.2">
      <c r="A24" s="78" t="str">
        <f ca="1"/>
        <v>Q4/2023</v>
      </c>
      <c r="B24" s="38">
        <f ca="1"/>
        <v>0</v>
      </c>
      <c r="C24" s="38">
        <f ca="1"/>
        <v>0</v>
      </c>
      <c r="D24" s="38">
        <f ca="1"/>
        <v>0</v>
      </c>
      <c r="E24" s="66">
        <f ca="1"/>
        <v>0</v>
      </c>
      <c r="F24" s="40">
        <f ca="1"/>
        <v>0</v>
      </c>
      <c r="H24" s="71" t="str">
        <f ca="1"/>
        <v>B.EPS theo KHKD:</v>
      </c>
      <c r="I24" s="71">
        <f ca="1"/>
        <v>0</v>
      </c>
      <c r="J24" s="71">
        <f ca="1"/>
        <v>0</v>
      </c>
      <c r="K24" s="70">
        <f ca="1"/>
        <v>0</v>
      </c>
    </row>
    <row r="25" spans="1:14" x14ac:dyDescent="0.2">
      <c r="A25" t="str">
        <f ca="1"/>
        <v>Luỹ kế:</v>
      </c>
      <c r="B25" s="38">
        <f ca="1"/>
        <v>1947925</v>
      </c>
      <c r="C25" s="39">
        <f ca="1"/>
        <v>0.72198851000741293</v>
      </c>
      <c r="D25" s="38">
        <f ca="1"/>
        <v>321929</v>
      </c>
      <c r="E25" s="66">
        <f ca="1"/>
        <v>0.65699795918367354</v>
      </c>
      <c r="F25" s="40">
        <f ca="1"/>
        <v>0.77293877551020407</v>
      </c>
      <c r="H25" s="71" t="str">
        <f ca="1"/>
        <v>B.EPS theo KHKD điều chỉnh:</v>
      </c>
      <c r="I25" s="71">
        <f ca="1"/>
        <v>0</v>
      </c>
      <c r="J25" s="71">
        <f ca="1"/>
        <v>36.413208125642278</v>
      </c>
      <c r="K25" s="70">
        <f ca="1"/>
        <v>60.274220929924937</v>
      </c>
    </row>
    <row r="26" spans="1:14" x14ac:dyDescent="0.2">
      <c r="B26" s="38"/>
      <c r="C26" s="38"/>
      <c r="D26" s="38"/>
      <c r="H26" s="71" t="str">
        <f ca="1"/>
        <v>Diluted EPS</v>
      </c>
      <c r="I26" s="71">
        <f ca="1"/>
        <v>0</v>
      </c>
      <c r="J26" s="71">
        <f ca="1"/>
        <v>0</v>
      </c>
      <c r="K26" s="70">
        <f ca="1"/>
        <v>0</v>
      </c>
    </row>
    <row r="27" spans="1:14" x14ac:dyDescent="0.2">
      <c r="B27" s="25" t="str" cm="1">
        <f t="array" aca="1" ref="B27:F28" ca="1">INDIRECT("'" &amp; B1 &amp; "'!$B$30:$F$31")</f>
        <v>Năm</v>
      </c>
      <c r="C27" s="25" t="str">
        <f ca="1"/>
        <v>ATH Giá</v>
      </c>
      <c r="D27" s="25" t="str">
        <f ca="1"/>
        <v>ATH LN</v>
      </c>
      <c r="E27" s="25" t="str">
        <f ca="1"/>
        <v>KNLN / ATH LN</v>
      </c>
      <c r="F27" s="25" t="str">
        <f ca="1"/>
        <v>LNĐC / ATH LN</v>
      </c>
      <c r="H27" s="71" t="str">
        <f ca="1"/>
        <v>D.EPS theo KHKD:</v>
      </c>
      <c r="I27" s="71">
        <f ca="1"/>
        <v>0</v>
      </c>
      <c r="J27" s="71">
        <f ca="1"/>
        <v>0</v>
      </c>
      <c r="K27" s="70">
        <f ca="1"/>
        <v>0</v>
      </c>
    </row>
    <row r="28" spans="1:14" x14ac:dyDescent="0.2">
      <c r="B28">
        <f ca="1"/>
        <v>2022</v>
      </c>
      <c r="C28" s="38">
        <f ca="1"/>
        <v>61500</v>
      </c>
      <c r="D28" s="38">
        <f ca="1"/>
        <v>821937</v>
      </c>
      <c r="E28" s="40">
        <f ca="1"/>
        <v>0.59615274650003591</v>
      </c>
      <c r="F28" s="39">
        <f ca="1"/>
        <v>0.50672983452503051</v>
      </c>
      <c r="H28" s="71" t="str">
        <f ca="1"/>
        <v>D.EPS theo KHKD điều chỉnh:</v>
      </c>
      <c r="I28" s="71">
        <f ca="1"/>
        <v>0</v>
      </c>
      <c r="J28" s="71">
        <f ca="1"/>
        <v>24.274782031842303</v>
      </c>
      <c r="K28" s="70">
        <f ca="1"/>
        <v>40.181671721000754</v>
      </c>
    </row>
  </sheetData>
  <mergeCells count="10">
    <mergeCell ref="Q3:S3"/>
    <mergeCell ref="M21:N21"/>
    <mergeCell ref="H21:K21"/>
    <mergeCell ref="H15:K15"/>
    <mergeCell ref="A14:E14"/>
    <mergeCell ref="M3:P3"/>
    <mergeCell ref="A9:A12"/>
    <mergeCell ref="G3:L3"/>
    <mergeCell ref="E3:F3"/>
    <mergeCell ref="A5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2ECE6-AB68-EF46-95D9-BC7883A3576B}">
  <dimension ref="A1:U47"/>
  <sheetViews>
    <sheetView workbookViewId="0">
      <selection activeCell="A3" sqref="A3:U13"/>
    </sheetView>
  </sheetViews>
  <sheetFormatPr baseColWidth="10" defaultRowHeight="16" x14ac:dyDescent="0.2"/>
  <cols>
    <col min="2" max="2" width="14.83203125" customWidth="1"/>
    <col min="3" max="3" width="18" customWidth="1"/>
    <col min="4" max="4" width="17.33203125" customWidth="1"/>
    <col min="5" max="5" width="17.6640625" customWidth="1"/>
    <col min="6" max="6" width="18.5" customWidth="1"/>
    <col min="7" max="7" width="16" customWidth="1"/>
    <col min="9" max="9" width="17.6640625" customWidth="1"/>
    <col min="18" max="18" width="16.33203125" customWidth="1"/>
  </cols>
  <sheetData>
    <row r="1" spans="1:21" x14ac:dyDescent="0.2">
      <c r="A1" s="122"/>
      <c r="B1" s="123"/>
      <c r="C1" s="102" t="s">
        <v>0</v>
      </c>
      <c r="D1" s="103"/>
      <c r="E1" s="103"/>
      <c r="F1" s="103"/>
      <c r="G1" s="104"/>
      <c r="H1" s="79"/>
      <c r="I1" s="87" t="s">
        <v>22</v>
      </c>
      <c r="J1" s="88"/>
      <c r="K1" s="88"/>
      <c r="L1" s="88"/>
      <c r="M1" s="88"/>
      <c r="N1" s="88"/>
      <c r="O1" s="88"/>
      <c r="P1" s="88"/>
      <c r="Q1" s="89"/>
      <c r="R1" s="90" t="s">
        <v>42</v>
      </c>
      <c r="S1" s="91"/>
      <c r="T1" s="91"/>
      <c r="U1" s="92"/>
    </row>
    <row r="2" spans="1:21" ht="28" x14ac:dyDescent="0.2">
      <c r="A2" s="1" t="s">
        <v>1</v>
      </c>
      <c r="B2" s="1" t="s">
        <v>2</v>
      </c>
      <c r="C2" s="1" t="s">
        <v>3</v>
      </c>
      <c r="D2" s="1" t="s">
        <v>20</v>
      </c>
      <c r="E2" s="1" t="s">
        <v>4</v>
      </c>
      <c r="F2" s="1" t="s">
        <v>127</v>
      </c>
      <c r="G2" s="1" t="s">
        <v>6</v>
      </c>
      <c r="H2" s="1" t="s">
        <v>7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9" t="s">
        <v>125</v>
      </c>
      <c r="Q2" s="19" t="s">
        <v>126</v>
      </c>
      <c r="R2" s="19" t="s">
        <v>43</v>
      </c>
      <c r="S2" s="19" t="s">
        <v>44</v>
      </c>
      <c r="T2" s="19" t="s">
        <v>45</v>
      </c>
      <c r="U2" s="21" t="s">
        <v>46</v>
      </c>
    </row>
    <row r="3" spans="1:21" x14ac:dyDescent="0.2">
      <c r="B3" t="s">
        <v>34</v>
      </c>
      <c r="C3" s="67">
        <v>681360</v>
      </c>
      <c r="D3" s="67">
        <v>-523136</v>
      </c>
      <c r="E3" s="67">
        <v>158223</v>
      </c>
      <c r="F3" s="67">
        <v>-17936</v>
      </c>
      <c r="G3" s="67">
        <v>112578</v>
      </c>
      <c r="I3" s="67">
        <v>3133556</v>
      </c>
      <c r="J3" s="67">
        <v>5075640</v>
      </c>
      <c r="K3" s="67">
        <v>1942084</v>
      </c>
      <c r="L3" s="67">
        <v>1844523</v>
      </c>
      <c r="M3" s="67">
        <v>864116</v>
      </c>
      <c r="N3" s="67">
        <v>85113</v>
      </c>
      <c r="O3" s="67">
        <v>1203963</v>
      </c>
      <c r="P3" s="67">
        <v>310621</v>
      </c>
      <c r="Q3" s="67">
        <v>117500</v>
      </c>
      <c r="R3" s="67">
        <v>480700</v>
      </c>
      <c r="S3" s="67">
        <v>-148179</v>
      </c>
      <c r="T3" s="67">
        <v>-400786</v>
      </c>
      <c r="U3" s="67">
        <v>-68265</v>
      </c>
    </row>
    <row r="4" spans="1:21" x14ac:dyDescent="0.2">
      <c r="B4" t="s">
        <v>35</v>
      </c>
      <c r="C4" s="67">
        <v>611423</v>
      </c>
      <c r="D4" s="67">
        <v>-464228</v>
      </c>
      <c r="E4" s="67">
        <v>147194</v>
      </c>
      <c r="F4" s="67">
        <v>-19233</v>
      </c>
      <c r="G4" s="67">
        <v>79720</v>
      </c>
      <c r="I4" s="67">
        <v>3058016</v>
      </c>
      <c r="J4" s="67">
        <v>4994137</v>
      </c>
      <c r="K4" s="67">
        <v>1936121</v>
      </c>
      <c r="L4" s="67">
        <v>1777774</v>
      </c>
      <c r="M4" s="67">
        <v>844076</v>
      </c>
      <c r="N4" s="67">
        <v>84906</v>
      </c>
      <c r="O4" s="67">
        <v>1072292</v>
      </c>
      <c r="P4" s="67">
        <v>377601</v>
      </c>
      <c r="Q4" s="67">
        <v>120099</v>
      </c>
      <c r="R4" s="67">
        <v>158926</v>
      </c>
      <c r="S4" s="67">
        <v>-102878</v>
      </c>
      <c r="T4" s="67">
        <v>-57212</v>
      </c>
      <c r="U4" s="67">
        <v>-1164</v>
      </c>
    </row>
    <row r="5" spans="1:21" x14ac:dyDescent="0.2">
      <c r="B5" t="s">
        <v>36</v>
      </c>
      <c r="C5" s="67">
        <v>655141</v>
      </c>
      <c r="D5" s="67">
        <v>-462686</v>
      </c>
      <c r="E5" s="67">
        <v>192454</v>
      </c>
      <c r="F5" s="67">
        <v>-19477</v>
      </c>
      <c r="G5" s="67">
        <v>126374</v>
      </c>
      <c r="I5" s="67">
        <v>3014283</v>
      </c>
      <c r="J5" s="67">
        <v>4964150</v>
      </c>
      <c r="K5" s="67">
        <v>1949866</v>
      </c>
      <c r="L5" s="67">
        <v>1690899</v>
      </c>
      <c r="M5" s="67">
        <v>760384</v>
      </c>
      <c r="N5" s="67">
        <v>70352</v>
      </c>
      <c r="O5" s="67">
        <v>997803</v>
      </c>
      <c r="P5" s="67">
        <v>377799</v>
      </c>
      <c r="Q5" s="67">
        <v>120099</v>
      </c>
      <c r="R5" s="67">
        <v>167974</v>
      </c>
      <c r="S5" s="67">
        <v>-124007</v>
      </c>
      <c r="T5" s="67">
        <v>-80991</v>
      </c>
      <c r="U5" s="67">
        <v>-37024</v>
      </c>
    </row>
    <row r="6" spans="1:21" x14ac:dyDescent="0.2">
      <c r="B6" t="s">
        <v>137</v>
      </c>
      <c r="C6" s="67">
        <v>845365</v>
      </c>
      <c r="D6" s="67">
        <v>-574489</v>
      </c>
      <c r="E6" s="67">
        <v>270875</v>
      </c>
      <c r="F6" s="67">
        <v>-20821</v>
      </c>
      <c r="G6" s="67">
        <v>189531</v>
      </c>
      <c r="I6" s="67">
        <v>2938250</v>
      </c>
      <c r="J6" s="67">
        <v>5106085</v>
      </c>
      <c r="K6" s="67">
        <v>2167834</v>
      </c>
      <c r="L6" s="67">
        <v>1750032</v>
      </c>
      <c r="M6" s="67">
        <v>915671</v>
      </c>
      <c r="N6" s="67">
        <v>78439</v>
      </c>
      <c r="O6" s="67">
        <v>984012</v>
      </c>
      <c r="P6" s="67">
        <v>415481</v>
      </c>
      <c r="Q6" s="67">
        <v>140099</v>
      </c>
      <c r="R6" s="67">
        <v>214559</v>
      </c>
      <c r="S6" s="67">
        <v>-618374</v>
      </c>
      <c r="T6" s="67">
        <v>199423</v>
      </c>
      <c r="U6" s="67">
        <v>-204391</v>
      </c>
    </row>
    <row r="7" spans="1:21" x14ac:dyDescent="0.2">
      <c r="B7" t="s">
        <v>136</v>
      </c>
      <c r="C7" s="67">
        <v>778572</v>
      </c>
      <c r="D7" s="67">
        <v>-401698</v>
      </c>
      <c r="E7" s="67">
        <v>376873</v>
      </c>
      <c r="F7" s="67">
        <v>-14153</v>
      </c>
      <c r="G7" s="67">
        <v>274352</v>
      </c>
      <c r="I7" s="67">
        <v>2747411</v>
      </c>
      <c r="J7" s="67">
        <v>4674770</v>
      </c>
      <c r="K7" s="67">
        <v>1927358</v>
      </c>
      <c r="L7" s="67">
        <v>2017894</v>
      </c>
      <c r="M7" s="67">
        <v>890131</v>
      </c>
      <c r="N7" s="67">
        <v>79845</v>
      </c>
      <c r="O7" s="67">
        <v>1011084</v>
      </c>
      <c r="P7" s="67">
        <v>624586</v>
      </c>
      <c r="Q7" s="67">
        <v>282649</v>
      </c>
      <c r="R7" s="67">
        <v>280113</v>
      </c>
      <c r="S7" s="67">
        <v>-130458</v>
      </c>
      <c r="T7" s="67">
        <v>-64426</v>
      </c>
      <c r="U7" s="67">
        <v>85228</v>
      </c>
    </row>
    <row r="8" spans="1:21" x14ac:dyDescent="0.2">
      <c r="B8" t="s">
        <v>135</v>
      </c>
      <c r="C8" s="67">
        <v>929221</v>
      </c>
      <c r="D8" s="67">
        <v>-495205</v>
      </c>
      <c r="E8" s="67">
        <v>434015</v>
      </c>
      <c r="F8" s="67">
        <v>-14362</v>
      </c>
      <c r="G8" s="67">
        <v>324422</v>
      </c>
      <c r="I8" s="67">
        <v>2380754</v>
      </c>
      <c r="J8" s="67">
        <v>4335666</v>
      </c>
      <c r="K8" s="67">
        <v>1954911</v>
      </c>
      <c r="L8" s="67">
        <v>1634107</v>
      </c>
      <c r="M8" s="67">
        <v>836320</v>
      </c>
      <c r="N8" s="67">
        <v>85330</v>
      </c>
      <c r="O8" s="67">
        <v>746399</v>
      </c>
      <c r="P8" s="67">
        <v>539179</v>
      </c>
      <c r="Q8" s="67">
        <v>241649</v>
      </c>
      <c r="R8" s="67">
        <v>346788</v>
      </c>
      <c r="S8" s="67">
        <v>-279722</v>
      </c>
      <c r="T8" s="67">
        <v>63494</v>
      </c>
      <c r="U8" s="67">
        <v>130561</v>
      </c>
    </row>
    <row r="9" spans="1:21" x14ac:dyDescent="0.2">
      <c r="B9" t="s">
        <v>134</v>
      </c>
      <c r="C9" s="67">
        <v>652451</v>
      </c>
      <c r="D9" s="67">
        <v>-312471</v>
      </c>
      <c r="E9" s="67">
        <v>339980</v>
      </c>
      <c r="F9" s="67">
        <v>-9259</v>
      </c>
      <c r="G9" s="67">
        <v>262681</v>
      </c>
      <c r="I9" s="67">
        <v>2087143</v>
      </c>
      <c r="J9" s="67">
        <v>3870136</v>
      </c>
      <c r="K9" s="67">
        <v>1782993</v>
      </c>
      <c r="L9" s="67">
        <v>1851526</v>
      </c>
      <c r="M9" s="67">
        <v>724773</v>
      </c>
      <c r="N9" s="67">
        <v>59965</v>
      </c>
      <c r="O9" s="67">
        <v>1211684</v>
      </c>
      <c r="P9" s="67">
        <v>406177</v>
      </c>
      <c r="Q9" s="67">
        <v>151372</v>
      </c>
      <c r="R9" s="67">
        <v>275681</v>
      </c>
      <c r="S9" s="67">
        <v>-626308</v>
      </c>
      <c r="T9" s="67">
        <v>271933</v>
      </c>
      <c r="U9" s="67">
        <v>-78693</v>
      </c>
    </row>
    <row r="10" spans="1:21" x14ac:dyDescent="0.2">
      <c r="B10" t="s">
        <v>133</v>
      </c>
      <c r="C10" s="67">
        <v>671423</v>
      </c>
      <c r="D10" s="67">
        <v>-334864</v>
      </c>
      <c r="E10" s="67">
        <v>336558</v>
      </c>
      <c r="F10" s="67">
        <v>-8894</v>
      </c>
      <c r="G10" s="67">
        <v>266654</v>
      </c>
      <c r="I10" s="67">
        <v>1902029</v>
      </c>
      <c r="J10" s="67">
        <v>3232345</v>
      </c>
      <c r="K10" s="67">
        <v>1330315</v>
      </c>
      <c r="L10" s="67">
        <v>1287237</v>
      </c>
      <c r="M10" s="67">
        <v>620603</v>
      </c>
      <c r="N10" s="67">
        <v>48419</v>
      </c>
      <c r="O10" s="67">
        <v>633042</v>
      </c>
      <c r="P10" s="67">
        <v>484732</v>
      </c>
      <c r="Q10" s="67">
        <v>87372</v>
      </c>
      <c r="R10" s="67">
        <v>427116</v>
      </c>
      <c r="S10" s="67">
        <v>-216503</v>
      </c>
      <c r="T10" s="67">
        <v>57226</v>
      </c>
      <c r="U10" s="67">
        <v>267839</v>
      </c>
    </row>
    <row r="11" spans="1:21" x14ac:dyDescent="0.2">
      <c r="B11" t="s">
        <v>132</v>
      </c>
      <c r="C11" s="67">
        <v>475604</v>
      </c>
      <c r="D11" s="67">
        <v>-335769</v>
      </c>
      <c r="E11" s="67">
        <v>139835</v>
      </c>
      <c r="F11" s="67">
        <v>-8536</v>
      </c>
      <c r="G11" s="67">
        <v>100763</v>
      </c>
      <c r="I11" s="67">
        <v>1540555</v>
      </c>
      <c r="J11" s="67">
        <v>2791052</v>
      </c>
      <c r="K11" s="67">
        <v>1250497</v>
      </c>
      <c r="L11" s="67">
        <v>889237</v>
      </c>
      <c r="M11" s="67">
        <v>500448</v>
      </c>
      <c r="N11" s="67">
        <v>57752</v>
      </c>
      <c r="O11" s="67">
        <v>500490</v>
      </c>
      <c r="P11" s="67">
        <v>217137</v>
      </c>
      <c r="Q11" s="67">
        <v>54099</v>
      </c>
      <c r="R11" s="67">
        <v>148483</v>
      </c>
      <c r="S11" s="67">
        <v>-145750</v>
      </c>
      <c r="T11" s="67">
        <v>-10442</v>
      </c>
      <c r="U11" s="67">
        <v>-7709</v>
      </c>
    </row>
    <row r="12" spans="1:21" x14ac:dyDescent="0.2">
      <c r="B12" t="s">
        <v>131</v>
      </c>
      <c r="C12" s="67">
        <v>449266</v>
      </c>
      <c r="D12" s="67">
        <v>-307987</v>
      </c>
      <c r="E12" s="67">
        <v>141279</v>
      </c>
      <c r="F12" s="67">
        <v>-8310</v>
      </c>
      <c r="G12" s="67">
        <v>97682</v>
      </c>
      <c r="I12" s="67">
        <v>1439791</v>
      </c>
      <c r="J12" s="67">
        <v>2456778</v>
      </c>
      <c r="K12" s="67">
        <v>1016986</v>
      </c>
      <c r="L12" s="67">
        <v>764739</v>
      </c>
      <c r="M12" s="67">
        <v>475507</v>
      </c>
      <c r="N12" s="67">
        <v>68666</v>
      </c>
      <c r="O12" s="67">
        <v>361538</v>
      </c>
      <c r="P12" s="67">
        <v>224944</v>
      </c>
      <c r="Q12" s="67">
        <v>59841</v>
      </c>
      <c r="R12" s="67">
        <v>140685</v>
      </c>
      <c r="S12" s="67">
        <v>-351706</v>
      </c>
      <c r="T12" s="67">
        <v>91404</v>
      </c>
      <c r="U12" s="67">
        <v>-119616</v>
      </c>
    </row>
    <row r="13" spans="1:21" x14ac:dyDescent="0.2">
      <c r="B13" t="s">
        <v>130</v>
      </c>
      <c r="C13" s="67">
        <v>359006</v>
      </c>
      <c r="D13" s="67">
        <v>-262235</v>
      </c>
      <c r="E13" s="67">
        <v>96770</v>
      </c>
      <c r="F13" s="67">
        <v>-6388</v>
      </c>
      <c r="G13" s="67">
        <v>85514</v>
      </c>
      <c r="I13" s="67">
        <v>1421311</v>
      </c>
      <c r="J13" s="67">
        <v>2209845</v>
      </c>
      <c r="K13" s="67">
        <v>788533</v>
      </c>
      <c r="L13" s="67">
        <v>877343</v>
      </c>
      <c r="M13" s="67">
        <v>354264</v>
      </c>
      <c r="N13" s="67">
        <v>54892</v>
      </c>
      <c r="O13" s="67">
        <v>364550</v>
      </c>
      <c r="P13" s="67">
        <v>344687</v>
      </c>
      <c r="Q13" s="67">
        <v>78655</v>
      </c>
      <c r="R13" s="67">
        <v>118857</v>
      </c>
      <c r="S13" s="67">
        <v>18770</v>
      </c>
      <c r="T13" s="67">
        <v>-13934</v>
      </c>
      <c r="U13" s="67">
        <v>123694</v>
      </c>
    </row>
    <row r="14" spans="1:21" x14ac:dyDescent="0.2">
      <c r="C14" s="67"/>
      <c r="D14" s="67"/>
      <c r="E14" s="67"/>
      <c r="F14" s="67"/>
      <c r="G14" s="67"/>
      <c r="I14" s="67"/>
      <c r="J14" s="67"/>
      <c r="K14" s="67"/>
      <c r="L14" s="67"/>
      <c r="M14" s="67"/>
      <c r="N14" s="67"/>
      <c r="O14" s="67"/>
      <c r="P14" s="67"/>
      <c r="Q14" s="67"/>
      <c r="R14" s="67"/>
      <c r="S14" s="67"/>
      <c r="T14" s="67"/>
      <c r="U14" s="67"/>
    </row>
    <row r="15" spans="1:21" x14ac:dyDescent="0.2">
      <c r="C15" s="67"/>
      <c r="D15" s="67"/>
      <c r="E15" s="67"/>
      <c r="F15" s="67"/>
      <c r="G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</row>
    <row r="16" spans="1:21" x14ac:dyDescent="0.2">
      <c r="C16" s="67"/>
      <c r="D16" s="67"/>
      <c r="E16" s="67"/>
      <c r="F16" s="67"/>
      <c r="G16" s="67"/>
      <c r="I16" s="67"/>
      <c r="J16" s="67"/>
      <c r="K16" s="67"/>
      <c r="L16" s="67"/>
      <c r="M16" s="67"/>
      <c r="N16" s="67"/>
      <c r="O16" s="67"/>
      <c r="P16" s="67"/>
      <c r="Q16" s="67"/>
      <c r="R16" s="67"/>
      <c r="S16" s="67"/>
      <c r="T16" s="67"/>
      <c r="U16" s="67"/>
    </row>
    <row r="17" spans="1:21" x14ac:dyDescent="0.2">
      <c r="S17" s="67"/>
      <c r="T17" s="67"/>
      <c r="U17" s="67"/>
    </row>
    <row r="18" spans="1:21" x14ac:dyDescent="0.2">
      <c r="A18" s="1" t="s">
        <v>1</v>
      </c>
      <c r="B18" s="1" t="s">
        <v>3</v>
      </c>
      <c r="C18" s="1" t="s">
        <v>65</v>
      </c>
      <c r="D18" s="1" t="s">
        <v>6</v>
      </c>
      <c r="E18" s="1" t="s">
        <v>66</v>
      </c>
      <c r="F18" s="19" t="s">
        <v>97</v>
      </c>
      <c r="G18" s="1" t="s">
        <v>67</v>
      </c>
      <c r="H18" s="45"/>
      <c r="I18" s="94" t="s">
        <v>80</v>
      </c>
      <c r="J18" s="95"/>
      <c r="K18" s="96"/>
      <c r="M18" s="19" t="s">
        <v>1</v>
      </c>
      <c r="N18" s="19" t="s">
        <v>82</v>
      </c>
      <c r="O18" s="15" t="s">
        <v>23</v>
      </c>
      <c r="P18" s="10" t="s">
        <v>89</v>
      </c>
      <c r="Q18" s="10" t="s">
        <v>95</v>
      </c>
      <c r="S18" s="67"/>
      <c r="T18" s="67"/>
      <c r="U18" s="67"/>
    </row>
    <row r="19" spans="1:21" x14ac:dyDescent="0.2">
      <c r="A19" s="18">
        <v>2020</v>
      </c>
      <c r="B19" s="31">
        <v>1191667</v>
      </c>
      <c r="C19" s="31">
        <v>1219100</v>
      </c>
      <c r="D19" s="31">
        <v>138296</v>
      </c>
      <c r="E19" s="31">
        <v>85100</v>
      </c>
      <c r="F19" s="105">
        <v>-0.15</v>
      </c>
      <c r="G19" s="33">
        <f>D19/E19</f>
        <v>1.6250998824911869</v>
      </c>
      <c r="H19" s="46"/>
      <c r="I19" s="18" t="s">
        <v>76</v>
      </c>
      <c r="J19" s="7" t="s">
        <v>77</v>
      </c>
      <c r="K19" s="7" t="s">
        <v>78</v>
      </c>
      <c r="M19" s="7">
        <v>2021</v>
      </c>
      <c r="N19" s="22">
        <v>487830</v>
      </c>
      <c r="O19" s="22">
        <v>1902030</v>
      </c>
      <c r="P19" s="28">
        <v>48788888</v>
      </c>
      <c r="Q19" s="7"/>
      <c r="S19" s="67"/>
      <c r="T19" s="67"/>
      <c r="U19" s="67"/>
    </row>
    <row r="20" spans="1:21" x14ac:dyDescent="0.2">
      <c r="A20" s="18">
        <v>2021</v>
      </c>
      <c r="B20" s="31">
        <v>1955301</v>
      </c>
      <c r="C20" s="31">
        <v>1661100</v>
      </c>
      <c r="D20" s="31">
        <v>445513</v>
      </c>
      <c r="E20" s="31">
        <v>157800</v>
      </c>
      <c r="F20" s="106"/>
      <c r="G20" s="33">
        <f>D20/E20</f>
        <v>2.8232762991128011</v>
      </c>
      <c r="H20" s="47"/>
      <c r="I20" s="7">
        <v>2.77</v>
      </c>
      <c r="J20" s="7">
        <v>6.15</v>
      </c>
      <c r="K20" s="7">
        <v>10.18</v>
      </c>
      <c r="M20" s="18">
        <v>2022</v>
      </c>
      <c r="N20" s="22">
        <v>703450</v>
      </c>
      <c r="O20" s="22">
        <v>2886921</v>
      </c>
      <c r="P20" s="28">
        <v>48788888</v>
      </c>
      <c r="Q20" s="28">
        <v>70344667</v>
      </c>
      <c r="S20" s="67"/>
      <c r="T20" s="67"/>
      <c r="U20" s="67"/>
    </row>
    <row r="21" spans="1:21" x14ac:dyDescent="0.2">
      <c r="A21" s="18">
        <v>2022</v>
      </c>
      <c r="B21" s="31">
        <v>3205610</v>
      </c>
      <c r="C21" s="31">
        <v>2388000</v>
      </c>
      <c r="D21" s="31">
        <v>821937</v>
      </c>
      <c r="E21" s="31">
        <v>550000</v>
      </c>
      <c r="F21" s="106"/>
      <c r="G21" s="33">
        <f>D21/E21</f>
        <v>1.4944309090909091</v>
      </c>
      <c r="H21" s="47"/>
      <c r="M21" s="18">
        <v>2023</v>
      </c>
      <c r="N21" s="22">
        <v>703450</v>
      </c>
      <c r="O21" s="22">
        <v>3133556</v>
      </c>
      <c r="P21" s="28">
        <v>70344667</v>
      </c>
      <c r="Q21" s="56">
        <v>105520000</v>
      </c>
      <c r="S21" s="67"/>
      <c r="T21" s="67"/>
      <c r="U21" s="67"/>
    </row>
    <row r="22" spans="1:21" x14ac:dyDescent="0.2">
      <c r="A22" s="18">
        <v>2023</v>
      </c>
      <c r="B22" s="37"/>
      <c r="C22" s="3">
        <v>2698000</v>
      </c>
      <c r="D22" s="18"/>
      <c r="E22" s="3">
        <v>490000</v>
      </c>
      <c r="F22" s="3">
        <f>E22 + E22*F19</f>
        <v>416500</v>
      </c>
      <c r="H22" s="48"/>
      <c r="I22" s="7"/>
      <c r="J22" s="61" t="s">
        <v>96</v>
      </c>
      <c r="K22" s="61" t="s">
        <v>94</v>
      </c>
      <c r="S22" s="67"/>
      <c r="T22" s="67"/>
      <c r="U22" s="67"/>
    </row>
    <row r="23" spans="1:21" x14ac:dyDescent="0.2">
      <c r="A23" s="85"/>
      <c r="B23" s="86"/>
      <c r="C23" s="86"/>
      <c r="D23" s="86"/>
      <c r="E23" s="86"/>
      <c r="F23" s="86"/>
      <c r="I23" s="63"/>
      <c r="J23" s="58">
        <f>SUM(H10:H13)/4</f>
        <v>0</v>
      </c>
      <c r="K23" s="58">
        <f>J23 * (P21/Q21)</f>
        <v>0</v>
      </c>
      <c r="M23" s="53"/>
      <c r="N23" s="54"/>
      <c r="O23" s="18" t="s">
        <v>83</v>
      </c>
      <c r="S23" s="67"/>
      <c r="T23" s="67"/>
      <c r="U23" s="67"/>
    </row>
    <row r="24" spans="1:21" x14ac:dyDescent="0.2">
      <c r="A24" s="34" t="s">
        <v>36</v>
      </c>
      <c r="B24" s="3">
        <v>655142</v>
      </c>
      <c r="C24" s="65"/>
      <c r="D24" s="3">
        <v>119019</v>
      </c>
      <c r="E24" s="4">
        <f>D24/E22</f>
        <v>0.24289591836734695</v>
      </c>
      <c r="F24" s="4">
        <f>D24/F22</f>
        <v>0.28575990396158463</v>
      </c>
      <c r="H24" s="49"/>
      <c r="I24" s="62" t="s">
        <v>79</v>
      </c>
      <c r="J24" s="43">
        <f>E22/P21*1000</f>
        <v>6.9657021761152125</v>
      </c>
      <c r="K24" s="43">
        <f>E22/Q21*1000</f>
        <v>4.6436694465504171</v>
      </c>
      <c r="M24" s="100" t="s">
        <v>85</v>
      </c>
      <c r="N24" s="101"/>
      <c r="O24" s="18">
        <f>IF(B31=2022,100% - N20/N21,100% - N19/N21)</f>
        <v>0</v>
      </c>
      <c r="S24" s="67"/>
      <c r="T24" s="67"/>
      <c r="U24" s="67"/>
    </row>
    <row r="25" spans="1:21" x14ac:dyDescent="0.2">
      <c r="A25" s="18" t="s">
        <v>35</v>
      </c>
      <c r="B25" s="3">
        <v>611423</v>
      </c>
      <c r="C25" s="65"/>
      <c r="D25" s="3">
        <v>97210</v>
      </c>
      <c r="E25" s="4">
        <f>D25/E22</f>
        <v>0.19838775510204082</v>
      </c>
      <c r="F25" s="4">
        <f>D25/F22</f>
        <v>0.23339735894357744</v>
      </c>
      <c r="H25" s="49"/>
      <c r="I25" s="62" t="s">
        <v>81</v>
      </c>
      <c r="J25" s="43">
        <f>F22/P21*1000</f>
        <v>5.9208468496979307</v>
      </c>
      <c r="K25" s="43">
        <f>F22/Q21*1000</f>
        <v>3.9471190295678542</v>
      </c>
      <c r="M25" s="100" t="s">
        <v>87</v>
      </c>
      <c r="N25" s="101"/>
      <c r="O25" s="44">
        <f>IF(B31=2022,100% - O20/O21,100% - O19/O21)</f>
        <v>7.8707704601417738E-2</v>
      </c>
    </row>
    <row r="26" spans="1:21" x14ac:dyDescent="0.2">
      <c r="A26" s="18" t="s">
        <v>34</v>
      </c>
      <c r="B26" s="3">
        <v>681360</v>
      </c>
      <c r="C26" s="65"/>
      <c r="D26" s="3">
        <v>105700</v>
      </c>
      <c r="E26" s="4">
        <f>D26/E22</f>
        <v>0.21571428571428572</v>
      </c>
      <c r="F26" s="4">
        <f>D26/F22</f>
        <v>0.253781512605042</v>
      </c>
      <c r="H26" s="49"/>
    </row>
    <row r="27" spans="1:21" x14ac:dyDescent="0.2">
      <c r="A27" s="18" t="s">
        <v>33</v>
      </c>
      <c r="B27" s="35"/>
      <c r="C27" s="65"/>
      <c r="D27" s="3"/>
      <c r="E27" s="4">
        <f>D27/E22</f>
        <v>0</v>
      </c>
      <c r="F27" s="4">
        <f>D27/F22</f>
        <v>0</v>
      </c>
      <c r="H27" s="49"/>
      <c r="I27" s="94" t="s">
        <v>69</v>
      </c>
      <c r="J27" s="95"/>
      <c r="K27" s="95"/>
      <c r="L27" s="96"/>
      <c r="N27" s="97" t="s">
        <v>70</v>
      </c>
      <c r="O27" s="98"/>
      <c r="P27" s="98"/>
      <c r="Q27" s="99"/>
    </row>
    <row r="28" spans="1:21" x14ac:dyDescent="0.2">
      <c r="A28" s="36" t="s">
        <v>68</v>
      </c>
      <c r="B28" s="3">
        <f>SUM(B24:B27)</f>
        <v>1947925</v>
      </c>
      <c r="C28" s="64">
        <f>B28/C22</f>
        <v>0.72198851000741293</v>
      </c>
      <c r="D28" s="3">
        <f>SUM(D24:D27)</f>
        <v>321929</v>
      </c>
      <c r="E28" s="27">
        <f>SUM(E24:E27)</f>
        <v>0.65699795918367354</v>
      </c>
      <c r="F28" s="4">
        <f>SUM(F24:F27)</f>
        <v>0.77293877551020407</v>
      </c>
      <c r="H28" s="49"/>
      <c r="I28" s="7"/>
      <c r="J28" s="7" t="s">
        <v>98</v>
      </c>
      <c r="K28" s="7" t="s">
        <v>74</v>
      </c>
      <c r="L28" s="7" t="s">
        <v>75</v>
      </c>
      <c r="N28" s="32"/>
      <c r="O28" s="13" t="s">
        <v>76</v>
      </c>
      <c r="P28" s="13" t="s">
        <v>77</v>
      </c>
      <c r="Q28" s="13" t="s">
        <v>78</v>
      </c>
    </row>
    <row r="29" spans="1:21" x14ac:dyDescent="0.2">
      <c r="I29" s="7" t="s">
        <v>79</v>
      </c>
      <c r="J29" s="22"/>
      <c r="K29" s="3"/>
      <c r="L29" s="3"/>
      <c r="N29" s="17" t="s">
        <v>96</v>
      </c>
      <c r="O29" s="57">
        <f>J23*I20</f>
        <v>0</v>
      </c>
      <c r="P29" s="57">
        <f>J23*J20</f>
        <v>0</v>
      </c>
      <c r="Q29" s="59">
        <f>J23*K20</f>
        <v>0</v>
      </c>
    </row>
    <row r="30" spans="1:21" x14ac:dyDescent="0.2">
      <c r="B30" s="19" t="s">
        <v>1</v>
      </c>
      <c r="C30" s="19" t="s">
        <v>90</v>
      </c>
      <c r="D30" s="19" t="s">
        <v>93</v>
      </c>
      <c r="E30" s="20" t="s">
        <v>91</v>
      </c>
      <c r="F30" s="20" t="s">
        <v>92</v>
      </c>
      <c r="H30" s="50"/>
      <c r="I30" s="7" t="s">
        <v>81</v>
      </c>
      <c r="J30" s="22">
        <f>C31*F31</f>
        <v>31163.884823289376</v>
      </c>
      <c r="K30" s="3">
        <f>J30 - J30 * O24</f>
        <v>31163.884823289376</v>
      </c>
      <c r="L30" s="3">
        <f>J30 - J30 * O25</f>
        <v>28711.046982385309</v>
      </c>
      <c r="N30" s="17" t="s">
        <v>103</v>
      </c>
      <c r="O30" s="7"/>
      <c r="P30" s="6"/>
      <c r="Q30" s="42"/>
    </row>
    <row r="31" spans="1:21" x14ac:dyDescent="0.2">
      <c r="B31" s="18">
        <v>2022</v>
      </c>
      <c r="C31" s="3">
        <v>61500</v>
      </c>
      <c r="D31" s="31">
        <v>821937</v>
      </c>
      <c r="E31" s="52">
        <f>E22/D31</f>
        <v>0.59615274650003591</v>
      </c>
      <c r="F31" s="52">
        <f>F22/D31</f>
        <v>0.50672983452503051</v>
      </c>
      <c r="H31" s="51"/>
      <c r="N31" s="17" t="s">
        <v>104</v>
      </c>
      <c r="O31" s="7"/>
      <c r="P31" s="42">
        <f>J25*J20</f>
        <v>36.413208125642278</v>
      </c>
      <c r="Q31" s="42">
        <f>J25*K20</f>
        <v>60.274220929924937</v>
      </c>
    </row>
    <row r="32" spans="1:21" x14ac:dyDescent="0.2">
      <c r="A32" s="16"/>
      <c r="B32" s="16"/>
      <c r="C32" s="16"/>
      <c r="D32" s="16"/>
      <c r="E32" s="16"/>
      <c r="F32" s="16"/>
      <c r="G32" s="16"/>
      <c r="H32" s="16"/>
      <c r="I32" s="93" t="s">
        <v>71</v>
      </c>
      <c r="J32" s="93"/>
      <c r="N32" s="17" t="s">
        <v>84</v>
      </c>
      <c r="O32" s="57">
        <f>K23*I20</f>
        <v>0</v>
      </c>
      <c r="P32" s="60">
        <f>K23*J20</f>
        <v>0</v>
      </c>
      <c r="Q32" s="60">
        <f>K23*K20</f>
        <v>0</v>
      </c>
    </row>
    <row r="33" spans="1:21" x14ac:dyDescent="0.2">
      <c r="I33" s="17" t="s">
        <v>72</v>
      </c>
      <c r="J33" s="55">
        <f>((J13-K13)/P21)*1000</f>
        <v>20.204971614976866</v>
      </c>
      <c r="N33" s="17" t="s">
        <v>86</v>
      </c>
      <c r="O33" s="18"/>
      <c r="P33" s="6"/>
      <c r="Q33" s="42"/>
    </row>
    <row r="34" spans="1:21" x14ac:dyDescent="0.2">
      <c r="I34" s="17" t="s">
        <v>73</v>
      </c>
      <c r="J34" s="55">
        <f>((J13-K13)/Q21)*1000</f>
        <v>13.469598180439727</v>
      </c>
      <c r="N34" s="17" t="s">
        <v>88</v>
      </c>
      <c r="O34" s="7"/>
      <c r="P34" s="42">
        <f>K25*J20</f>
        <v>24.274782031842303</v>
      </c>
      <c r="Q34" s="42">
        <f>K25*K20</f>
        <v>40.181671721000754</v>
      </c>
    </row>
    <row r="35" spans="1:21" x14ac:dyDescent="0.2">
      <c r="C35" s="67"/>
      <c r="D35" s="67"/>
      <c r="E35" s="67"/>
      <c r="F35" s="67"/>
      <c r="G35" s="67"/>
      <c r="I35" s="67"/>
      <c r="J35" s="67"/>
      <c r="K35" s="67"/>
      <c r="L35" s="67"/>
      <c r="M35" s="67"/>
      <c r="N35" s="67"/>
      <c r="O35" s="67"/>
      <c r="P35" s="67"/>
      <c r="Q35" s="67"/>
    </row>
    <row r="36" spans="1:21" x14ac:dyDescent="0.2">
      <c r="A36" s="84"/>
      <c r="B36" s="80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</row>
    <row r="37" spans="1:21" x14ac:dyDescent="0.2">
      <c r="A37" s="84"/>
      <c r="B37" s="80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</row>
    <row r="38" spans="1:21" x14ac:dyDescent="0.2">
      <c r="A38" s="84"/>
      <c r="B38" s="80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</row>
    <row r="39" spans="1:21" x14ac:dyDescent="0.2">
      <c r="A39" s="81"/>
      <c r="B39" s="80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</row>
    <row r="40" spans="1:21" x14ac:dyDescent="0.2">
      <c r="A40" s="84"/>
      <c r="B40" s="80"/>
      <c r="C40" s="48"/>
      <c r="D40" s="48"/>
      <c r="E40" s="48"/>
      <c r="F40" s="67"/>
      <c r="G40" s="48"/>
      <c r="H40" s="82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</row>
    <row r="41" spans="1:21" x14ac:dyDescent="0.2">
      <c r="A41" s="84"/>
      <c r="B41" s="80"/>
      <c r="C41" s="48"/>
      <c r="D41" s="48"/>
      <c r="E41" s="48"/>
      <c r="F41" s="67"/>
      <c r="G41" s="48"/>
      <c r="H41" s="82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</row>
    <row r="42" spans="1:21" x14ac:dyDescent="0.2">
      <c r="A42" s="84"/>
      <c r="B42" s="80"/>
      <c r="C42" s="48"/>
      <c r="D42" s="48"/>
      <c r="E42" s="48"/>
      <c r="F42" s="67"/>
      <c r="G42" s="48"/>
      <c r="H42" s="82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</row>
    <row r="43" spans="1:21" x14ac:dyDescent="0.2">
      <c r="A43" s="84"/>
      <c r="B43" s="80"/>
      <c r="C43" s="48"/>
      <c r="D43" s="48"/>
      <c r="E43" s="48"/>
      <c r="F43" s="67"/>
      <c r="G43" s="48"/>
      <c r="H43" s="82"/>
      <c r="I43" s="83"/>
      <c r="J43" s="83"/>
      <c r="K43" s="83"/>
      <c r="L43" s="83"/>
      <c r="M43" s="83"/>
      <c r="N43" s="83"/>
      <c r="O43" s="83"/>
      <c r="P43" s="83"/>
      <c r="Q43" s="67"/>
      <c r="R43" s="83"/>
      <c r="S43" s="83"/>
      <c r="T43" s="83"/>
      <c r="U43" s="83"/>
    </row>
    <row r="44" spans="1:21" x14ac:dyDescent="0.2">
      <c r="A44" s="84"/>
      <c r="B44" s="80"/>
      <c r="C44" s="48"/>
      <c r="D44" s="48"/>
      <c r="E44" s="48"/>
      <c r="F44" s="67"/>
      <c r="G44" s="48"/>
      <c r="H44" s="82"/>
      <c r="I44" s="83"/>
      <c r="J44" s="83"/>
      <c r="K44" s="83"/>
      <c r="L44" s="83"/>
      <c r="M44" s="83"/>
      <c r="N44" s="83"/>
      <c r="O44" s="83"/>
      <c r="P44" s="83"/>
      <c r="Q44" s="67"/>
      <c r="R44" s="83"/>
      <c r="S44" s="83"/>
      <c r="T44" s="83"/>
      <c r="U44" s="83"/>
    </row>
    <row r="45" spans="1:21" x14ac:dyDescent="0.2">
      <c r="A45" s="84"/>
      <c r="B45" s="80"/>
      <c r="C45" s="48"/>
      <c r="D45" s="48"/>
      <c r="E45" s="48"/>
      <c r="F45" s="67"/>
      <c r="G45" s="48"/>
      <c r="H45" s="82"/>
      <c r="I45" s="83"/>
      <c r="J45" s="83"/>
      <c r="K45" s="83"/>
      <c r="L45" s="83"/>
      <c r="M45" s="83"/>
      <c r="N45" s="83"/>
      <c r="O45" s="83"/>
      <c r="P45" s="83"/>
      <c r="Q45" s="67"/>
      <c r="R45" s="83"/>
      <c r="S45" s="83"/>
      <c r="T45" s="83"/>
      <c r="U45" s="83"/>
    </row>
    <row r="46" spans="1:21" x14ac:dyDescent="0.2">
      <c r="A46" s="84"/>
      <c r="B46" s="80"/>
      <c r="C46" s="48"/>
      <c r="D46" s="48"/>
      <c r="E46" s="48"/>
      <c r="F46" s="67"/>
      <c r="G46" s="48"/>
      <c r="H46" s="82"/>
      <c r="I46" s="83"/>
      <c r="J46" s="83"/>
      <c r="K46" s="83"/>
      <c r="L46" s="83"/>
      <c r="M46" s="83"/>
      <c r="N46" s="83"/>
      <c r="O46" s="83"/>
      <c r="P46" s="83"/>
      <c r="Q46" s="67"/>
      <c r="R46" s="83"/>
      <c r="S46" s="83"/>
      <c r="T46" s="83"/>
      <c r="U46" s="83"/>
    </row>
    <row r="47" spans="1:21" x14ac:dyDescent="0.2">
      <c r="A47" s="84"/>
      <c r="B47" s="80"/>
      <c r="C47" s="48"/>
      <c r="D47" s="48"/>
      <c r="E47" s="48"/>
      <c r="F47" s="48"/>
      <c r="G47" s="48"/>
      <c r="H47" s="48"/>
      <c r="I47" s="83"/>
      <c r="J47" s="83"/>
      <c r="K47" s="83"/>
      <c r="L47" s="83"/>
      <c r="M47" s="83"/>
      <c r="N47" s="83"/>
      <c r="O47" s="83"/>
      <c r="P47" s="83"/>
      <c r="Q47" s="83"/>
      <c r="T47" s="83"/>
    </row>
  </sheetData>
  <mergeCells count="12">
    <mergeCell ref="F19:F21"/>
    <mergeCell ref="I32:J32"/>
    <mergeCell ref="A23:F23"/>
    <mergeCell ref="M24:N24"/>
    <mergeCell ref="M25:N25"/>
    <mergeCell ref="I27:L27"/>
    <mergeCell ref="N27:Q27"/>
    <mergeCell ref="A1:B1"/>
    <mergeCell ref="C1:G1"/>
    <mergeCell ref="I1:Q1"/>
    <mergeCell ref="R1:U1"/>
    <mergeCell ref="I18:K1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9F2D0-0DA1-B74C-934B-7E23B695A894}">
  <dimension ref="A1"/>
  <sheetViews>
    <sheetView tabSelected="1" workbookViewId="0">
      <selection activeCell="A10" sqref="A10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HAH2</vt:lpstr>
      <vt:lpstr>Formula</vt:lpstr>
      <vt:lpstr>ThongKe</vt:lpstr>
      <vt:lpstr>HAH</vt:lpstr>
      <vt:lpstr>HPG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Nguyen Hoang</dc:creator>
  <cp:lastModifiedBy>Trung Nguyen Hoang</cp:lastModifiedBy>
  <dcterms:created xsi:type="dcterms:W3CDTF">2023-12-26T06:56:03Z</dcterms:created>
  <dcterms:modified xsi:type="dcterms:W3CDTF">2023-12-28T04:00:55Z</dcterms:modified>
</cp:coreProperties>
</file>