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45" windowHeight="17535"/>
  </bookViews>
  <sheets>
    <sheet name="鱼单价工具" sheetId="1" r:id="rId1"/>
    <sheet name="鱼种重量参数" sheetId="2" r:id="rId2"/>
    <sheet name="饵长-鱼长工具" sheetId="3" r:id="rId3"/>
    <sheet name="钓场鱼品质列表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<sst xmlns="http://schemas.openxmlformats.org/spreadsheetml/2006/main" count="526" uniqueCount="145">
  <si>
    <t>填写绿色格子，勿动白色、蓝色单元格！</t>
  </si>
  <si>
    <t>cm</t>
  </si>
  <si>
    <t>g</t>
  </si>
  <si>
    <t>主要用于同鱼种的加权</t>
  </si>
  <si>
    <t>这个鱼种多个品质加权</t>
  </si>
  <si>
    <t>等阶</t>
  </si>
  <si>
    <t>gold参考</t>
  </si>
  <si>
    <t>中文名</t>
  </si>
  <si>
    <t>鱼种</t>
  </si>
  <si>
    <t>稀有度</t>
  </si>
  <si>
    <t>钓场</t>
  </si>
  <si>
    <t>最小长度</t>
  </si>
  <si>
    <t>最大长度</t>
  </si>
  <si>
    <t>最小重量</t>
  </si>
  <si>
    <t>最大重量</t>
  </si>
  <si>
    <t>期望重量</t>
  </si>
  <si>
    <t>重量参数a</t>
  </si>
  <si>
    <t>重量参数b</t>
  </si>
  <si>
    <t>单价</t>
  </si>
  <si>
    <t>权重</t>
  </si>
  <si>
    <t>期望价格/条</t>
  </si>
  <si>
    <t>本阶段期望gold/条</t>
  </si>
  <si>
    <t>期望gold差额</t>
  </si>
  <si>
    <t>本阶段期望重量</t>
  </si>
  <si>
    <t>min卖价</t>
  </si>
  <si>
    <t>xp-formula</t>
  </si>
  <si>
    <t>xp</t>
  </si>
  <si>
    <t>Alewife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</si>
  <si>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</si>
  <si>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</si>
  <si>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</si>
  <si>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</si>
  <si>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</si>
  <si>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</si>
  <si>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</si>
  <si>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</si>
  <si>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</si>
  <si>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</si>
  <si>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Buffalo</t>
  </si>
  <si>
    <t>考虑：玩家有可能认为白亚口鱼明显好于水牛鱼系列？</t>
  </si>
  <si>
    <t>Bigmouth_Buffalo</t>
  </si>
  <si>
    <t>Tench</t>
  </si>
  <si>
    <t>丁鱥稍微偏小了一些</t>
  </si>
  <si>
    <t>_Apex</t>
  </si>
  <si>
    <t>Channel_Catfish</t>
  </si>
  <si>
    <t>American_Shad</t>
  </si>
  <si>
    <t>Rock_Bass</t>
  </si>
  <si>
    <t>Bowfin</t>
  </si>
  <si>
    <t>Yellow_Perch</t>
  </si>
  <si>
    <t>似乎也可以调大一些</t>
  </si>
  <si>
    <t>Redfin_Pickerel</t>
  </si>
  <si>
    <t>Spotted_Bass</t>
  </si>
  <si>
    <t>Largemouth_Bass</t>
  </si>
  <si>
    <t>American_Eel</t>
  </si>
  <si>
    <t>Walleye</t>
  </si>
  <si>
    <t>手调鱼种string</t>
  </si>
  <si>
    <t>鱼种string</t>
  </si>
  <si>
    <t>鱼种类</t>
  </si>
  <si>
    <t>STRING</t>
  </si>
  <si>
    <t>Redear Sunfish</t>
  </si>
  <si>
    <t>小冠太阳鱼</t>
  </si>
  <si>
    <t>水牛鱼</t>
  </si>
  <si>
    <t>弓鳍鱼</t>
  </si>
  <si>
    <t>Yellow Perch</t>
  </si>
  <si>
    <t>黄鲈</t>
  </si>
  <si>
    <t>Channel Catfish</t>
  </si>
  <si>
    <t>斑点叉尾鮰</t>
  </si>
  <si>
    <t>Muskellunge</t>
  </si>
  <si>
    <t>北美狗鱼</t>
  </si>
  <si>
    <t>灰西鲱</t>
  </si>
  <si>
    <t>Striped_Bass</t>
  </si>
  <si>
    <t>Striped Bass</t>
  </si>
  <si>
    <t>美洲条纹狼鲈</t>
  </si>
  <si>
    <t>Blacktail_Shiner</t>
  </si>
  <si>
    <t>Blacktail Shiner</t>
  </si>
  <si>
    <t>黑尾沙丁鱼</t>
  </si>
  <si>
    <t>Brook_Trout</t>
  </si>
  <si>
    <t>Brook Trout</t>
  </si>
  <si>
    <t>美洲红点鲑</t>
  </si>
  <si>
    <t>丁鱥</t>
  </si>
  <si>
    <t>Freshwater_Drum</t>
  </si>
  <si>
    <t>Freshwater Drum</t>
  </si>
  <si>
    <t>淡水石首鱼</t>
  </si>
  <si>
    <t>Largemouth Bass</t>
  </si>
  <si>
    <t>大口黑鲈</t>
  </si>
  <si>
    <t>Spotted Bass</t>
  </si>
  <si>
    <t>斑点黑鲈</t>
  </si>
  <si>
    <t>White_Crappie</t>
  </si>
  <si>
    <t>White Crappie</t>
  </si>
  <si>
    <t>白斑刺盖太阳鱼</t>
  </si>
  <si>
    <t>Rock Bass</t>
  </si>
  <si>
    <t>岩钝鲈</t>
  </si>
  <si>
    <t>Smallmouth_Bass</t>
  </si>
  <si>
    <t>Smallmouth Bass</t>
  </si>
  <si>
    <t>小口黑鲈</t>
  </si>
  <si>
    <t>Black_Crappie</t>
  </si>
  <si>
    <t>Black Crappie</t>
  </si>
  <si>
    <t>黑斑刺盖太阳鱼</t>
  </si>
  <si>
    <t>Pumpkinseed Sunfish</t>
  </si>
  <si>
    <t>驼背太阳鱼</t>
  </si>
  <si>
    <t>Green Sunfish</t>
  </si>
  <si>
    <t>绿太阳鱼</t>
  </si>
  <si>
    <t>Redspotted_Sunfish</t>
  </si>
  <si>
    <t>Redspotted Sunfish</t>
  </si>
  <si>
    <t>红斑太阳鱼</t>
  </si>
  <si>
    <t>Chain_Pickerel</t>
  </si>
  <si>
    <t>Chain Pickerel</t>
  </si>
  <si>
    <t>链纹狗鱼</t>
  </si>
  <si>
    <t>Sauger</t>
  </si>
  <si>
    <t>加拿大梭鲈</t>
  </si>
  <si>
    <t>玻璃梭鲈</t>
  </si>
  <si>
    <t>Rainbow_Trout</t>
  </si>
  <si>
    <t>Rainbow Trout</t>
  </si>
  <si>
    <t>虹鳟</t>
  </si>
  <si>
    <t>Golden_Trout</t>
  </si>
  <si>
    <t>Golden Trout</t>
  </si>
  <si>
    <t>金鳟</t>
  </si>
  <si>
    <t>Bluegill Sunfish</t>
  </si>
  <si>
    <t>蓝鳃太阳鱼</t>
  </si>
  <si>
    <t>American Eel</t>
  </si>
  <si>
    <t>美洲鳗鲡</t>
  </si>
  <si>
    <t>Common Shiner</t>
  </si>
  <si>
    <t>美鳊</t>
  </si>
  <si>
    <t>Golden_Shiner</t>
  </si>
  <si>
    <t>Golden Shiner</t>
  </si>
  <si>
    <t>金体美鳊</t>
  </si>
  <si>
    <t>Longback_Dace</t>
  </si>
  <si>
    <t>Longback Dace</t>
  </si>
  <si>
    <t>长背亚口鱼</t>
  </si>
  <si>
    <t>黑刺盖太阳鱼</t>
  </si>
  <si>
    <t>白刺盖太阳鱼</t>
  </si>
  <si>
    <t>White_Channel_Catfish</t>
  </si>
  <si>
    <t>White Channel Catfish</t>
  </si>
  <si>
    <t>白化叉尾鮰</t>
  </si>
  <si>
    <t>Yaqui Sucker</t>
  </si>
  <si>
    <t>白亚口鱼</t>
  </si>
  <si>
    <t>Bigmouth Buffalo</t>
  </si>
  <si>
    <t>大口牛胭脂鱼</t>
  </si>
  <si>
    <t>American Shad</t>
  </si>
  <si>
    <t>美洲西鲱</t>
  </si>
  <si>
    <t>Redfin Pickerel</t>
  </si>
  <si>
    <t>红鳍狗鱼</t>
  </si>
  <si>
    <t>阶段</t>
  </si>
  <si>
    <t>品质</t>
  </si>
  <si>
    <t>随机权重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</si>
</sst>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35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rgb="FF990099"/>
      <name val="等线"/>
      <charset val="134"/>
      <scheme val="minor"/>
    </font>
    <font>
      <b/>
      <sz val="9.75"/>
      <color rgb="FFF54A45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1F2329"/>
      <name val="等线"/>
      <charset val="134"/>
      <scheme val="minor"/>
    </font>
    <font>
      <sz val="11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.75"/>
      <color rgb="FF99009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D9F5D6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>
      <alignment vertical="center"/>
    </xf>
    <xf numFmtId="44" fontId="13" fillId="0" borderId="0">
      <alignment vertical="center"/>
    </xf>
    <xf numFmtId="9" fontId="13" fillId="0" borderId="0">
      <alignment vertical="center"/>
    </xf>
    <xf numFmtId="41" fontId="13" fillId="0" borderId="0">
      <alignment vertical="center"/>
    </xf>
    <xf numFmtId="42" fontId="13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3" fillId="13" borderId="2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3">
      <alignment vertical="center"/>
    </xf>
    <xf numFmtId="0" fontId="22" fillId="0" borderId="3">
      <alignment vertical="center"/>
    </xf>
    <xf numFmtId="0" fontId="23" fillId="0" borderId="4">
      <alignment vertical="center"/>
    </xf>
    <xf numFmtId="0" fontId="23" fillId="0" borderId="0">
      <alignment vertical="center"/>
    </xf>
    <xf numFmtId="0" fontId="24" fillId="14" borderId="5">
      <alignment vertical="center"/>
    </xf>
    <xf numFmtId="0" fontId="25" fillId="15" borderId="6">
      <alignment vertical="center"/>
    </xf>
    <xf numFmtId="0" fontId="26" fillId="15" borderId="5">
      <alignment vertical="center"/>
    </xf>
    <xf numFmtId="0" fontId="27" fillId="16" borderId="7">
      <alignment vertical="center"/>
    </xf>
    <xf numFmtId="0" fontId="28" fillId="0" borderId="8">
      <alignment vertical="center"/>
    </xf>
    <xf numFmtId="0" fontId="29" fillId="0" borderId="9">
      <alignment vertical="center"/>
    </xf>
    <xf numFmtId="0" fontId="30" fillId="17" borderId="0">
      <alignment vertical="center"/>
    </xf>
    <xf numFmtId="0" fontId="31" fillId="18" borderId="0">
      <alignment vertical="center"/>
    </xf>
    <xf numFmtId="0" fontId="32" fillId="19" borderId="0">
      <alignment vertical="center"/>
    </xf>
    <xf numFmtId="0" fontId="33" fillId="20" borderId="0">
      <alignment vertical="center"/>
    </xf>
    <xf numFmtId="0" fontId="34" fillId="21" borderId="0">
      <alignment vertical="center"/>
    </xf>
    <xf numFmtId="0" fontId="34" fillId="22" borderId="0">
      <alignment vertical="center"/>
    </xf>
    <xf numFmtId="0" fontId="33" fillId="23" borderId="0">
      <alignment vertical="center"/>
    </xf>
    <xf numFmtId="0" fontId="33" fillId="24" borderId="0">
      <alignment vertical="center"/>
    </xf>
    <xf numFmtId="0" fontId="34" fillId="25" borderId="0">
      <alignment vertical="center"/>
    </xf>
    <xf numFmtId="0" fontId="34" fillId="26" borderId="0">
      <alignment vertical="center"/>
    </xf>
    <xf numFmtId="0" fontId="33" fillId="27" borderId="0">
      <alignment vertical="center"/>
    </xf>
    <xf numFmtId="0" fontId="33" fillId="28" borderId="0">
      <alignment vertical="center"/>
    </xf>
    <xf numFmtId="0" fontId="34" fillId="29" borderId="0">
      <alignment vertical="center"/>
    </xf>
    <xf numFmtId="0" fontId="34" fillId="30" borderId="0">
      <alignment vertical="center"/>
    </xf>
    <xf numFmtId="0" fontId="33" fillId="31" borderId="0">
      <alignment vertical="center"/>
    </xf>
    <xf numFmtId="0" fontId="33" fillId="32" borderId="0">
      <alignment vertical="center"/>
    </xf>
    <xf numFmtId="0" fontId="34" fillId="33" borderId="0">
      <alignment vertical="center"/>
    </xf>
    <xf numFmtId="0" fontId="34" fillId="34" borderId="0">
      <alignment vertical="center"/>
    </xf>
    <xf numFmtId="0" fontId="33" fillId="35" borderId="0">
      <alignment vertical="center"/>
    </xf>
    <xf numFmtId="0" fontId="33" fillId="36" borderId="0">
      <alignment vertical="center"/>
    </xf>
    <xf numFmtId="0" fontId="34" fillId="37" borderId="0">
      <alignment vertical="center"/>
    </xf>
    <xf numFmtId="0" fontId="34" fillId="38" borderId="0">
      <alignment vertical="center"/>
    </xf>
    <xf numFmtId="0" fontId="33" fillId="39" borderId="0">
      <alignment vertical="center"/>
    </xf>
    <xf numFmtId="0" fontId="33" fillId="40" borderId="0">
      <alignment vertical="center"/>
    </xf>
    <xf numFmtId="0" fontId="34" fillId="8" borderId="0">
      <alignment vertical="center"/>
    </xf>
    <xf numFmtId="0" fontId="34" fillId="41" borderId="0">
      <alignment vertical="center"/>
    </xf>
    <xf numFmtId="0" fontId="33" fillId="42" borderId="0">
      <alignment vertical="center"/>
    </xf>
  </cellStyleXfs>
  <cellXfs count="4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/>
    <xf numFmtId="0" fontId="11" fillId="7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9" fillId="7" borderId="1" xfId="0" applyFont="1" applyFill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>
      <alignment horizontal="left"/>
    </xf>
    <xf numFmtId="0" fontId="13" fillId="8" borderId="1" xfId="0" applyFont="1" applyFill="1" applyBorder="1"/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0" fillId="7" borderId="0" xfId="0" applyFill="1" applyAlignment="1">
      <alignment vertical="center"/>
    </xf>
    <xf numFmtId="0" fontId="15" fillId="0" borderId="0" xfId="0" applyFont="1"/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176" fontId="5" fillId="3" borderId="0" xfId="0" applyNumberFormat="1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11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9" fontId="13" fillId="0" borderId="0" xfId="3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38100</xdr:colOff>
      <xdr:row>0</xdr:row>
      <xdr:rowOff>38100</xdr:rowOff>
    </xdr:from>
    <xdr:to>
      <xdr:col>11</xdr:col>
      <xdr:colOff>-38100</xdr:colOff>
      <xdr:row>1</xdr:row>
      <xdr:rowOff>-38100</xdr:rowOff>
    </xdr:to>
    <xdr:pic>
      <xdr:nvPicPr>
        <xdr:cNvPr id="2" name="Picture 2" descr="lHnepp"/>
        <xdr:cNvPicPr/>
      </xdr:nvPicPr>
      <xdr:blipFill>
        <a:blip r:embed="rId1"/>
        <a:stretch>
          <a:fillRect/>
        </a:stretch>
      </xdr:blipFill>
      <xdr:spPr>
        <a:xfrm>
          <a:off x="9305925" y="38100"/>
          <a:ext cx="857250" cy="304800"/>
        </a:xfrm>
        <a:prstGeom prst="rect">
          <a:avLst/>
        </a:prstGeom>
        <a:ln>
          <a:prstDash val="solid"/>
        </a:ln>
      </xdr:spPr>
    </xdr:pic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CATFishesOrigin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2200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1800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</row>
        <row r="4"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</row>
        <row r="5"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</row>
        <row r="6"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2.3</v>
          </cell>
        </row>
        <row r="7"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</row>
        <row r="8"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</row>
        <row r="9"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</row>
        <row r="10"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</row>
        <row r="11"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</row>
        <row r="12"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灰西鲱</v>
          </cell>
          <cell r="C13" t="str">
            <v>保底</v>
          </cell>
          <cell r="D13">
            <v>1</v>
          </cell>
          <cell r="E13">
            <v>1</v>
          </cell>
          <cell r="F13" t="str">
            <v>开放水域游动的保底鱼</v>
          </cell>
          <cell r="G13">
            <v>200</v>
          </cell>
          <cell r="H13" t="str">
            <v>1、2</v>
          </cell>
          <cell r="I13">
            <v>2</v>
          </cell>
          <cell r="J13">
            <v>2200</v>
          </cell>
          <cell r="K13">
            <v>148</v>
          </cell>
          <cell r="L13">
            <v>200</v>
          </cell>
        </row>
        <row r="14">
          <cell r="B14" t="str">
            <v>美鳊</v>
          </cell>
          <cell r="C14" t="str">
            <v>保底</v>
          </cell>
          <cell r="D14">
            <v>1</v>
          </cell>
          <cell r="E14">
            <v>1</v>
          </cell>
        </row>
        <row r="14">
          <cell r="G14">
            <v>200</v>
          </cell>
          <cell r="H14" t="str">
            <v>1、2</v>
          </cell>
          <cell r="I14">
            <v>2</v>
          </cell>
          <cell r="J14">
            <v>1800</v>
          </cell>
          <cell r="K14">
            <v>148</v>
          </cell>
          <cell r="L14">
            <v>200</v>
          </cell>
        </row>
        <row r="15">
          <cell r="B15" t="str">
            <v>绿太阳鱼</v>
          </cell>
          <cell r="C15" t="str">
            <v>保底</v>
          </cell>
          <cell r="D15">
            <v>1</v>
          </cell>
          <cell r="E15">
            <v>1.7</v>
          </cell>
        </row>
        <row r="15">
          <cell r="G15">
            <v>340</v>
          </cell>
          <cell r="H15" t="str">
            <v>1、2</v>
          </cell>
          <cell r="I15">
            <v>2</v>
          </cell>
          <cell r="J15">
            <v>1200</v>
          </cell>
          <cell r="K15">
            <v>251</v>
          </cell>
          <cell r="L15">
            <v>340</v>
          </cell>
        </row>
        <row r="16">
          <cell r="B16" t="str">
            <v>驼背太阳鱼</v>
          </cell>
          <cell r="C16" t="str">
            <v>保底</v>
          </cell>
          <cell r="D16">
            <v>1</v>
          </cell>
          <cell r="E16">
            <v>1.5</v>
          </cell>
        </row>
        <row r="16">
          <cell r="G16">
            <v>300</v>
          </cell>
          <cell r="H16" t="str">
            <v>1、2</v>
          </cell>
          <cell r="I16">
            <v>2</v>
          </cell>
          <cell r="J16">
            <v>1000</v>
          </cell>
          <cell r="K16">
            <v>222</v>
          </cell>
          <cell r="L16">
            <v>300</v>
          </cell>
        </row>
        <row r="17">
          <cell r="B17" t="str">
            <v>蓝鳃太阳鱼</v>
          </cell>
          <cell r="C17" t="str">
            <v>保底</v>
          </cell>
          <cell r="D17">
            <v>2</v>
          </cell>
          <cell r="E17">
            <v>2</v>
          </cell>
        </row>
        <row r="17">
          <cell r="G17">
            <v>400</v>
          </cell>
          <cell r="H17" t="str">
            <v>1、2</v>
          </cell>
          <cell r="I17">
            <v>2</v>
          </cell>
          <cell r="J17">
            <v>1500</v>
          </cell>
          <cell r="K17">
            <v>296</v>
          </cell>
          <cell r="L17">
            <v>400</v>
          </cell>
        </row>
        <row r="18">
          <cell r="B18" t="str">
            <v>小冠太阳鱼</v>
          </cell>
          <cell r="C18" t="str">
            <v>保底</v>
          </cell>
          <cell r="D18">
            <v>2</v>
          </cell>
          <cell r="E18">
            <v>2.3</v>
          </cell>
        </row>
        <row r="18">
          <cell r="G18">
            <v>460</v>
          </cell>
          <cell r="H18" t="str">
            <v>1、2</v>
          </cell>
          <cell r="I18">
            <v>2</v>
          </cell>
          <cell r="J18">
            <v>1500</v>
          </cell>
          <cell r="K18">
            <v>340</v>
          </cell>
          <cell r="L18">
            <v>460</v>
          </cell>
        </row>
        <row r="19">
          <cell r="B19" t="str">
            <v>美洲西鲱</v>
          </cell>
          <cell r="C19" t="str">
            <v>保底</v>
          </cell>
          <cell r="D19">
            <v>2</v>
          </cell>
          <cell r="E19">
            <v>2</v>
          </cell>
        </row>
        <row r="19">
          <cell r="G19">
            <v>400</v>
          </cell>
          <cell r="H19" t="str">
            <v>1、2</v>
          </cell>
          <cell r="I19">
            <v>2</v>
          </cell>
          <cell r="J19">
            <v>1000</v>
          </cell>
          <cell r="K19">
            <v>296</v>
          </cell>
          <cell r="L19">
            <v>400</v>
          </cell>
        </row>
        <row r="20">
          <cell r="B20" t="str">
            <v>岩钝鲈</v>
          </cell>
          <cell r="C20" t="str">
            <v>保底</v>
          </cell>
          <cell r="D20">
            <v>2</v>
          </cell>
          <cell r="E20">
            <v>2</v>
          </cell>
        </row>
        <row r="20">
          <cell r="G20">
            <v>400</v>
          </cell>
          <cell r="H20" t="str">
            <v>1、2</v>
          </cell>
          <cell r="I20">
            <v>2</v>
          </cell>
          <cell r="J20">
            <v>1000</v>
          </cell>
          <cell r="K20">
            <v>296</v>
          </cell>
          <cell r="L20">
            <v>400</v>
          </cell>
        </row>
        <row r="21">
          <cell r="B21" t="str">
            <v>弓鳍鱼</v>
          </cell>
          <cell r="C21" t="str">
            <v>目标</v>
          </cell>
          <cell r="D21">
            <v>2</v>
          </cell>
          <cell r="E21">
            <v>2.5</v>
          </cell>
        </row>
        <row r="21">
          <cell r="G21">
            <v>500</v>
          </cell>
          <cell r="H21" t="str">
            <v>1、2</v>
          </cell>
          <cell r="I21">
            <v>2</v>
          </cell>
          <cell r="J21">
            <v>1000</v>
          </cell>
          <cell r="K21">
            <v>370</v>
          </cell>
          <cell r="L21">
            <v>500</v>
          </cell>
        </row>
        <row r="22">
          <cell r="B22" t="str">
            <v>黄鲈</v>
          </cell>
          <cell r="C22" t="str">
            <v>目标</v>
          </cell>
          <cell r="D22">
            <v>3</v>
          </cell>
          <cell r="E22">
            <v>3.3</v>
          </cell>
        </row>
        <row r="22">
          <cell r="G22">
            <v>900</v>
          </cell>
          <cell r="H22" t="str">
            <v>1、2、3</v>
          </cell>
          <cell r="I22">
            <v>2</v>
          </cell>
          <cell r="J22">
            <v>1000</v>
          </cell>
          <cell r="K22">
            <v>666</v>
          </cell>
          <cell r="L22">
            <v>900</v>
          </cell>
        </row>
        <row r="23">
          <cell r="B23" t="str">
            <v>红鳍狗鱼</v>
          </cell>
          <cell r="C23" t="str">
            <v>目标</v>
          </cell>
          <cell r="D23">
            <v>3</v>
          </cell>
          <cell r="E23">
            <v>3.5</v>
          </cell>
        </row>
        <row r="23">
          <cell r="G23">
            <v>1000</v>
          </cell>
          <cell r="H23" t="str">
            <v>1、2、3</v>
          </cell>
          <cell r="I23">
            <v>2</v>
          </cell>
          <cell r="J23">
            <v>1000</v>
          </cell>
          <cell r="K23">
            <v>740</v>
          </cell>
          <cell r="L23">
            <v>1000</v>
          </cell>
        </row>
        <row r="24">
          <cell r="B24" t="str">
            <v>斑点黑鲈</v>
          </cell>
          <cell r="C24" t="str">
            <v>目标</v>
          </cell>
          <cell r="D24">
            <v>4</v>
          </cell>
          <cell r="E24">
            <v>4.5</v>
          </cell>
        </row>
        <row r="24">
          <cell r="G24">
            <v>2000</v>
          </cell>
          <cell r="H24" t="str">
            <v>1、2、3、4</v>
          </cell>
          <cell r="I24">
            <v>2</v>
          </cell>
          <cell r="J24">
            <v>1000</v>
          </cell>
          <cell r="K24">
            <v>1480</v>
          </cell>
          <cell r="L24">
            <v>2000</v>
          </cell>
        </row>
        <row r="25">
          <cell r="B25" t="str">
            <v>大口黑鲈</v>
          </cell>
          <cell r="C25" t="str">
            <v>目标</v>
          </cell>
          <cell r="D25">
            <v>5</v>
          </cell>
          <cell r="E25">
            <v>5</v>
          </cell>
        </row>
        <row r="25">
          <cell r="G25">
            <v>3200</v>
          </cell>
          <cell r="H25" t="str">
            <v>1、2、3、4、5</v>
          </cell>
          <cell r="I25">
            <v>2</v>
          </cell>
          <cell r="J25">
            <v>1000</v>
          </cell>
          <cell r="K25">
            <v>2368</v>
          </cell>
          <cell r="L25">
            <v>3200</v>
          </cell>
        </row>
        <row r="26">
          <cell r="B26" t="str">
            <v>美洲鳗鲡</v>
          </cell>
          <cell r="C26" t="str">
            <v>目标</v>
          </cell>
          <cell r="D26">
            <v>5</v>
          </cell>
          <cell r="E26">
            <v>5</v>
          </cell>
          <cell r="F26" t="str">
            <v>2场的浮钓，深坑底钓</v>
          </cell>
          <cell r="G26">
            <v>3200</v>
          </cell>
          <cell r="H26" t="str">
            <v>1、2、3、4、5</v>
          </cell>
          <cell r="I26">
            <v>2</v>
          </cell>
          <cell r="J26">
            <v>1000</v>
          </cell>
          <cell r="K26">
            <v>2368</v>
          </cell>
          <cell r="L26">
            <v>3200</v>
          </cell>
        </row>
        <row r="27">
          <cell r="B27" t="str">
            <v>玻璃梭鲈</v>
          </cell>
          <cell r="C27" t="str">
            <v>目标</v>
          </cell>
          <cell r="D27">
            <v>5</v>
          </cell>
          <cell r="E27">
            <v>5.3</v>
          </cell>
        </row>
        <row r="27">
          <cell r="G27">
            <v>3800</v>
          </cell>
          <cell r="H27" t="str">
            <v>1、2、3、4、5</v>
          </cell>
          <cell r="I27">
            <v>2</v>
          </cell>
          <cell r="J27">
            <v>1000</v>
          </cell>
          <cell r="K27">
            <v>2812</v>
          </cell>
          <cell r="L27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19"/>
  <sheetViews>
    <sheetView tabSelected="1" topLeftCell="D1" workbookViewId="0">
      <pane ySplit="3" topLeftCell="A31" activePane="bottomLeft" state="frozen"/>
      <selection/>
      <selection pane="bottomLeft" activeCell="K42" sqref="K42"/>
    </sheetView>
  </sheetViews>
  <sheetFormatPr defaultColWidth="14" defaultRowHeight="12.75"/>
  <cols>
    <col min="2" max="2" width="14" style="3" customWidth="1"/>
    <col min="3" max="3" width="19" style="3" customWidth="1"/>
    <col min="4" max="4" width="20" style="3" customWidth="1"/>
    <col min="5" max="5" width="14" style="3" customWidth="1"/>
    <col min="6" max="7" width="8" style="3" customWidth="1"/>
    <col min="8" max="14" width="14" style="3" customWidth="1"/>
    <col min="15" max="16" width="15" style="3" customWidth="1"/>
    <col min="18" max="18" width="16.1428571428571" style="3" customWidth="1"/>
    <col min="21" max="21" width="14" style="28" customWidth="1"/>
  </cols>
  <sheetData>
    <row r="1" ht="30" customHeight="1" spans="1:22">
      <c r="A1" s="4" t="s">
        <v>0</v>
      </c>
      <c r="B1" s="4"/>
      <c r="C1" s="5"/>
      <c r="D1" s="5"/>
      <c r="E1" s="5"/>
      <c r="F1" s="5"/>
      <c r="G1" s="5" t="s">
        <v>1</v>
      </c>
      <c r="H1" s="5" t="s">
        <v>1</v>
      </c>
      <c r="I1" s="32" t="s">
        <v>2</v>
      </c>
      <c r="J1" s="32" t="s">
        <v>2</v>
      </c>
      <c r="K1" s="32"/>
      <c r="L1" s="5"/>
      <c r="M1" s="5"/>
      <c r="N1" s="5"/>
      <c r="O1" s="5" t="s">
        <v>3</v>
      </c>
      <c r="Q1" s="5" t="s">
        <v>4</v>
      </c>
      <c r="R1" s="5"/>
      <c r="S1" s="5"/>
      <c r="T1" s="5"/>
      <c r="U1" s="37"/>
      <c r="V1" s="5"/>
    </row>
    <row r="2" spans="1:2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32" t="s">
        <v>13</v>
      </c>
      <c r="J2" s="32" t="s">
        <v>14</v>
      </c>
      <c r="K2" s="32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37" t="s">
        <v>25</v>
      </c>
      <c r="V2" s="5" t="s">
        <v>26</v>
      </c>
    </row>
    <row r="3" spans="1:22">
      <c r="A3" s="6"/>
      <c r="B3" s="6"/>
      <c r="C3" s="6"/>
      <c r="D3" s="6"/>
      <c r="E3" s="6"/>
      <c r="F3" s="6"/>
      <c r="G3" s="6"/>
      <c r="H3" s="6"/>
      <c r="I3" s="33"/>
      <c r="J3" s="33"/>
      <c r="K3" s="33"/>
      <c r="L3" s="6"/>
      <c r="M3" s="6"/>
      <c r="N3" s="6"/>
      <c r="O3" s="6"/>
      <c r="P3" s="6"/>
      <c r="Q3" s="6"/>
      <c r="R3" s="6"/>
      <c r="S3" s="6"/>
      <c r="T3" s="6"/>
      <c r="U3" s="38">
        <v>0.74</v>
      </c>
      <c r="V3" s="6"/>
    </row>
    <row r="4" ht="13.5" customHeight="1" spans="1:22">
      <c r="A4" s="29">
        <f>VLOOKUP(C4,[1]鱼种设计表!$B$2:$L$55,4,FALSE)</f>
        <v>1</v>
      </c>
      <c r="B4" s="29">
        <f>VLOOKUP(C4,[1]鱼种设计表!$B$2:$L$24,11,FALSE)</f>
        <v>200</v>
      </c>
      <c r="C4" s="8" t="str">
        <f>VLOOKUP(D4,鱼种重量参数!$A$1:$D$99,4,FALSE)</f>
        <v>灰西鲱</v>
      </c>
      <c r="D4" s="9" t="s">
        <v>27</v>
      </c>
      <c r="E4" s="9" t="s">
        <v>28</v>
      </c>
      <c r="F4" s="30">
        <v>1</v>
      </c>
      <c r="G4" s="31">
        <v>18</v>
      </c>
      <c r="H4" s="31">
        <v>28</v>
      </c>
      <c r="I4" s="34">
        <f t="shared" ref="I4:I67" si="0">INT($L4*POWER(G4,$M4))</f>
        <v>47</v>
      </c>
      <c r="J4" s="34">
        <f t="shared" ref="J4:J67" si="1">INT($L4*POWER(H4,$M4))</f>
        <v>189</v>
      </c>
      <c r="K4" s="35">
        <f t="shared" ref="K4:K67" si="2">(I4+J4)/2</f>
        <v>118</v>
      </c>
      <c r="L4" s="7">
        <f>VLOOKUP($D4,鱼种重量参数!$A$1:$F$99,COLUMN(鱼种重量参数!E$1),FALSE)</f>
        <v>0.0054</v>
      </c>
      <c r="M4" s="7">
        <f>VLOOKUP($D4,鱼种重量参数!$A$1:$F$99,COLUMN(鱼种重量参数!F$1),FALSE)</f>
        <v>3.14</v>
      </c>
      <c r="N4" s="30">
        <v>600</v>
      </c>
      <c r="O4" s="30">
        <v>1100</v>
      </c>
      <c r="P4" s="36">
        <f t="shared" ref="P4:P67" si="3">INT(K4*N4/1000)</f>
        <v>70</v>
      </c>
      <c r="Q4" s="39">
        <f t="array" ref="Q4">INT(SUMPRODUCT(($D$4:$D$90=$D4)*($F$4:$F$90=$F4),$P$4:$P$90,$O$4:$O$90)/SUMPRODUCT(($D$4:$D$90=$D4)*($F$4:$F$90=$F4),$O$4:$O$90))</f>
        <v>198</v>
      </c>
      <c r="R4" s="40">
        <f t="shared" ref="R4:R67" si="4">(Q4/B4-1)</f>
        <v>-0.01</v>
      </c>
      <c r="S4" s="36">
        <f t="array" ref="S4">INT(SUMPRODUCT(($D$4:$D$90=$D4)*($F$4:$F$90=$F4),$K$4:$K$90,$O$4:$O$90)/SUMPRODUCT(($D$4:$D$90=$D4)*($F$4:$F$90=$F4),$O$4:$O$90))</f>
        <v>251</v>
      </c>
      <c r="T4" s="36">
        <f t="shared" ref="T4:T67" si="5">INT(I4*N4/1000)</f>
        <v>28</v>
      </c>
      <c r="U4" s="38">
        <f>INT(N4*U$3)</f>
        <v>444</v>
      </c>
      <c r="V4" s="36">
        <v>444</v>
      </c>
    </row>
    <row r="5" ht="13.5" customHeight="1" spans="1:22">
      <c r="A5" s="29">
        <f>VLOOKUP(C5,[1]鱼种设计表!$B$2:$L$55,4,FALSE)</f>
        <v>1</v>
      </c>
      <c r="B5" s="29">
        <f>VLOOKUP(C5,[1]鱼种设计表!$B$2:$L$24,11,FALSE)</f>
        <v>200</v>
      </c>
      <c r="C5" s="8" t="str">
        <f>VLOOKUP(D5,鱼种重量参数!$A$1:$D$99,4,FALSE)</f>
        <v>灰西鲱</v>
      </c>
      <c r="D5" s="9" t="s">
        <v>27</v>
      </c>
      <c r="E5" s="9" t="s">
        <v>29</v>
      </c>
      <c r="F5" s="30">
        <v>1</v>
      </c>
      <c r="G5" s="31">
        <v>28</v>
      </c>
      <c r="H5" s="31">
        <v>40</v>
      </c>
      <c r="I5" s="34">
        <f t="shared" si="0"/>
        <v>189</v>
      </c>
      <c r="J5" s="34">
        <f t="shared" si="1"/>
        <v>579</v>
      </c>
      <c r="K5" s="35">
        <f t="shared" si="2"/>
        <v>384</v>
      </c>
      <c r="L5" s="7">
        <f>VLOOKUP($D5,鱼种重量参数!$A$1:$F$99,COLUMN(鱼种重量参数!E$1),FALSE)</f>
        <v>0.0054</v>
      </c>
      <c r="M5" s="7">
        <f>VLOOKUP($D5,鱼种重量参数!$A$1:$F$99,COLUMN(鱼种重量参数!F$1),FALSE)</f>
        <v>3.14</v>
      </c>
      <c r="N5" s="30">
        <v>850</v>
      </c>
      <c r="O5" s="30">
        <v>1100</v>
      </c>
      <c r="P5" s="36">
        <f t="shared" si="3"/>
        <v>326</v>
      </c>
      <c r="Q5" s="39">
        <f t="array" ref="Q5">INT(SUMPRODUCT(($D$4:$D$90=$D5)*($F$4:$F$90=$F5),$P$4:$P$90,$O$4:$O$90)/SUMPRODUCT(($D$4:$D$90=$D5)*($F$4:$F$90=$F5),$O$4:$O$90))</f>
        <v>198</v>
      </c>
      <c r="R5" s="40">
        <f t="shared" si="4"/>
        <v>-0.01</v>
      </c>
      <c r="S5" s="36">
        <f t="array" ref="S5">INT(SUMPRODUCT(($D$4:$D$90=$D5)*($F$4:$F$90=$F5),$K$4:$K$90,$O$4:$O$90)/SUMPRODUCT(($D$4:$D$90=$D5)*($F$4:$F$90=$F5),$O$4:$O$90))</f>
        <v>251</v>
      </c>
      <c r="T5" s="36">
        <f t="shared" si="5"/>
        <v>160</v>
      </c>
      <c r="U5" s="38">
        <f>INT(N5*U$3)</f>
        <v>629</v>
      </c>
      <c r="V5" s="36">
        <v>629</v>
      </c>
    </row>
    <row r="6" ht="13.5" customHeight="1" spans="1:22">
      <c r="A6" s="29">
        <f>VLOOKUP(C6,[1]鱼种设计表!$B$2:$L$55,4,FALSE)</f>
        <v>1.2</v>
      </c>
      <c r="B6" s="29">
        <f>VLOOKUP(C6,[1]鱼种设计表!$B$2:$L$24,11,FALSE)</f>
        <v>240</v>
      </c>
      <c r="C6" s="8" t="str">
        <f>VLOOKUP(D6,鱼种重量参数!$A$1:$D$99,4,FALSE)</f>
        <v>美鳊</v>
      </c>
      <c r="D6" s="9" t="s">
        <v>30</v>
      </c>
      <c r="E6" s="9" t="s">
        <v>28</v>
      </c>
      <c r="F6" s="30">
        <v>1</v>
      </c>
      <c r="G6" s="31">
        <v>10</v>
      </c>
      <c r="H6" s="31">
        <v>16</v>
      </c>
      <c r="I6" s="34">
        <f t="shared" si="0"/>
        <v>16</v>
      </c>
      <c r="J6" s="34">
        <f t="shared" si="1"/>
        <v>71</v>
      </c>
      <c r="K6" s="35">
        <f t="shared" si="2"/>
        <v>43.5</v>
      </c>
      <c r="L6" s="7">
        <f>VLOOKUP($D6,鱼种重量参数!$A$1:$F$99,COLUMN(鱼种重量参数!E$1),FALSE)</f>
        <v>0.0128</v>
      </c>
      <c r="M6" s="7">
        <f>VLOOKUP($D6,鱼种重量参数!$A$1:$F$99,COLUMN(鱼种重量参数!F$1),FALSE)</f>
        <v>3.11</v>
      </c>
      <c r="N6" s="30">
        <v>2500</v>
      </c>
      <c r="O6" s="30">
        <v>900</v>
      </c>
      <c r="P6" s="36">
        <f t="shared" si="3"/>
        <v>108</v>
      </c>
      <c r="Q6" s="39">
        <f t="array" ref="Q6">INT(SUMPRODUCT(($D$4:$D$90=$D6)*($F$4:$F$90=$F6),$P$4:$P$90,$O$4:$O$90)/SUMPRODUCT(($D$4:$D$90=$D6)*($F$4:$F$90=$F6),$O$4:$O$90))</f>
        <v>240</v>
      </c>
      <c r="R6" s="40">
        <f t="shared" si="4"/>
        <v>0</v>
      </c>
      <c r="S6" s="36">
        <f t="array" ref="S6">INT(SUMPRODUCT(($D$4:$D$90=$D6)*($F$4:$F$90=$F6),$K$4:$K$90,$O$4:$O$90)/SUMPRODUCT(($D$4:$D$90=$D6)*($F$4:$F$90=$F6),$O$4:$O$90))</f>
        <v>75</v>
      </c>
      <c r="T6" s="36">
        <f t="shared" si="5"/>
        <v>40</v>
      </c>
      <c r="U6" s="38">
        <f>INT(N6*U$3)</f>
        <v>1850</v>
      </c>
      <c r="V6" s="36">
        <v>1850</v>
      </c>
    </row>
    <row r="7" ht="13.5" customHeight="1" spans="1:22">
      <c r="A7" s="29">
        <f>VLOOKUP(C7,[1]鱼种设计表!$B$2:$L$55,4,FALSE)</f>
        <v>1.2</v>
      </c>
      <c r="B7" s="29">
        <f>VLOOKUP(C7,[1]鱼种设计表!$B$2:$L$24,11,FALSE)</f>
        <v>240</v>
      </c>
      <c r="C7" s="8" t="str">
        <f>VLOOKUP(D7,鱼种重量参数!$A$1:$D$99,4,FALSE)</f>
        <v>美鳊</v>
      </c>
      <c r="D7" s="9" t="s">
        <v>30</v>
      </c>
      <c r="E7" s="9" t="s">
        <v>29</v>
      </c>
      <c r="F7" s="30">
        <v>1</v>
      </c>
      <c r="G7" s="31">
        <v>16</v>
      </c>
      <c r="H7" s="31">
        <v>20</v>
      </c>
      <c r="I7" s="34">
        <f t="shared" si="0"/>
        <v>71</v>
      </c>
      <c r="J7" s="34">
        <f t="shared" si="1"/>
        <v>142</v>
      </c>
      <c r="K7" s="35">
        <f t="shared" si="2"/>
        <v>106.5</v>
      </c>
      <c r="L7" s="7">
        <f>VLOOKUP($D7,鱼种重量参数!$A$1:$F$99,COLUMN(鱼种重量参数!E$1),FALSE)</f>
        <v>0.0128</v>
      </c>
      <c r="M7" s="7">
        <f>VLOOKUP($D7,鱼种重量参数!$A$1:$F$99,COLUMN(鱼种重量参数!F$1),FALSE)</f>
        <v>3.11</v>
      </c>
      <c r="N7" s="30">
        <v>3500</v>
      </c>
      <c r="O7" s="30">
        <v>900</v>
      </c>
      <c r="P7" s="36">
        <f t="shared" si="3"/>
        <v>372</v>
      </c>
      <c r="Q7" s="39">
        <f t="array" ref="Q7">INT(SUMPRODUCT(($D$4:$D$90=$D7)*($F$4:$F$90=$F7),$P$4:$P$90,$O$4:$O$90)/SUMPRODUCT(($D$4:$D$90=$D7)*($F$4:$F$90=$F7),$O$4:$O$90))</f>
        <v>240</v>
      </c>
      <c r="R7" s="40">
        <f t="shared" si="4"/>
        <v>0</v>
      </c>
      <c r="S7" s="36">
        <f t="array" ref="S7">INT(SUMPRODUCT(($D$4:$D$90=$D7)*($F$4:$F$90=$F7),$K$4:$K$90,$O$4:$O$90)/SUMPRODUCT(($D$4:$D$90=$D7)*($F$4:$F$90=$F7),$O$4:$O$90))</f>
        <v>75</v>
      </c>
      <c r="T7" s="36">
        <f t="shared" si="5"/>
        <v>248</v>
      </c>
      <c r="U7" s="38">
        <f>INT(N7*U$3)</f>
        <v>2590</v>
      </c>
      <c r="V7" s="36">
        <v>2590</v>
      </c>
    </row>
    <row r="8" ht="13.5" customHeight="1" spans="1:22">
      <c r="A8" s="29">
        <f>VLOOKUP(C8,[1]鱼种设计表!$B$2:$L$55,4,FALSE)</f>
        <v>1.7</v>
      </c>
      <c r="B8" s="29">
        <f>VLOOKUP(C8,[1]鱼种设计表!$B$2:$L$24,11,FALSE)</f>
        <v>340</v>
      </c>
      <c r="C8" s="8" t="str">
        <f>VLOOKUP(D8,鱼种重量参数!$A$1:$D$99,4,FALSE)</f>
        <v>绿太阳鱼</v>
      </c>
      <c r="D8" s="9" t="s">
        <v>31</v>
      </c>
      <c r="E8" s="9" t="s">
        <v>28</v>
      </c>
      <c r="F8" s="30">
        <v>1</v>
      </c>
      <c r="G8" s="31">
        <v>15</v>
      </c>
      <c r="H8" s="31">
        <v>23</v>
      </c>
      <c r="I8" s="34">
        <f t="shared" si="0"/>
        <v>40</v>
      </c>
      <c r="J8" s="34">
        <f t="shared" si="1"/>
        <v>146</v>
      </c>
      <c r="K8" s="35">
        <f t="shared" si="2"/>
        <v>93</v>
      </c>
      <c r="L8" s="7">
        <f>VLOOKUP($D8,鱼种重量参数!$A$1:$F$99,COLUMN(鱼种重量参数!E$1),FALSE)</f>
        <v>0.012</v>
      </c>
      <c r="M8" s="7">
        <f>VLOOKUP($D8,鱼种重量参数!$A$1:$F$99,COLUMN(鱼种重量参数!F$1),FALSE)</f>
        <v>3</v>
      </c>
      <c r="N8" s="30">
        <v>1500</v>
      </c>
      <c r="O8" s="30">
        <v>600</v>
      </c>
      <c r="P8" s="36">
        <f t="shared" si="3"/>
        <v>139</v>
      </c>
      <c r="Q8" s="39">
        <f t="array" ref="Q8">INT(SUMPRODUCT(($D$4:$D$90=$D8)*($F$4:$F$90=$F8),$P$4:$P$90,$O$4:$O$90)/SUMPRODUCT(($D$4:$D$90=$D8)*($F$4:$F$90=$F8),$O$4:$O$90))</f>
        <v>339</v>
      </c>
      <c r="R8" s="40">
        <f t="shared" si="4"/>
        <v>-0.00294117647058822</v>
      </c>
      <c r="S8" s="36">
        <f t="array" ref="S8">INT(SUMPRODUCT(($D$4:$D$90=$D8)*($F$4:$F$90=$F8),$K$4:$K$90,$O$4:$O$90)/SUMPRODUCT(($D$4:$D$90=$D8)*($F$4:$F$90=$F8),$O$4:$O$90))</f>
        <v>172</v>
      </c>
      <c r="T8" s="36">
        <f t="shared" si="5"/>
        <v>60</v>
      </c>
      <c r="U8" s="38">
        <f>INT(N8*U$3)</f>
        <v>1110</v>
      </c>
      <c r="V8" s="36">
        <v>1110</v>
      </c>
    </row>
    <row r="9" ht="13.5" customHeight="1" spans="1:22">
      <c r="A9" s="29">
        <f>VLOOKUP(C9,[1]鱼种设计表!$B$2:$L$55,4,FALSE)</f>
        <v>1.7</v>
      </c>
      <c r="B9" s="29">
        <f>VLOOKUP(C9,[1]鱼种设计表!$B$2:$L$24,11,FALSE)</f>
        <v>340</v>
      </c>
      <c r="C9" s="8" t="str">
        <f>VLOOKUP(D9,鱼种重量参数!$A$1:$D$99,4,FALSE)</f>
        <v>绿太阳鱼</v>
      </c>
      <c r="D9" s="9" t="s">
        <v>31</v>
      </c>
      <c r="E9" s="9" t="s">
        <v>29</v>
      </c>
      <c r="F9" s="30">
        <v>1</v>
      </c>
      <c r="G9" s="31">
        <v>23</v>
      </c>
      <c r="H9" s="31">
        <v>31</v>
      </c>
      <c r="I9" s="34">
        <f t="shared" si="0"/>
        <v>146</v>
      </c>
      <c r="J9" s="34">
        <f t="shared" si="1"/>
        <v>357</v>
      </c>
      <c r="K9" s="35">
        <f t="shared" si="2"/>
        <v>251.5</v>
      </c>
      <c r="L9" s="7">
        <f>VLOOKUP($D9,鱼种重量参数!$A$1:$F$99,COLUMN(鱼种重量参数!E$1),FALSE)</f>
        <v>0.012</v>
      </c>
      <c r="M9" s="7">
        <f>VLOOKUP($D9,鱼种重量参数!$A$1:$F$99,COLUMN(鱼种重量参数!F$1),FALSE)</f>
        <v>3</v>
      </c>
      <c r="N9" s="30">
        <v>2150</v>
      </c>
      <c r="O9" s="30">
        <v>600</v>
      </c>
      <c r="P9" s="36">
        <f t="shared" si="3"/>
        <v>540</v>
      </c>
      <c r="Q9" s="39">
        <f t="array" ref="Q9">INT(SUMPRODUCT(($D$4:$D$90=$D9)*($F$4:$F$90=$F9),$P$4:$P$90,$O$4:$O$90)/SUMPRODUCT(($D$4:$D$90=$D9)*($F$4:$F$90=$F9),$O$4:$O$90))</f>
        <v>339</v>
      </c>
      <c r="R9" s="40">
        <f t="shared" si="4"/>
        <v>-0.00294117647058822</v>
      </c>
      <c r="S9" s="36">
        <f t="array" ref="S9">INT(SUMPRODUCT(($D$4:$D$90=$D9)*($F$4:$F$90=$F9),$K$4:$K$90,$O$4:$O$90)/SUMPRODUCT(($D$4:$D$90=$D9)*($F$4:$F$90=$F9),$O$4:$O$90))</f>
        <v>172</v>
      </c>
      <c r="T9" s="36">
        <f t="shared" si="5"/>
        <v>313</v>
      </c>
      <c r="U9" s="38">
        <f>INT(N9*U$3)</f>
        <v>1591</v>
      </c>
      <c r="V9" s="36">
        <v>1591</v>
      </c>
    </row>
    <row r="10" ht="13.5" customHeight="1" spans="1:22">
      <c r="A10" s="29">
        <f>VLOOKUP(C10,[1]鱼种设计表!$B$2:$L$55,4,FALSE)</f>
        <v>1.5</v>
      </c>
      <c r="B10" s="29">
        <f>VLOOKUP(C10,[1]鱼种设计表!$B$2:$L$24,11,FALSE)</f>
        <v>300</v>
      </c>
      <c r="C10" s="8" t="str">
        <f>VLOOKUP(D10,鱼种重量参数!$A$1:$D$99,4,FALSE)</f>
        <v>驼背太阳鱼</v>
      </c>
      <c r="D10" s="9" t="s">
        <v>32</v>
      </c>
      <c r="E10" s="9" t="s">
        <v>28</v>
      </c>
      <c r="F10" s="30">
        <v>1</v>
      </c>
      <c r="G10" s="31">
        <v>20</v>
      </c>
      <c r="H10" s="31">
        <v>28</v>
      </c>
      <c r="I10" s="34">
        <f t="shared" si="0"/>
        <v>90</v>
      </c>
      <c r="J10" s="34">
        <f t="shared" si="1"/>
        <v>242</v>
      </c>
      <c r="K10" s="35">
        <f t="shared" si="2"/>
        <v>166</v>
      </c>
      <c r="L10" s="7">
        <f>VLOOKUP($D10,鱼种重量参数!$A$1:$F$99,COLUMN(鱼种重量参数!E$1),FALSE)</f>
        <v>0.0135</v>
      </c>
      <c r="M10" s="7">
        <f>VLOOKUP($D10,鱼种重量参数!$A$1:$F$99,COLUMN(鱼种重量参数!F$1),FALSE)</f>
        <v>2.94</v>
      </c>
      <c r="N10" s="30">
        <v>800</v>
      </c>
      <c r="O10" s="30">
        <v>500</v>
      </c>
      <c r="P10" s="36">
        <f t="shared" si="3"/>
        <v>132</v>
      </c>
      <c r="Q10" s="39">
        <f t="array" ref="Q10">INT(SUMPRODUCT(($D$4:$D$90=$D10)*($F$4:$F$90=$F10),$P$4:$P$90,$O$4:$O$90)/SUMPRODUCT(($D$4:$D$90=$D10)*($F$4:$F$90=$F10),$O$4:$O$90))</f>
        <v>299</v>
      </c>
      <c r="R10" s="40">
        <f t="shared" si="4"/>
        <v>-0.0033333333333333</v>
      </c>
      <c r="S10" s="36">
        <f t="array" ref="S10">INT(SUMPRODUCT(($D$4:$D$90=$D10)*($F$4:$F$90=$F10),$K$4:$K$90,$O$4:$O$90)/SUMPRODUCT(($D$4:$D$90=$D10)*($F$4:$F$90=$F10),$O$4:$O$90))</f>
        <v>316</v>
      </c>
      <c r="T10" s="36">
        <f t="shared" si="5"/>
        <v>72</v>
      </c>
      <c r="U10" s="38">
        <f>INT(N10*U$3)</f>
        <v>592</v>
      </c>
      <c r="V10" s="36">
        <v>592</v>
      </c>
    </row>
    <row r="11" ht="13.5" customHeight="1" spans="1:22">
      <c r="A11" s="29">
        <f>VLOOKUP(C11,[1]鱼种设计表!$B$2:$L$55,4,FALSE)</f>
        <v>1.5</v>
      </c>
      <c r="B11" s="29">
        <f>VLOOKUP(C11,[1]鱼种设计表!$B$2:$L$24,11,FALSE)</f>
        <v>300</v>
      </c>
      <c r="C11" s="8" t="str">
        <f>VLOOKUP(D11,鱼种重量参数!$A$1:$D$99,4,FALSE)</f>
        <v>驼背太阳鱼</v>
      </c>
      <c r="D11" s="9" t="s">
        <v>32</v>
      </c>
      <c r="E11" s="9" t="s">
        <v>29</v>
      </c>
      <c r="F11" s="30">
        <v>1</v>
      </c>
      <c r="G11" s="31">
        <v>28</v>
      </c>
      <c r="H11" s="31">
        <v>40</v>
      </c>
      <c r="I11" s="34">
        <f t="shared" si="0"/>
        <v>242</v>
      </c>
      <c r="J11" s="34">
        <f t="shared" si="1"/>
        <v>692</v>
      </c>
      <c r="K11" s="35">
        <f t="shared" si="2"/>
        <v>467</v>
      </c>
      <c r="L11" s="7">
        <f>VLOOKUP($D11,鱼种重量参数!$A$1:$F$99,COLUMN(鱼种重量参数!E$1),FALSE)</f>
        <v>0.0135</v>
      </c>
      <c r="M11" s="7">
        <f>VLOOKUP($D11,鱼种重量参数!$A$1:$F$99,COLUMN(鱼种重量参数!F$1),FALSE)</f>
        <v>2.94</v>
      </c>
      <c r="N11" s="30">
        <v>1000</v>
      </c>
      <c r="O11" s="30">
        <v>500</v>
      </c>
      <c r="P11" s="36">
        <f t="shared" si="3"/>
        <v>467</v>
      </c>
      <c r="Q11" s="39">
        <f t="array" ref="Q11">INT(SUMPRODUCT(($D$4:$D$90=$D11)*($F$4:$F$90=$F11),$P$4:$P$90,$O$4:$O$90)/SUMPRODUCT(($D$4:$D$90=$D11)*($F$4:$F$90=$F11),$O$4:$O$90))</f>
        <v>299</v>
      </c>
      <c r="R11" s="40">
        <f t="shared" si="4"/>
        <v>-0.0033333333333333</v>
      </c>
      <c r="S11" s="36">
        <f t="array" ref="S11">INT(SUMPRODUCT(($D$4:$D$90=$D11)*($F$4:$F$90=$F11),$K$4:$K$90,$O$4:$O$90)/SUMPRODUCT(($D$4:$D$90=$D11)*($F$4:$F$90=$F11),$O$4:$O$90))</f>
        <v>316</v>
      </c>
      <c r="T11" s="36">
        <f t="shared" si="5"/>
        <v>242</v>
      </c>
      <c r="U11" s="38">
        <f>INT(N11*U$3)</f>
        <v>740</v>
      </c>
      <c r="V11" s="36">
        <v>740</v>
      </c>
    </row>
    <row r="12" ht="13.5" customHeight="1" spans="1:22">
      <c r="A12" s="29">
        <f>VLOOKUP(C12,[1]鱼种设计表!$B$2:$L$55,4,FALSE)</f>
        <v>2</v>
      </c>
      <c r="B12" s="29">
        <f>VLOOKUP(C12,[1]鱼种设计表!$B$2:$L$24,11,FALSE)</f>
        <v>400</v>
      </c>
      <c r="C12" s="8" t="str">
        <f>VLOOKUP(D12,鱼种重量参数!$A$1:$D$99,4,FALSE)</f>
        <v>蓝鳃太阳鱼</v>
      </c>
      <c r="D12" s="9" t="s">
        <v>33</v>
      </c>
      <c r="E12" s="9" t="s">
        <v>28</v>
      </c>
      <c r="F12" s="30">
        <v>1</v>
      </c>
      <c r="G12" s="31">
        <v>15</v>
      </c>
      <c r="H12" s="31">
        <v>22</v>
      </c>
      <c r="I12" s="34">
        <f t="shared" si="0"/>
        <v>53</v>
      </c>
      <c r="J12" s="34">
        <f t="shared" si="1"/>
        <v>178</v>
      </c>
      <c r="K12" s="35">
        <f t="shared" si="2"/>
        <v>115.5</v>
      </c>
      <c r="L12" s="7">
        <f>VLOOKUP($D12,鱼种重量参数!$A$1:$F$99,COLUMN(鱼种重量参数!E$1),FALSE)</f>
        <v>0.0102</v>
      </c>
      <c r="M12" s="7">
        <f>VLOOKUP($D12,鱼种重量参数!$A$1:$F$99,COLUMN(鱼种重量参数!F$1),FALSE)</f>
        <v>3.16</v>
      </c>
      <c r="N12" s="30">
        <v>700</v>
      </c>
      <c r="O12" s="30">
        <v>400</v>
      </c>
      <c r="P12" s="36">
        <f t="shared" si="3"/>
        <v>80</v>
      </c>
      <c r="Q12" s="39">
        <f t="array" ref="Q12">INT(SUMPRODUCT(($D$4:$D$90=$D12)*($F$4:$F$90=$F12),$P$4:$P$90,$O$4:$O$90)/SUMPRODUCT(($D$4:$D$90=$D12)*($F$4:$F$90=$F12),$O$4:$O$90))</f>
        <v>415</v>
      </c>
      <c r="R12" s="40">
        <f t="shared" si="4"/>
        <v>0.0375000000000001</v>
      </c>
      <c r="S12" s="36">
        <f t="array" ref="S12">INT(SUMPRODUCT(($D$4:$D$90=$D12)*($F$4:$F$90=$F12),$K$4:$K$90,$O$4:$O$90)/SUMPRODUCT(($D$4:$D$90=$D12)*($F$4:$F$90=$F12),$O$4:$O$90))</f>
        <v>401</v>
      </c>
      <c r="T12" s="36">
        <f t="shared" si="5"/>
        <v>37</v>
      </c>
      <c r="U12" s="38">
        <f>INT(N12*U$3)</f>
        <v>518</v>
      </c>
      <c r="V12" s="36">
        <v>518</v>
      </c>
    </row>
    <row r="13" ht="13.5" customHeight="1" spans="1:22">
      <c r="A13" s="29">
        <f>VLOOKUP(C13,[1]鱼种设计表!$B$2:$L$55,4,FALSE)</f>
        <v>2</v>
      </c>
      <c r="B13" s="29">
        <f>VLOOKUP(C13,[1]鱼种设计表!$B$2:$L$24,11,FALSE)</f>
        <v>400</v>
      </c>
      <c r="C13" s="8" t="str">
        <f>VLOOKUP(D13,鱼种重量参数!$A$1:$D$99,4,FALSE)</f>
        <v>蓝鳃太阳鱼</v>
      </c>
      <c r="D13" s="9" t="s">
        <v>33</v>
      </c>
      <c r="E13" s="9" t="s">
        <v>29</v>
      </c>
      <c r="F13" s="30">
        <v>1</v>
      </c>
      <c r="G13" s="31">
        <v>22</v>
      </c>
      <c r="H13" s="31">
        <v>33</v>
      </c>
      <c r="I13" s="34">
        <f t="shared" si="0"/>
        <v>178</v>
      </c>
      <c r="J13" s="34">
        <f t="shared" si="1"/>
        <v>641</v>
      </c>
      <c r="K13" s="35">
        <f t="shared" si="2"/>
        <v>409.5</v>
      </c>
      <c r="L13" s="7">
        <f>VLOOKUP($D13,鱼种重量参数!$A$1:$F$99,COLUMN(鱼种重量参数!E$1),FALSE)</f>
        <v>0.0102</v>
      </c>
      <c r="M13" s="7">
        <f>VLOOKUP($D13,鱼种重量参数!$A$1:$F$99,COLUMN(鱼种重量参数!F$1),FALSE)</f>
        <v>3.16</v>
      </c>
      <c r="N13" s="30">
        <v>920</v>
      </c>
      <c r="O13" s="30">
        <v>400</v>
      </c>
      <c r="P13" s="36">
        <f t="shared" si="3"/>
        <v>376</v>
      </c>
      <c r="Q13" s="39">
        <f t="array" ref="Q13">INT(SUMPRODUCT(($D$4:$D$90=$D13)*($F$4:$F$90=$F13),$P$4:$P$90,$O$4:$O$90)/SUMPRODUCT(($D$4:$D$90=$D13)*($F$4:$F$90=$F13),$O$4:$O$90))</f>
        <v>415</v>
      </c>
      <c r="R13" s="40">
        <f t="shared" si="4"/>
        <v>0.0375000000000001</v>
      </c>
      <c r="S13" s="36">
        <f t="array" ref="S13">INT(SUMPRODUCT(($D$4:$D$90=$D13)*($F$4:$F$90=$F13),$K$4:$K$90,$O$4:$O$90)/SUMPRODUCT(($D$4:$D$90=$D13)*($F$4:$F$90=$F13),$O$4:$O$90))</f>
        <v>401</v>
      </c>
      <c r="T13" s="36">
        <f t="shared" si="5"/>
        <v>163</v>
      </c>
      <c r="U13" s="38">
        <f>INT(N13*U$3)</f>
        <v>680</v>
      </c>
      <c r="V13" s="36">
        <v>680</v>
      </c>
    </row>
    <row r="14" ht="13.5" customHeight="1" spans="1:22">
      <c r="A14" s="29">
        <f>VLOOKUP(C14,[1]鱼种设计表!$B$2:$L$55,4,FALSE)</f>
        <v>2</v>
      </c>
      <c r="B14" s="29">
        <f>VLOOKUP(C14,[1]鱼种设计表!$B$2:$L$24,11,FALSE)</f>
        <v>400</v>
      </c>
      <c r="C14" s="8" t="str">
        <f>VLOOKUP(D14,鱼种重量参数!$A$1:$D$99,4,FALSE)</f>
        <v>蓝鳃太阳鱼</v>
      </c>
      <c r="D14" s="9" t="s">
        <v>33</v>
      </c>
      <c r="E14" s="9" t="s">
        <v>34</v>
      </c>
      <c r="F14" s="30">
        <v>1</v>
      </c>
      <c r="G14" s="31">
        <v>33</v>
      </c>
      <c r="H14" s="31">
        <v>41</v>
      </c>
      <c r="I14" s="34">
        <f t="shared" si="0"/>
        <v>641</v>
      </c>
      <c r="J14" s="34">
        <f t="shared" si="1"/>
        <v>1273</v>
      </c>
      <c r="K14" s="35">
        <f t="shared" si="2"/>
        <v>957</v>
      </c>
      <c r="L14" s="7">
        <f>VLOOKUP($D14,鱼种重量参数!$A$1:$F$99,COLUMN(鱼种重量参数!E$1),FALSE)</f>
        <v>0.0102</v>
      </c>
      <c r="M14" s="7">
        <f>VLOOKUP($D14,鱼种重量参数!$A$1:$F$99,COLUMN(鱼种重量参数!F$1),FALSE)</f>
        <v>3.16</v>
      </c>
      <c r="N14" s="30">
        <v>1220</v>
      </c>
      <c r="O14" s="30">
        <v>200</v>
      </c>
      <c r="P14" s="36">
        <f t="shared" si="3"/>
        <v>1167</v>
      </c>
      <c r="Q14" s="39">
        <f t="array" ref="Q14">INT(SUMPRODUCT(($D$4:$D$90=$D14)*($F$4:$F$90=$F14),$P$4:$P$90,$O$4:$O$90)/SUMPRODUCT(($D$4:$D$90=$D14)*($F$4:$F$90=$F14),$O$4:$O$90))</f>
        <v>415</v>
      </c>
      <c r="R14" s="40">
        <f t="shared" si="4"/>
        <v>0.0375000000000001</v>
      </c>
      <c r="S14" s="36">
        <f t="array" ref="S14">INT(SUMPRODUCT(($D$4:$D$90=$D14)*($F$4:$F$90=$F14),$K$4:$K$90,$O$4:$O$90)/SUMPRODUCT(($D$4:$D$90=$D14)*($F$4:$F$90=$F14),$O$4:$O$90))</f>
        <v>401</v>
      </c>
      <c r="T14" s="36">
        <f t="shared" si="5"/>
        <v>782</v>
      </c>
      <c r="U14" s="38">
        <f>INT(N14*U$3)</f>
        <v>902</v>
      </c>
      <c r="V14" s="36">
        <v>902</v>
      </c>
    </row>
    <row r="15" ht="13.5" customHeight="1" spans="1:22">
      <c r="A15" s="29">
        <f>VLOOKUP(C15,[1]鱼种设计表!$B$2:$L$55,4,FALSE)</f>
        <v>2.3</v>
      </c>
      <c r="B15" s="29">
        <f>VLOOKUP(C15,[1]鱼种设计表!$B$2:$L$24,11,FALSE)</f>
        <v>460</v>
      </c>
      <c r="C15" s="8" t="str">
        <f>VLOOKUP(D15,鱼种重量参数!$A$1:$D$99,4,FALSE)</f>
        <v>小冠太阳鱼</v>
      </c>
      <c r="D15" s="9" t="s">
        <v>35</v>
      </c>
      <c r="E15" s="9" t="s">
        <v>28</v>
      </c>
      <c r="F15" s="30">
        <v>1</v>
      </c>
      <c r="G15" s="31">
        <v>14</v>
      </c>
      <c r="H15" s="31">
        <v>25</v>
      </c>
      <c r="I15" s="34">
        <f t="shared" si="0"/>
        <v>45</v>
      </c>
      <c r="J15" s="34">
        <f t="shared" si="1"/>
        <v>276</v>
      </c>
      <c r="K15" s="35">
        <f t="shared" si="2"/>
        <v>160.5</v>
      </c>
      <c r="L15" s="7">
        <f>VLOOKUP($D15,鱼种重量参数!$A$1:$F$99,COLUMN(鱼种重量参数!E$1),FALSE)</f>
        <v>0.0124</v>
      </c>
      <c r="M15" s="7">
        <f>VLOOKUP($D15,鱼种重量参数!$A$1:$F$99,COLUMN(鱼种重量参数!F$1),FALSE)</f>
        <v>3.11</v>
      </c>
      <c r="N15" s="30">
        <v>200</v>
      </c>
      <c r="O15" s="30">
        <v>400</v>
      </c>
      <c r="P15" s="36">
        <f t="shared" si="3"/>
        <v>32</v>
      </c>
      <c r="Q15" s="39">
        <f t="array" ref="Q15">INT(SUMPRODUCT(($D$4:$D$90=$D15)*($F$4:$F$90=$F15),$P$4:$P$90,$O$4:$O$90)/SUMPRODUCT(($D$4:$D$90=$D15)*($F$4:$F$90=$F15),$O$4:$O$90))</f>
        <v>432</v>
      </c>
      <c r="R15" s="40">
        <f t="shared" si="4"/>
        <v>-0.0608695652173913</v>
      </c>
      <c r="S15" s="36">
        <f t="array" ref="S15">INT(SUMPRODUCT(($D$4:$D$90=$D15)*($F$4:$F$90=$F15),$K$4:$K$90,$O$4:$O$90)/SUMPRODUCT(($D$4:$D$90=$D15)*($F$4:$F$90=$F15),$O$4:$O$90))</f>
        <v>633</v>
      </c>
      <c r="T15" s="36">
        <f t="shared" si="5"/>
        <v>9</v>
      </c>
      <c r="U15" s="38">
        <f>INT(N15*U$3)</f>
        <v>148</v>
      </c>
      <c r="V15" s="36">
        <v>148</v>
      </c>
    </row>
    <row r="16" ht="13.5" customHeight="1" spans="1:22">
      <c r="A16" s="29">
        <f>VLOOKUP(C16,[1]鱼种设计表!$B$2:$L$55,4,FALSE)</f>
        <v>2.3</v>
      </c>
      <c r="B16" s="29">
        <f>VLOOKUP(C16,[1]鱼种设计表!$B$2:$L$24,11,FALSE)</f>
        <v>460</v>
      </c>
      <c r="C16" s="8" t="str">
        <f>VLOOKUP(D16,鱼种重量参数!$A$1:$D$99,4,FALSE)</f>
        <v>小冠太阳鱼</v>
      </c>
      <c r="D16" s="9" t="s">
        <v>35</v>
      </c>
      <c r="E16" s="9" t="s">
        <v>29</v>
      </c>
      <c r="F16" s="30">
        <v>1</v>
      </c>
      <c r="G16" s="31">
        <v>25</v>
      </c>
      <c r="H16" s="31">
        <v>38</v>
      </c>
      <c r="I16" s="34">
        <f t="shared" si="0"/>
        <v>276</v>
      </c>
      <c r="J16" s="34">
        <f t="shared" si="1"/>
        <v>1015</v>
      </c>
      <c r="K16" s="35">
        <f t="shared" si="2"/>
        <v>645.5</v>
      </c>
      <c r="L16" s="7">
        <f>VLOOKUP($D16,鱼种重量参数!$A$1:$F$99,COLUMN(鱼种重量参数!E$1),FALSE)</f>
        <v>0.0124</v>
      </c>
      <c r="M16" s="7">
        <f>VLOOKUP($D16,鱼种重量参数!$A$1:$F$99,COLUMN(鱼种重量参数!F$1),FALSE)</f>
        <v>3.11</v>
      </c>
      <c r="N16" s="30">
        <v>600</v>
      </c>
      <c r="O16" s="30">
        <v>400</v>
      </c>
      <c r="P16" s="36">
        <f t="shared" si="3"/>
        <v>387</v>
      </c>
      <c r="Q16" s="39">
        <f t="array" ref="Q16">INT(SUMPRODUCT(($D$4:$D$90=$D16)*($F$4:$F$90=$F16),$P$4:$P$90,$O$4:$O$90)/SUMPRODUCT(($D$4:$D$90=$D16)*($F$4:$F$90=$F16),$O$4:$O$90))</f>
        <v>432</v>
      </c>
      <c r="R16" s="40">
        <f t="shared" si="4"/>
        <v>-0.0608695652173913</v>
      </c>
      <c r="S16" s="36">
        <f t="array" ref="S16">INT(SUMPRODUCT(($D$4:$D$90=$D16)*($F$4:$F$90=$F16),$K$4:$K$90,$O$4:$O$90)/SUMPRODUCT(($D$4:$D$90=$D16)*($F$4:$F$90=$F16),$O$4:$O$90))</f>
        <v>633</v>
      </c>
      <c r="T16" s="36">
        <f t="shared" si="5"/>
        <v>165</v>
      </c>
      <c r="U16" s="38">
        <f>INT(N16*U$3)</f>
        <v>444</v>
      </c>
      <c r="V16" s="36">
        <v>444</v>
      </c>
    </row>
    <row r="17" ht="13.5" customHeight="1" spans="1:22">
      <c r="A17" s="29">
        <f>VLOOKUP(C17,[1]鱼种设计表!$B$2:$L$55,4,FALSE)</f>
        <v>2.3</v>
      </c>
      <c r="B17" s="29">
        <f>VLOOKUP(C17,[1]鱼种设计表!$B$2:$L$24,11,FALSE)</f>
        <v>460</v>
      </c>
      <c r="C17" s="8" t="str">
        <f>VLOOKUP(D17,鱼种重量参数!$A$1:$D$99,4,FALSE)</f>
        <v>小冠太阳鱼</v>
      </c>
      <c r="D17" s="9" t="s">
        <v>35</v>
      </c>
      <c r="E17" s="9" t="s">
        <v>34</v>
      </c>
      <c r="F17" s="30">
        <v>1</v>
      </c>
      <c r="G17" s="31">
        <v>38</v>
      </c>
      <c r="H17" s="31">
        <v>48</v>
      </c>
      <c r="I17" s="34">
        <f t="shared" si="0"/>
        <v>1015</v>
      </c>
      <c r="J17" s="34">
        <f t="shared" si="1"/>
        <v>2099</v>
      </c>
      <c r="K17" s="35">
        <f t="shared" si="2"/>
        <v>1557</v>
      </c>
      <c r="L17" s="7">
        <f>VLOOKUP($D17,鱼种重量参数!$A$1:$F$99,COLUMN(鱼种重量参数!E$1),FALSE)</f>
        <v>0.0124</v>
      </c>
      <c r="M17" s="7">
        <f>VLOOKUP($D17,鱼种重量参数!$A$1:$F$99,COLUMN(鱼种重量参数!F$1),FALSE)</f>
        <v>3.11</v>
      </c>
      <c r="N17" s="30">
        <v>850</v>
      </c>
      <c r="O17" s="30">
        <v>200</v>
      </c>
      <c r="P17" s="36">
        <f t="shared" si="3"/>
        <v>1323</v>
      </c>
      <c r="Q17" s="39">
        <f t="array" ref="Q17">INT(SUMPRODUCT(($D$4:$D$90=$D17)*($F$4:$F$90=$F17),$P$4:$P$90,$O$4:$O$90)/SUMPRODUCT(($D$4:$D$90=$D17)*($F$4:$F$90=$F17),$O$4:$O$90))</f>
        <v>432</v>
      </c>
      <c r="R17" s="40">
        <f t="shared" si="4"/>
        <v>-0.0608695652173913</v>
      </c>
      <c r="S17" s="36">
        <f t="array" ref="S17">INT(SUMPRODUCT(($D$4:$D$90=$D17)*($F$4:$F$90=$F17),$K$4:$K$90,$O$4:$O$90)/SUMPRODUCT(($D$4:$D$90=$D17)*($F$4:$F$90=$F17),$O$4:$O$90))</f>
        <v>633</v>
      </c>
      <c r="T17" s="36">
        <f t="shared" si="5"/>
        <v>862</v>
      </c>
      <c r="U17" s="38">
        <f>INT(N17*U$3)</f>
        <v>629</v>
      </c>
      <c r="V17" s="36">
        <v>629</v>
      </c>
    </row>
    <row r="18" ht="13.5" customHeight="1" spans="1:22">
      <c r="A18" s="29">
        <f>VLOOKUP(C18,[1]鱼种设计表!$B$2:$L$55,4,FALSE)</f>
        <v>3</v>
      </c>
      <c r="B18" s="29">
        <f>VLOOKUP(C18,[1]鱼种设计表!$B$2:$L$24,11,FALSE)</f>
        <v>800</v>
      </c>
      <c r="C18" s="8" t="str">
        <f>VLOOKUP(D18,鱼种重量参数!$A$1:$D$99,4,FALSE)</f>
        <v>白亚口鱼</v>
      </c>
      <c r="D18" s="9" t="s">
        <v>36</v>
      </c>
      <c r="E18" s="9" t="s">
        <v>28</v>
      </c>
      <c r="F18" s="30">
        <v>1</v>
      </c>
      <c r="G18" s="31">
        <v>16</v>
      </c>
      <c r="H18" s="31">
        <v>26</v>
      </c>
      <c r="I18" s="34">
        <f t="shared" si="0"/>
        <v>27</v>
      </c>
      <c r="J18" s="34">
        <f t="shared" si="1"/>
        <v>123</v>
      </c>
      <c r="K18" s="35">
        <f t="shared" si="2"/>
        <v>75</v>
      </c>
      <c r="L18" s="7">
        <f>VLOOKUP($D18,鱼种重量参数!$A$1:$F$99,COLUMN(鱼种重量参数!E$1),FALSE)</f>
        <v>0.00525</v>
      </c>
      <c r="M18" s="7">
        <f>VLOOKUP($D18,鱼种重量参数!$A$1:$F$99,COLUMN(鱼种重量参数!F$1),FALSE)</f>
        <v>3.09</v>
      </c>
      <c r="N18" s="30">
        <v>1800</v>
      </c>
      <c r="O18" s="30">
        <v>363</v>
      </c>
      <c r="P18" s="36">
        <f t="shared" si="3"/>
        <v>135</v>
      </c>
      <c r="Q18" s="39">
        <f t="array" ref="Q18">INT(SUMPRODUCT(($D$4:$D$90=$D18)*($F$4:$F$90=$F18),$P$4:$P$90,$O$4:$O$90)/SUMPRODUCT(($D$4:$D$90=$D18)*($F$4:$F$90=$F18),$O$4:$O$90))</f>
        <v>846</v>
      </c>
      <c r="R18" s="40">
        <f t="shared" si="4"/>
        <v>0.0575000000000001</v>
      </c>
      <c r="S18" s="36">
        <f t="array" ref="S18">INT(SUMPRODUCT(($D$4:$D$90=$D18)*($F$4:$F$90=$F18),$K$4:$K$90,$O$4:$O$90)/SUMPRODUCT(($D$4:$D$90=$D18)*($F$4:$F$90=$F18),$O$4:$O$90))</f>
        <v>356</v>
      </c>
      <c r="T18" s="36">
        <f t="shared" si="5"/>
        <v>48</v>
      </c>
      <c r="U18" s="38">
        <f>INT(N18*U$3)</f>
        <v>1332</v>
      </c>
      <c r="V18" s="36">
        <v>1332</v>
      </c>
    </row>
    <row r="19" ht="13.5" customHeight="1" spans="1:22">
      <c r="A19" s="29">
        <f>VLOOKUP(C19,[1]鱼种设计表!$B$2:$L$55,4,FALSE)</f>
        <v>3</v>
      </c>
      <c r="B19" s="29">
        <f>VLOOKUP(C19,[1]鱼种设计表!$B$2:$L$24,11,FALSE)</f>
        <v>800</v>
      </c>
      <c r="C19" s="8" t="str">
        <f>VLOOKUP(D19,鱼种重量参数!$A$1:$D$99,4,FALSE)</f>
        <v>白亚口鱼</v>
      </c>
      <c r="D19" s="9" t="s">
        <v>36</v>
      </c>
      <c r="E19" s="9" t="s">
        <v>29</v>
      </c>
      <c r="F19" s="30">
        <v>1</v>
      </c>
      <c r="G19" s="31">
        <v>26</v>
      </c>
      <c r="H19" s="31">
        <v>40</v>
      </c>
      <c r="I19" s="34">
        <f t="shared" si="0"/>
        <v>123</v>
      </c>
      <c r="J19" s="34">
        <f t="shared" si="1"/>
        <v>468</v>
      </c>
      <c r="K19" s="35">
        <f t="shared" si="2"/>
        <v>295.5</v>
      </c>
      <c r="L19" s="7">
        <f>VLOOKUP($D19,鱼种重量参数!$A$1:$F$99,COLUMN(鱼种重量参数!E$1),FALSE)</f>
        <v>0.00525</v>
      </c>
      <c r="M19" s="7">
        <f>VLOOKUP($D19,鱼种重量参数!$A$1:$F$99,COLUMN(鱼种重量参数!F$1),FALSE)</f>
        <v>3.09</v>
      </c>
      <c r="N19" s="30">
        <v>2200</v>
      </c>
      <c r="O19" s="30">
        <v>363</v>
      </c>
      <c r="P19" s="36">
        <f t="shared" si="3"/>
        <v>650</v>
      </c>
      <c r="Q19" s="39">
        <f t="array" ref="Q19">INT(SUMPRODUCT(($D$4:$D$90=$D19)*($F$4:$F$90=$F19),$P$4:$P$90,$O$4:$O$90)/SUMPRODUCT(($D$4:$D$90=$D19)*($F$4:$F$90=$F19),$O$4:$O$90))</f>
        <v>846</v>
      </c>
      <c r="R19" s="40">
        <f t="shared" si="4"/>
        <v>0.0575000000000001</v>
      </c>
      <c r="S19" s="36">
        <f t="array" ref="S19">INT(SUMPRODUCT(($D$4:$D$90=$D19)*($F$4:$F$90=$F19),$K$4:$K$90,$O$4:$O$90)/SUMPRODUCT(($D$4:$D$90=$D19)*($F$4:$F$90=$F19),$O$4:$O$90))</f>
        <v>356</v>
      </c>
      <c r="T19" s="36">
        <f t="shared" si="5"/>
        <v>270</v>
      </c>
      <c r="U19" s="38">
        <f>INT(N19*U$3)</f>
        <v>1628</v>
      </c>
      <c r="V19" s="36">
        <v>1628</v>
      </c>
    </row>
    <row r="20" ht="13.5" customHeight="1" spans="1:22">
      <c r="A20" s="29">
        <f>VLOOKUP(C20,[1]鱼种设计表!$B$2:$L$55,4,FALSE)</f>
        <v>3</v>
      </c>
      <c r="B20" s="29">
        <f>VLOOKUP(C20,[1]鱼种设计表!$B$2:$L$24,11,FALSE)</f>
        <v>800</v>
      </c>
      <c r="C20" s="8" t="str">
        <f>VLOOKUP(D20,鱼种重量参数!$A$1:$D$99,4,FALSE)</f>
        <v>白亚口鱼</v>
      </c>
      <c r="D20" s="9" t="s">
        <v>36</v>
      </c>
      <c r="E20" s="9" t="s">
        <v>34</v>
      </c>
      <c r="F20" s="30">
        <v>1</v>
      </c>
      <c r="G20" s="31">
        <v>40</v>
      </c>
      <c r="H20" s="31">
        <v>49</v>
      </c>
      <c r="I20" s="34">
        <f t="shared" si="0"/>
        <v>468</v>
      </c>
      <c r="J20" s="34">
        <f t="shared" si="1"/>
        <v>876</v>
      </c>
      <c r="K20" s="35">
        <f t="shared" si="2"/>
        <v>672</v>
      </c>
      <c r="L20" s="7">
        <f>VLOOKUP($D20,鱼种重量参数!$A$1:$F$99,COLUMN(鱼种重量参数!E$1),FALSE)</f>
        <v>0.00525</v>
      </c>
      <c r="M20" s="7">
        <f>VLOOKUP($D20,鱼种重量参数!$A$1:$F$99,COLUMN(鱼种重量参数!F$1),FALSE)</f>
        <v>3.09</v>
      </c>
      <c r="N20" s="30">
        <v>2400</v>
      </c>
      <c r="O20" s="30">
        <v>181</v>
      </c>
      <c r="P20" s="36">
        <f t="shared" si="3"/>
        <v>1612</v>
      </c>
      <c r="Q20" s="39">
        <f t="array" ref="Q20">INT(SUMPRODUCT(($D$4:$D$90=$D20)*($F$4:$F$90=$F20),$P$4:$P$90,$O$4:$O$90)/SUMPRODUCT(($D$4:$D$90=$D20)*($F$4:$F$90=$F20),$O$4:$O$90))</f>
        <v>846</v>
      </c>
      <c r="R20" s="40">
        <f t="shared" si="4"/>
        <v>0.0575000000000001</v>
      </c>
      <c r="S20" s="36">
        <f t="array" ref="S20">INT(SUMPRODUCT(($D$4:$D$90=$D20)*($F$4:$F$90=$F20),$K$4:$K$90,$O$4:$O$90)/SUMPRODUCT(($D$4:$D$90=$D20)*($F$4:$F$90=$F20),$O$4:$O$90))</f>
        <v>356</v>
      </c>
      <c r="T20" s="36">
        <f t="shared" si="5"/>
        <v>1123</v>
      </c>
      <c r="U20" s="38">
        <f>INT(N20*U$3)</f>
        <v>1776</v>
      </c>
      <c r="V20" s="36">
        <v>1776</v>
      </c>
    </row>
    <row r="21" ht="13.5" customHeight="1" spans="1:22">
      <c r="A21" s="29">
        <f>VLOOKUP(C21,[1]鱼种设计表!$B$2:$L$55,4,FALSE)</f>
        <v>3</v>
      </c>
      <c r="B21" s="29">
        <f>VLOOKUP(C21,[1]鱼种设计表!$B$2:$L$24,11,FALSE)</f>
        <v>800</v>
      </c>
      <c r="C21" s="8" t="str">
        <f>VLOOKUP(D21,鱼种重量参数!$A$1:$D$99,4,FALSE)</f>
        <v>白亚口鱼</v>
      </c>
      <c r="D21" s="9" t="s">
        <v>36</v>
      </c>
      <c r="E21" s="9" t="s">
        <v>37</v>
      </c>
      <c r="F21" s="30">
        <v>1</v>
      </c>
      <c r="G21" s="31">
        <v>49</v>
      </c>
      <c r="H21" s="31">
        <v>56</v>
      </c>
      <c r="I21" s="34">
        <f t="shared" si="0"/>
        <v>876</v>
      </c>
      <c r="J21" s="34">
        <f t="shared" si="1"/>
        <v>1324</v>
      </c>
      <c r="K21" s="35">
        <f t="shared" si="2"/>
        <v>1100</v>
      </c>
      <c r="L21" s="7">
        <f>VLOOKUP($D21,鱼种重量参数!$A$1:$F$99,COLUMN(鱼种重量参数!E$1),FALSE)</f>
        <v>0.00525</v>
      </c>
      <c r="M21" s="7">
        <f>VLOOKUP($D21,鱼种重量参数!$A$1:$F$99,COLUMN(鱼种重量参数!F$1),FALSE)</f>
        <v>3.09</v>
      </c>
      <c r="N21" s="30">
        <v>2700</v>
      </c>
      <c r="O21" s="30">
        <v>90</v>
      </c>
      <c r="P21" s="36">
        <f t="shared" si="3"/>
        <v>2970</v>
      </c>
      <c r="Q21" s="39">
        <f t="array" ref="Q21">INT(SUMPRODUCT(($D$4:$D$90=$D21)*($F$4:$F$90=$F21),$P$4:$P$90,$O$4:$O$90)/SUMPRODUCT(($D$4:$D$90=$D21)*($F$4:$F$90=$F21),$O$4:$O$90))</f>
        <v>846</v>
      </c>
      <c r="R21" s="40">
        <f t="shared" si="4"/>
        <v>0.0575000000000001</v>
      </c>
      <c r="S21" s="36">
        <f t="array" ref="S21">INT(SUMPRODUCT(($D$4:$D$90=$D21)*($F$4:$F$90=$F21),$K$4:$K$90,$O$4:$O$90)/SUMPRODUCT(($D$4:$D$90=$D21)*($F$4:$F$90=$F21),$O$4:$O$90))</f>
        <v>356</v>
      </c>
      <c r="T21" s="36">
        <f t="shared" si="5"/>
        <v>2365</v>
      </c>
      <c r="U21" s="38">
        <f>INT(N21*U$3)</f>
        <v>1998</v>
      </c>
      <c r="V21" s="36">
        <v>1998</v>
      </c>
    </row>
    <row r="22" ht="13.5" customHeight="1" spans="1:23">
      <c r="A22" s="29">
        <f>VLOOKUP(C22,[1]鱼种设计表!$B$2:$L$55,4,FALSE)</f>
        <v>3</v>
      </c>
      <c r="B22" s="29">
        <f>VLOOKUP(C22,[1]鱼种设计表!$B$2:$L$24,11,FALSE)</f>
        <v>800</v>
      </c>
      <c r="C22" s="8" t="str">
        <f>VLOOKUP(D22,鱼种重量参数!$A$1:$D$99,4,FALSE)</f>
        <v>水牛鱼</v>
      </c>
      <c r="D22" s="9" t="s">
        <v>38</v>
      </c>
      <c r="E22" s="9" t="s">
        <v>28</v>
      </c>
      <c r="F22" s="30">
        <v>1</v>
      </c>
      <c r="G22" s="31">
        <v>20</v>
      </c>
      <c r="H22" s="31">
        <v>53</v>
      </c>
      <c r="I22" s="34">
        <f t="shared" si="0"/>
        <v>118</v>
      </c>
      <c r="J22" s="34">
        <f t="shared" si="1"/>
        <v>2324</v>
      </c>
      <c r="K22" s="35">
        <f t="shared" si="2"/>
        <v>1221</v>
      </c>
      <c r="L22" s="7">
        <f>VLOOKUP($D22,鱼种重量参数!$A$1:$F$99,COLUMN(鱼种重量参数!E$1),FALSE)</f>
        <v>0.0128</v>
      </c>
      <c r="M22" s="7">
        <f>VLOOKUP($D22,鱼种重量参数!$A$1:$F$99,COLUMN(鱼种重量参数!F$1),FALSE)</f>
        <v>3.05</v>
      </c>
      <c r="N22" s="30">
        <v>90</v>
      </c>
      <c r="O22" s="30">
        <v>363</v>
      </c>
      <c r="P22" s="36">
        <f t="shared" si="3"/>
        <v>109</v>
      </c>
      <c r="Q22" s="39">
        <f t="array" ref="Q22">INT(SUMPRODUCT(($D$4:$D$90=$D22)*($F$4:$F$90=$F22),$P$4:$P$90,$O$4:$O$90)/SUMPRODUCT(($D$4:$D$90=$D22)*($F$4:$F$90=$F22),$O$4:$O$90))</f>
        <v>853</v>
      </c>
      <c r="R22" s="40">
        <f t="shared" si="4"/>
        <v>0.0662499999999999</v>
      </c>
      <c r="S22" s="36">
        <f t="array" ref="S22">INT(SUMPRODUCT(($D$4:$D$90=$D22)*($F$4:$F$90=$F22),$K$4:$K$90,$O$4:$O$90)/SUMPRODUCT(($D$4:$D$90=$D22)*($F$4:$F$90=$F22),$O$4:$O$90))</f>
        <v>6425</v>
      </c>
      <c r="T22" s="36">
        <f t="shared" si="5"/>
        <v>10</v>
      </c>
      <c r="U22" s="38">
        <f>INT(N22*U$3)</f>
        <v>66</v>
      </c>
      <c r="V22" s="36">
        <v>66</v>
      </c>
      <c r="W22" t="s">
        <v>39</v>
      </c>
    </row>
    <row r="23" ht="13.5" customHeight="1" spans="1:22">
      <c r="A23" s="29">
        <f>VLOOKUP(C23,[1]鱼种设计表!$B$2:$L$55,4,FALSE)</f>
        <v>3</v>
      </c>
      <c r="B23" s="29">
        <f>VLOOKUP(C23,[1]鱼种设计表!$B$2:$L$24,11,FALSE)</f>
        <v>800</v>
      </c>
      <c r="C23" s="8" t="str">
        <f>VLOOKUP(D23,鱼种重量参数!$A$1:$D$99,4,FALSE)</f>
        <v>水牛鱼</v>
      </c>
      <c r="D23" s="9" t="s">
        <v>38</v>
      </c>
      <c r="E23" s="9" t="s">
        <v>29</v>
      </c>
      <c r="F23" s="30">
        <v>1</v>
      </c>
      <c r="G23" s="31">
        <v>53</v>
      </c>
      <c r="H23" s="31">
        <v>81</v>
      </c>
      <c r="I23" s="34">
        <f t="shared" si="0"/>
        <v>2324</v>
      </c>
      <c r="J23" s="34">
        <f t="shared" si="1"/>
        <v>8474</v>
      </c>
      <c r="K23" s="35">
        <f t="shared" si="2"/>
        <v>5399</v>
      </c>
      <c r="L23" s="7">
        <f>VLOOKUP($D23,鱼种重量参数!$A$1:$F$99,COLUMN(鱼种重量参数!E$1),FALSE)</f>
        <v>0.0128</v>
      </c>
      <c r="M23" s="7">
        <f>VLOOKUP($D23,鱼种重量参数!$A$1:$F$99,COLUMN(鱼种重量参数!F$1),FALSE)</f>
        <v>3.05</v>
      </c>
      <c r="N23" s="30">
        <v>110</v>
      </c>
      <c r="O23" s="30">
        <v>363</v>
      </c>
      <c r="P23" s="36">
        <f t="shared" si="3"/>
        <v>593</v>
      </c>
      <c r="Q23" s="39">
        <f t="array" ref="Q23">INT(SUMPRODUCT(($D$4:$D$90=$D23)*($F$4:$F$90=$F23),$P$4:$P$90,$O$4:$O$90)/SUMPRODUCT(($D$4:$D$90=$D23)*($F$4:$F$90=$F23),$O$4:$O$90))</f>
        <v>853</v>
      </c>
      <c r="R23" s="40">
        <f t="shared" si="4"/>
        <v>0.0662499999999999</v>
      </c>
      <c r="S23" s="36">
        <f t="array" ref="S23">INT(SUMPRODUCT(($D$4:$D$90=$D23)*($F$4:$F$90=$F23),$K$4:$K$90,$O$4:$O$90)/SUMPRODUCT(($D$4:$D$90=$D23)*($F$4:$F$90=$F23),$O$4:$O$90))</f>
        <v>6425</v>
      </c>
      <c r="T23" s="36">
        <f t="shared" si="5"/>
        <v>255</v>
      </c>
      <c r="U23" s="38">
        <f>INT(N23*U$3)</f>
        <v>81</v>
      </c>
      <c r="V23" s="36">
        <v>81</v>
      </c>
    </row>
    <row r="24" ht="13.5" customHeight="1" spans="1:22">
      <c r="A24" s="29">
        <f>VLOOKUP(C24,[1]鱼种设计表!$B$2:$L$55,4,FALSE)</f>
        <v>3</v>
      </c>
      <c r="B24" s="29">
        <f>VLOOKUP(C24,[1]鱼种设计表!$B$2:$L$24,11,FALSE)</f>
        <v>800</v>
      </c>
      <c r="C24" s="8" t="str">
        <f>VLOOKUP(D24,鱼种重量参数!$A$1:$D$99,4,FALSE)</f>
        <v>水牛鱼</v>
      </c>
      <c r="D24" s="9" t="s">
        <v>38</v>
      </c>
      <c r="E24" s="9" t="s">
        <v>34</v>
      </c>
      <c r="F24" s="30">
        <v>1</v>
      </c>
      <c r="G24" s="31">
        <v>81</v>
      </c>
      <c r="H24" s="31">
        <v>100</v>
      </c>
      <c r="I24" s="34">
        <f t="shared" si="0"/>
        <v>8474</v>
      </c>
      <c r="J24" s="34">
        <f t="shared" si="1"/>
        <v>16114</v>
      </c>
      <c r="K24" s="35">
        <f t="shared" si="2"/>
        <v>12294</v>
      </c>
      <c r="L24" s="7">
        <f>VLOOKUP($D24,鱼种重量参数!$A$1:$F$99,COLUMN(鱼种重量参数!E$1),FALSE)</f>
        <v>0.0128</v>
      </c>
      <c r="M24" s="7">
        <f>VLOOKUP($D24,鱼种重量参数!$A$1:$F$99,COLUMN(鱼种重量参数!F$1),FALSE)</f>
        <v>3.05</v>
      </c>
      <c r="N24" s="30">
        <v>140</v>
      </c>
      <c r="O24" s="30">
        <v>181</v>
      </c>
      <c r="P24" s="36">
        <f t="shared" si="3"/>
        <v>1721</v>
      </c>
      <c r="Q24" s="39">
        <f t="array" ref="Q24">INT(SUMPRODUCT(($D$4:$D$90=$D24)*($F$4:$F$90=$F24),$P$4:$P$90,$O$4:$O$90)/SUMPRODUCT(($D$4:$D$90=$D24)*($F$4:$F$90=$F24),$O$4:$O$90))</f>
        <v>853</v>
      </c>
      <c r="R24" s="40">
        <f t="shared" si="4"/>
        <v>0.0662499999999999</v>
      </c>
      <c r="S24" s="36">
        <f t="array" ref="S24">INT(SUMPRODUCT(($D$4:$D$90=$D24)*($F$4:$F$90=$F24),$K$4:$K$90,$O$4:$O$90)/SUMPRODUCT(($D$4:$D$90=$D24)*($F$4:$F$90=$F24),$O$4:$O$90))</f>
        <v>6425</v>
      </c>
      <c r="T24" s="36">
        <f t="shared" si="5"/>
        <v>1186</v>
      </c>
      <c r="U24" s="38">
        <f>INT(N24*U$3)</f>
        <v>103</v>
      </c>
      <c r="V24" s="36">
        <v>103</v>
      </c>
    </row>
    <row r="25" ht="13.5" customHeight="1" spans="1:22">
      <c r="A25" s="29">
        <f>VLOOKUP(C25,[1]鱼种设计表!$B$2:$L$55,4,FALSE)</f>
        <v>3</v>
      </c>
      <c r="B25" s="29">
        <f>VLOOKUP(C25,[1]鱼种设计表!$B$2:$L$24,11,FALSE)</f>
        <v>800</v>
      </c>
      <c r="C25" s="8" t="str">
        <f>VLOOKUP(D25,鱼种重量参数!$A$1:$D$99,4,FALSE)</f>
        <v>水牛鱼</v>
      </c>
      <c r="D25" s="9" t="s">
        <v>38</v>
      </c>
      <c r="E25" s="9" t="s">
        <v>37</v>
      </c>
      <c r="F25" s="30">
        <v>1</v>
      </c>
      <c r="G25" s="31">
        <v>100</v>
      </c>
      <c r="H25" s="31">
        <v>113</v>
      </c>
      <c r="I25" s="34">
        <f t="shared" si="0"/>
        <v>16114</v>
      </c>
      <c r="J25" s="34">
        <f t="shared" si="1"/>
        <v>23393</v>
      </c>
      <c r="K25" s="35">
        <f t="shared" si="2"/>
        <v>19753.5</v>
      </c>
      <c r="L25" s="7">
        <f>VLOOKUP($D25,鱼种重量参数!$A$1:$F$99,COLUMN(鱼种重量参数!E$1),FALSE)</f>
        <v>0.0128</v>
      </c>
      <c r="M25" s="7">
        <f>VLOOKUP($D25,鱼种重量参数!$A$1:$F$99,COLUMN(鱼种重量参数!F$1),FALSE)</f>
        <v>3.05</v>
      </c>
      <c r="N25" s="30">
        <v>160</v>
      </c>
      <c r="O25" s="30">
        <v>90</v>
      </c>
      <c r="P25" s="36">
        <f t="shared" si="3"/>
        <v>3160</v>
      </c>
      <c r="Q25" s="39">
        <f t="array" ref="Q25">INT(SUMPRODUCT(($D$4:$D$90=$D25)*($F$4:$F$90=$F25),$P$4:$P$90,$O$4:$O$90)/SUMPRODUCT(($D$4:$D$90=$D25)*($F$4:$F$90=$F25),$O$4:$O$90))</f>
        <v>853</v>
      </c>
      <c r="R25" s="40">
        <f t="shared" si="4"/>
        <v>0.0662499999999999</v>
      </c>
      <c r="S25" s="36">
        <f t="array" ref="S25">INT(SUMPRODUCT(($D$4:$D$90=$D25)*($F$4:$F$90=$F25),$K$4:$K$90,$O$4:$O$90)/SUMPRODUCT(($D$4:$D$90=$D25)*($F$4:$F$90=$F25),$O$4:$O$90))</f>
        <v>6425</v>
      </c>
      <c r="T25" s="36">
        <f t="shared" si="5"/>
        <v>2578</v>
      </c>
      <c r="U25" s="38">
        <f>INT(N25*U$3)</f>
        <v>118</v>
      </c>
      <c r="V25" s="36">
        <v>118</v>
      </c>
    </row>
    <row r="26" ht="13.5" customHeight="1" spans="1:22">
      <c r="A26" s="29">
        <f>VLOOKUP(C26,[1]鱼种设计表!$B$2:$L$55,4,FALSE)</f>
        <v>3.5</v>
      </c>
      <c r="B26" s="29">
        <f>VLOOKUP(C26,[1]鱼种设计表!$B$2:$L$24,11,FALSE)</f>
        <v>1000</v>
      </c>
      <c r="C26" s="8" t="str">
        <f>VLOOKUP(D26,鱼种重量参数!$A$1:$D$99,4,FALSE)</f>
        <v>大口牛胭脂鱼</v>
      </c>
      <c r="D26" s="9" t="s">
        <v>40</v>
      </c>
      <c r="E26" s="9" t="s">
        <v>28</v>
      </c>
      <c r="F26" s="30">
        <v>1</v>
      </c>
      <c r="G26" s="31">
        <v>25</v>
      </c>
      <c r="H26" s="31">
        <v>61</v>
      </c>
      <c r="I26" s="34">
        <f t="shared" si="0"/>
        <v>253</v>
      </c>
      <c r="J26" s="34">
        <f t="shared" si="1"/>
        <v>3677</v>
      </c>
      <c r="K26" s="35">
        <f t="shared" si="2"/>
        <v>1965</v>
      </c>
      <c r="L26" s="7">
        <f>VLOOKUP($D26,鱼种重量参数!$A$1:$F$99,COLUMN(鱼种重量参数!E$1),FALSE)</f>
        <v>0.0162</v>
      </c>
      <c r="M26" s="7">
        <f>VLOOKUP($D26,鱼种重量参数!$A$1:$F$99,COLUMN(鱼种重量参数!F$1),FALSE)</f>
        <v>3</v>
      </c>
      <c r="N26" s="30">
        <v>50</v>
      </c>
      <c r="O26" s="30">
        <v>363</v>
      </c>
      <c r="P26" s="36">
        <f t="shared" si="3"/>
        <v>98</v>
      </c>
      <c r="Q26" s="39">
        <f t="array" ref="Q26">INT(SUMPRODUCT(($D$4:$D$90=$D26)*($F$4:$F$90=$F26),$P$4:$P$90,$O$4:$O$90)/SUMPRODUCT(($D$4:$D$90=$D26)*($F$4:$F$90=$F26),$O$4:$O$90))</f>
        <v>1058</v>
      </c>
      <c r="R26" s="40">
        <f t="shared" si="4"/>
        <v>0.0580000000000001</v>
      </c>
      <c r="S26" s="36">
        <f t="array" ref="S26">INT(SUMPRODUCT(($D$4:$D$90=$D26)*($F$4:$F$90=$F26),$K$4:$K$90,$O$4:$O$90)/SUMPRODUCT(($D$4:$D$90=$D26)*($F$4:$F$90=$F26),$O$4:$O$90))</f>
        <v>9417</v>
      </c>
      <c r="T26" s="36">
        <f t="shared" si="5"/>
        <v>12</v>
      </c>
      <c r="U26" s="38">
        <f>INT(N26*U$3)</f>
        <v>37</v>
      </c>
      <c r="V26" s="36">
        <v>37</v>
      </c>
    </row>
    <row r="27" ht="13.5" customHeight="1" spans="1:22">
      <c r="A27" s="29">
        <f>VLOOKUP(C27,[1]鱼种设计表!$B$2:$L$55,4,FALSE)</f>
        <v>3.5</v>
      </c>
      <c r="B27" s="29">
        <f>VLOOKUP(C27,[1]鱼种设计表!$B$2:$L$24,11,FALSE)</f>
        <v>1000</v>
      </c>
      <c r="C27" s="8" t="str">
        <f>VLOOKUP(D27,鱼种重量参数!$A$1:$D$99,4,FALSE)</f>
        <v>大口牛胭脂鱼</v>
      </c>
      <c r="D27" s="9" t="s">
        <v>40</v>
      </c>
      <c r="E27" s="9" t="s">
        <v>29</v>
      </c>
      <c r="F27" s="30">
        <v>1</v>
      </c>
      <c r="G27" s="31">
        <v>61</v>
      </c>
      <c r="H27" s="31">
        <v>92</v>
      </c>
      <c r="I27" s="34">
        <f t="shared" si="0"/>
        <v>3677</v>
      </c>
      <c r="J27" s="34">
        <f t="shared" si="1"/>
        <v>12614</v>
      </c>
      <c r="K27" s="35">
        <f t="shared" si="2"/>
        <v>8145.5</v>
      </c>
      <c r="L27" s="7">
        <f>VLOOKUP($D27,鱼种重量参数!$A$1:$F$99,COLUMN(鱼种重量参数!E$1),FALSE)</f>
        <v>0.0162</v>
      </c>
      <c r="M27" s="7">
        <f>VLOOKUP($D27,鱼种重量参数!$A$1:$F$99,COLUMN(鱼种重量参数!F$1),FALSE)</f>
        <v>3</v>
      </c>
      <c r="N27" s="30">
        <v>100</v>
      </c>
      <c r="O27" s="30">
        <v>363</v>
      </c>
      <c r="P27" s="36">
        <f t="shared" si="3"/>
        <v>814</v>
      </c>
      <c r="Q27" s="39">
        <f t="array" ref="Q27">INT(SUMPRODUCT(($D$4:$D$90=$D27)*($F$4:$F$90=$F27),$P$4:$P$90,$O$4:$O$90)/SUMPRODUCT(($D$4:$D$90=$D27)*($F$4:$F$90=$F27),$O$4:$O$90))</f>
        <v>1058</v>
      </c>
      <c r="R27" s="40">
        <f t="shared" si="4"/>
        <v>0.0580000000000001</v>
      </c>
      <c r="S27" s="36">
        <f t="array" ref="S27">INT(SUMPRODUCT(($D$4:$D$90=$D27)*($F$4:$F$90=$F27),$K$4:$K$90,$O$4:$O$90)/SUMPRODUCT(($D$4:$D$90=$D27)*($F$4:$F$90=$F27),$O$4:$O$90))</f>
        <v>9417</v>
      </c>
      <c r="T27" s="36">
        <f t="shared" si="5"/>
        <v>367</v>
      </c>
      <c r="U27" s="38">
        <f>INT(N27*U$3)</f>
        <v>74</v>
      </c>
      <c r="V27" s="36">
        <v>74</v>
      </c>
    </row>
    <row r="28" ht="13.5" customHeight="1" spans="1:22">
      <c r="A28" s="29">
        <f>VLOOKUP(C28,[1]鱼种设计表!$B$2:$L$55,4,FALSE)</f>
        <v>3.5</v>
      </c>
      <c r="B28" s="29">
        <f>VLOOKUP(C28,[1]鱼种设计表!$B$2:$L$24,11,FALSE)</f>
        <v>1000</v>
      </c>
      <c r="C28" s="8" t="str">
        <f>VLOOKUP(D28,鱼种重量参数!$A$1:$D$99,4,FALSE)</f>
        <v>大口牛胭脂鱼</v>
      </c>
      <c r="D28" s="9" t="s">
        <v>40</v>
      </c>
      <c r="E28" s="9" t="s">
        <v>34</v>
      </c>
      <c r="F28" s="30">
        <v>1</v>
      </c>
      <c r="G28" s="31">
        <v>92</v>
      </c>
      <c r="H28" s="31">
        <v>112</v>
      </c>
      <c r="I28" s="34">
        <f t="shared" si="0"/>
        <v>12614</v>
      </c>
      <c r="J28" s="34">
        <f t="shared" si="1"/>
        <v>22759</v>
      </c>
      <c r="K28" s="35">
        <f t="shared" si="2"/>
        <v>17686.5</v>
      </c>
      <c r="L28" s="7">
        <f>VLOOKUP($D28,鱼种重量参数!$A$1:$F$99,COLUMN(鱼种重量参数!E$1),FALSE)</f>
        <v>0.0162</v>
      </c>
      <c r="M28" s="7">
        <f>VLOOKUP($D28,鱼种重量参数!$A$1:$F$99,COLUMN(鱼种重量参数!F$1),FALSE)</f>
        <v>3</v>
      </c>
      <c r="N28" s="30">
        <v>120</v>
      </c>
      <c r="O28" s="30">
        <v>181</v>
      </c>
      <c r="P28" s="36">
        <f t="shared" si="3"/>
        <v>2122</v>
      </c>
      <c r="Q28" s="39">
        <f t="array" ref="Q28">INT(SUMPRODUCT(($D$4:$D$90=$D28)*($F$4:$F$90=$F28),$P$4:$P$90,$O$4:$O$90)/SUMPRODUCT(($D$4:$D$90=$D28)*($F$4:$F$90=$F28),$O$4:$O$90))</f>
        <v>1058</v>
      </c>
      <c r="R28" s="40">
        <f t="shared" si="4"/>
        <v>0.0580000000000001</v>
      </c>
      <c r="S28" s="36">
        <f t="array" ref="S28">INT(SUMPRODUCT(($D$4:$D$90=$D28)*($F$4:$F$90=$F28),$K$4:$K$90,$O$4:$O$90)/SUMPRODUCT(($D$4:$D$90=$D28)*($F$4:$F$90=$F28),$O$4:$O$90))</f>
        <v>9417</v>
      </c>
      <c r="T28" s="36">
        <f t="shared" si="5"/>
        <v>1513</v>
      </c>
      <c r="U28" s="38">
        <f>INT(N28*U$3)</f>
        <v>88</v>
      </c>
      <c r="V28" s="36">
        <v>88</v>
      </c>
    </row>
    <row r="29" ht="13.5" customHeight="1" spans="1:22">
      <c r="A29" s="29">
        <f>VLOOKUP(C29,[1]鱼种设计表!$B$2:$L$55,4,FALSE)</f>
        <v>3.5</v>
      </c>
      <c r="B29" s="29">
        <f>VLOOKUP(C29,[1]鱼种设计表!$B$2:$L$24,11,FALSE)</f>
        <v>1000</v>
      </c>
      <c r="C29" s="8" t="str">
        <f>VLOOKUP(D29,鱼种重量参数!$A$1:$D$99,4,FALSE)</f>
        <v>大口牛胭脂鱼</v>
      </c>
      <c r="D29" s="9" t="s">
        <v>40</v>
      </c>
      <c r="E29" s="9" t="s">
        <v>37</v>
      </c>
      <c r="F29" s="30">
        <v>1</v>
      </c>
      <c r="G29" s="31">
        <v>112</v>
      </c>
      <c r="H29" s="31">
        <v>127</v>
      </c>
      <c r="I29" s="34">
        <f t="shared" si="0"/>
        <v>22759</v>
      </c>
      <c r="J29" s="34">
        <f t="shared" si="1"/>
        <v>33183</v>
      </c>
      <c r="K29" s="35">
        <f t="shared" si="2"/>
        <v>27971</v>
      </c>
      <c r="L29" s="7">
        <f>VLOOKUP($D29,鱼种重量参数!$A$1:$F$99,COLUMN(鱼种重量参数!E$1),FALSE)</f>
        <v>0.0162</v>
      </c>
      <c r="M29" s="7">
        <f>VLOOKUP($D29,鱼种重量参数!$A$1:$F$99,COLUMN(鱼种重量参数!F$1),FALSE)</f>
        <v>3</v>
      </c>
      <c r="N29" s="30">
        <v>135</v>
      </c>
      <c r="O29" s="30">
        <v>90</v>
      </c>
      <c r="P29" s="36">
        <f t="shared" si="3"/>
        <v>3776</v>
      </c>
      <c r="Q29" s="39">
        <f t="array" ref="Q29">INT(SUMPRODUCT(($D$4:$D$90=$D29)*($F$4:$F$90=$F29),$P$4:$P$90,$O$4:$O$90)/SUMPRODUCT(($D$4:$D$90=$D29)*($F$4:$F$90=$F29),$O$4:$O$90))</f>
        <v>1058</v>
      </c>
      <c r="R29" s="40">
        <f t="shared" si="4"/>
        <v>0.0580000000000001</v>
      </c>
      <c r="S29" s="36">
        <f t="array" ref="S29">INT(SUMPRODUCT(($D$4:$D$90=$D29)*($F$4:$F$90=$F29),$K$4:$K$90,$O$4:$O$90)/SUMPRODUCT(($D$4:$D$90=$D29)*($F$4:$F$90=$F29),$O$4:$O$90))</f>
        <v>9417</v>
      </c>
      <c r="T29" s="36">
        <f t="shared" si="5"/>
        <v>3072</v>
      </c>
      <c r="U29" s="38">
        <f>INT(N29*U$3)</f>
        <v>99</v>
      </c>
      <c r="V29" s="36">
        <v>99</v>
      </c>
    </row>
    <row r="30" ht="13.5" customHeight="1" spans="1:23">
      <c r="A30" s="29">
        <f>VLOOKUP(C30,[1]鱼种设计表!$B$2:$L$55,4,FALSE)</f>
        <v>4</v>
      </c>
      <c r="B30" s="29">
        <f>VLOOKUP(C30,[1]鱼种设计表!$B$2:$L$24,11,FALSE)</f>
        <v>1600</v>
      </c>
      <c r="C30" s="8" t="str">
        <f>VLOOKUP(D30,鱼种重量参数!$A$1:$D$99,4,FALSE)</f>
        <v>丁鱥</v>
      </c>
      <c r="D30" s="9" t="s">
        <v>41</v>
      </c>
      <c r="E30" s="9" t="s">
        <v>28</v>
      </c>
      <c r="F30" s="30">
        <v>1</v>
      </c>
      <c r="G30" s="31">
        <v>18</v>
      </c>
      <c r="H30" s="31">
        <v>28</v>
      </c>
      <c r="I30" s="34">
        <f t="shared" si="0"/>
        <v>71</v>
      </c>
      <c r="J30" s="34">
        <f t="shared" si="1"/>
        <v>270</v>
      </c>
      <c r="K30" s="35">
        <f t="shared" si="2"/>
        <v>170.5</v>
      </c>
      <c r="L30" s="7">
        <f>VLOOKUP($D30,鱼种重量参数!$A$1:$F$99,COLUMN(鱼种重量参数!E$1),FALSE)</f>
        <v>0.0123</v>
      </c>
      <c r="M30" s="7">
        <f>VLOOKUP($D30,鱼种重量参数!$A$1:$F$99,COLUMN(鱼种重量参数!F$1),FALSE)</f>
        <v>3</v>
      </c>
      <c r="N30" s="30">
        <v>1600</v>
      </c>
      <c r="O30" s="30">
        <v>350</v>
      </c>
      <c r="P30" s="36">
        <f t="shared" si="3"/>
        <v>272</v>
      </c>
      <c r="Q30" s="39">
        <f t="array" ref="Q30">INT(SUMPRODUCT(($D$4:$D$90=$D30)*($F$4:$F$90=$F30),$P$4:$P$90,$O$4:$O$90)/SUMPRODUCT(($D$4:$D$90=$D30)*($F$4:$F$90=$F30),$O$4:$O$90))</f>
        <v>1642</v>
      </c>
      <c r="R30" s="40">
        <f t="shared" si="4"/>
        <v>0.0262500000000001</v>
      </c>
      <c r="S30" s="36">
        <f t="array" ref="S30">INT(SUMPRODUCT(($D$4:$D$90=$D30)*($F$4:$F$90=$F30),$K$4:$K$90,$O$4:$O$90)/SUMPRODUCT(($D$4:$D$90=$D30)*($F$4:$F$90=$F30),$O$4:$O$90))</f>
        <v>904</v>
      </c>
      <c r="T30" s="36">
        <f t="shared" si="5"/>
        <v>113</v>
      </c>
      <c r="U30" s="38">
        <f>INT(N30*U$3)</f>
        <v>1184</v>
      </c>
      <c r="V30" s="36">
        <v>1184</v>
      </c>
      <c r="W30" t="s">
        <v>42</v>
      </c>
    </row>
    <row r="31" ht="13.5" customHeight="1" spans="1:22">
      <c r="A31" s="29">
        <f>VLOOKUP(C31,[1]鱼种设计表!$B$2:$L$55,4,FALSE)</f>
        <v>4</v>
      </c>
      <c r="B31" s="29">
        <f>VLOOKUP(C31,[1]鱼种设计表!$B$2:$L$24,11,FALSE)</f>
        <v>1600</v>
      </c>
      <c r="C31" s="8" t="str">
        <f>VLOOKUP(D31,鱼种重量参数!$A$1:$D$99,4,FALSE)</f>
        <v>丁鱥</v>
      </c>
      <c r="D31" s="9" t="s">
        <v>41</v>
      </c>
      <c r="E31" s="9" t="s">
        <v>29</v>
      </c>
      <c r="F31" s="30">
        <v>1</v>
      </c>
      <c r="G31" s="31">
        <v>28</v>
      </c>
      <c r="H31" s="31">
        <v>43</v>
      </c>
      <c r="I31" s="34">
        <f t="shared" si="0"/>
        <v>270</v>
      </c>
      <c r="J31" s="34">
        <f t="shared" si="1"/>
        <v>977</v>
      </c>
      <c r="K31" s="35">
        <f t="shared" si="2"/>
        <v>623.5</v>
      </c>
      <c r="L31" s="7">
        <f>VLOOKUP($D31,鱼种重量参数!$A$1:$F$99,COLUMN(鱼种重量参数!E$1),FALSE)</f>
        <v>0.0123</v>
      </c>
      <c r="M31" s="7">
        <f>VLOOKUP($D31,鱼种重量参数!$A$1:$F$99,COLUMN(鱼种重量参数!F$1),FALSE)</f>
        <v>3</v>
      </c>
      <c r="N31" s="30">
        <v>1700</v>
      </c>
      <c r="O31" s="30">
        <v>350</v>
      </c>
      <c r="P31" s="36">
        <f t="shared" si="3"/>
        <v>1059</v>
      </c>
      <c r="Q31" s="39">
        <f t="array" ref="Q31">INT(SUMPRODUCT(($D$4:$D$90=$D31)*($F$4:$F$90=$F31),$P$4:$P$90,$O$4:$O$90)/SUMPRODUCT(($D$4:$D$90=$D31)*($F$4:$F$90=$F31),$O$4:$O$90))</f>
        <v>1642</v>
      </c>
      <c r="R31" s="40">
        <f t="shared" si="4"/>
        <v>0.0262500000000001</v>
      </c>
      <c r="S31" s="36">
        <f t="array" ref="S31">INT(SUMPRODUCT(($D$4:$D$90=$D31)*($F$4:$F$90=$F31),$K$4:$K$90,$O$4:$O$90)/SUMPRODUCT(($D$4:$D$90=$D31)*($F$4:$F$90=$F31),$O$4:$O$90))</f>
        <v>904</v>
      </c>
      <c r="T31" s="36">
        <f t="shared" si="5"/>
        <v>459</v>
      </c>
      <c r="U31" s="38">
        <f>INT(N31*U$3)</f>
        <v>1258</v>
      </c>
      <c r="V31" s="36">
        <v>1258</v>
      </c>
    </row>
    <row r="32" ht="13.5" customHeight="1" spans="1:22">
      <c r="A32" s="29">
        <f>VLOOKUP(C32,[1]鱼种设计表!$B$2:$L$55,4,FALSE)</f>
        <v>4</v>
      </c>
      <c r="B32" s="29">
        <f>VLOOKUP(C32,[1]鱼种设计表!$B$2:$L$24,11,FALSE)</f>
        <v>1600</v>
      </c>
      <c r="C32" s="8" t="str">
        <f>VLOOKUP(D32,鱼种重量参数!$A$1:$D$99,4,FALSE)</f>
        <v>丁鱥</v>
      </c>
      <c r="D32" s="9" t="s">
        <v>41</v>
      </c>
      <c r="E32" s="9" t="s">
        <v>34</v>
      </c>
      <c r="F32" s="30">
        <v>1</v>
      </c>
      <c r="G32" s="31">
        <v>43</v>
      </c>
      <c r="H32" s="31">
        <v>55</v>
      </c>
      <c r="I32" s="34">
        <f t="shared" si="0"/>
        <v>977</v>
      </c>
      <c r="J32" s="34">
        <f t="shared" si="1"/>
        <v>2046</v>
      </c>
      <c r="K32" s="35">
        <f t="shared" si="2"/>
        <v>1511.5</v>
      </c>
      <c r="L32" s="7">
        <f>VLOOKUP($D32,鱼种重量参数!$A$1:$F$99,COLUMN(鱼种重量参数!E$1),FALSE)</f>
        <v>0.0123</v>
      </c>
      <c r="M32" s="7">
        <f>VLOOKUP($D32,鱼种重量参数!$A$1:$F$99,COLUMN(鱼种重量参数!F$1),FALSE)</f>
        <v>3</v>
      </c>
      <c r="N32" s="30">
        <v>1800</v>
      </c>
      <c r="O32" s="30">
        <v>175</v>
      </c>
      <c r="P32" s="36">
        <f t="shared" si="3"/>
        <v>2720</v>
      </c>
      <c r="Q32" s="39">
        <f t="array" ref="Q32">INT(SUMPRODUCT(($D$4:$D$90=$D32)*($F$4:$F$90=$F32),$P$4:$P$90,$O$4:$O$90)/SUMPRODUCT(($D$4:$D$90=$D32)*($F$4:$F$90=$F32),$O$4:$O$90))</f>
        <v>1642</v>
      </c>
      <c r="R32" s="40">
        <f t="shared" si="4"/>
        <v>0.0262500000000001</v>
      </c>
      <c r="S32" s="36">
        <f t="array" ref="S32">INT(SUMPRODUCT(($D$4:$D$90=$D32)*($F$4:$F$90=$F32),$K$4:$K$90,$O$4:$O$90)/SUMPRODUCT(($D$4:$D$90=$D32)*($F$4:$F$90=$F32),$O$4:$O$90))</f>
        <v>904</v>
      </c>
      <c r="T32" s="36">
        <f t="shared" si="5"/>
        <v>1758</v>
      </c>
      <c r="U32" s="38">
        <f>INT(N32*U$3)</f>
        <v>1332</v>
      </c>
      <c r="V32" s="36">
        <v>1332</v>
      </c>
    </row>
    <row r="33" ht="13.5" customHeight="1" spans="1:22">
      <c r="A33" s="29">
        <f>VLOOKUP(C33,[1]鱼种设计表!$B$2:$L$55,4,FALSE)</f>
        <v>4</v>
      </c>
      <c r="B33" s="29">
        <f>VLOOKUP(C33,[1]鱼种设计表!$B$2:$L$24,11,FALSE)</f>
        <v>1600</v>
      </c>
      <c r="C33" s="8" t="str">
        <f>VLOOKUP(D33,鱼种重量参数!$A$1:$D$99,4,FALSE)</f>
        <v>丁鱥</v>
      </c>
      <c r="D33" s="9" t="s">
        <v>41</v>
      </c>
      <c r="E33" s="9" t="s">
        <v>37</v>
      </c>
      <c r="F33" s="30">
        <v>1</v>
      </c>
      <c r="G33" s="31">
        <v>55</v>
      </c>
      <c r="H33" s="31">
        <v>64</v>
      </c>
      <c r="I33" s="34">
        <f t="shared" si="0"/>
        <v>2046</v>
      </c>
      <c r="J33" s="34">
        <f t="shared" si="1"/>
        <v>3224</v>
      </c>
      <c r="K33" s="35">
        <f t="shared" si="2"/>
        <v>2635</v>
      </c>
      <c r="L33" s="7">
        <f>VLOOKUP($D33,鱼种重量参数!$A$1:$F$99,COLUMN(鱼种重量参数!E$1),FALSE)</f>
        <v>0.0123</v>
      </c>
      <c r="M33" s="7">
        <f>VLOOKUP($D33,鱼种重量参数!$A$1:$F$99,COLUMN(鱼种重量参数!F$1),FALSE)</f>
        <v>3</v>
      </c>
      <c r="N33" s="30">
        <v>1900</v>
      </c>
      <c r="O33" s="30">
        <v>87</v>
      </c>
      <c r="P33" s="36">
        <f t="shared" si="3"/>
        <v>5006</v>
      </c>
      <c r="Q33" s="39">
        <f t="array" ref="Q33">INT(SUMPRODUCT(($D$4:$D$90=$D33)*($F$4:$F$90=$F33),$P$4:$P$90,$O$4:$O$90)/SUMPRODUCT(($D$4:$D$90=$D33)*($F$4:$F$90=$F33),$O$4:$O$90))</f>
        <v>1642</v>
      </c>
      <c r="R33" s="40">
        <f t="shared" si="4"/>
        <v>0.0262500000000001</v>
      </c>
      <c r="S33" s="36">
        <f t="array" ref="S33">INT(SUMPRODUCT(($D$4:$D$90=$D33)*($F$4:$F$90=$F33),$K$4:$K$90,$O$4:$O$90)/SUMPRODUCT(($D$4:$D$90=$D33)*($F$4:$F$90=$F33),$O$4:$O$90))</f>
        <v>904</v>
      </c>
      <c r="T33" s="36">
        <f t="shared" si="5"/>
        <v>3887</v>
      </c>
      <c r="U33" s="38">
        <f>INT(N33*U$3)</f>
        <v>1406</v>
      </c>
      <c r="V33" s="36">
        <v>1406</v>
      </c>
    </row>
    <row r="34" ht="13.5" customHeight="1" spans="1:22">
      <c r="A34" s="29">
        <f>VLOOKUP(C34,[1]鱼种设计表!$B$2:$L$55,4,FALSE)</f>
        <v>4</v>
      </c>
      <c r="B34" s="29">
        <f>VLOOKUP(C34,[1]鱼种设计表!$B$2:$L$24,11,FALSE)</f>
        <v>1600</v>
      </c>
      <c r="C34" s="8" t="str">
        <f>VLOOKUP(D34,鱼种重量参数!$A$1:$D$99,4,FALSE)</f>
        <v>丁鱥</v>
      </c>
      <c r="D34" s="9" t="s">
        <v>41</v>
      </c>
      <c r="E34" s="9" t="s">
        <v>43</v>
      </c>
      <c r="F34" s="30">
        <v>1</v>
      </c>
      <c r="G34" s="31">
        <v>64</v>
      </c>
      <c r="H34" s="31">
        <v>70</v>
      </c>
      <c r="I34" s="34">
        <f t="shared" si="0"/>
        <v>3224</v>
      </c>
      <c r="J34" s="34">
        <f t="shared" si="1"/>
        <v>4218</v>
      </c>
      <c r="K34" s="35">
        <f t="shared" si="2"/>
        <v>3721</v>
      </c>
      <c r="L34" s="7">
        <f>VLOOKUP($D34,鱼种重量参数!$A$1:$F$99,COLUMN(鱼种重量参数!E$1),FALSE)</f>
        <v>0.0123</v>
      </c>
      <c r="M34" s="7">
        <f>VLOOKUP($D34,鱼种重量参数!$A$1:$F$99,COLUMN(鱼种重量参数!F$1),FALSE)</f>
        <v>3</v>
      </c>
      <c r="N34" s="30">
        <v>2000</v>
      </c>
      <c r="O34" s="30">
        <v>35</v>
      </c>
      <c r="P34" s="36">
        <f t="shared" si="3"/>
        <v>7442</v>
      </c>
      <c r="Q34" s="39">
        <f t="array" ref="Q34">INT(SUMPRODUCT(($D$4:$D$90=$D34)*($F$4:$F$90=$F34),$P$4:$P$90,$O$4:$O$90)/SUMPRODUCT(($D$4:$D$90=$D34)*($F$4:$F$90=$F34),$O$4:$O$90))</f>
        <v>1642</v>
      </c>
      <c r="R34" s="40">
        <f t="shared" si="4"/>
        <v>0.0262500000000001</v>
      </c>
      <c r="S34" s="36">
        <f t="array" ref="S34">INT(SUMPRODUCT(($D$4:$D$90=$D34)*($F$4:$F$90=$F34),$K$4:$K$90,$O$4:$O$90)/SUMPRODUCT(($D$4:$D$90=$D34)*($F$4:$F$90=$F34),$O$4:$O$90))</f>
        <v>904</v>
      </c>
      <c r="T34" s="36">
        <f t="shared" si="5"/>
        <v>6448</v>
      </c>
      <c r="U34" s="38">
        <f>INT(N34*U$3)</f>
        <v>1480</v>
      </c>
      <c r="V34" s="36">
        <v>1480</v>
      </c>
    </row>
    <row r="35" ht="13.5" customHeight="1" spans="1:22">
      <c r="A35" s="29">
        <f>VLOOKUP(C35,[1]鱼种设计表!$B$2:$L$55,4,FALSE)</f>
        <v>4.3</v>
      </c>
      <c r="B35" s="29">
        <f>VLOOKUP(C35,[1]鱼种设计表!$B$2:$L$24,11,FALSE)</f>
        <v>1800</v>
      </c>
      <c r="C35" s="8" t="str">
        <f>VLOOKUP(D35,鱼种重量参数!$A$1:$D$99,4,FALSE)</f>
        <v>斑点叉尾鮰</v>
      </c>
      <c r="D35" s="9" t="s">
        <v>44</v>
      </c>
      <c r="E35" s="9" t="s">
        <v>28</v>
      </c>
      <c r="F35" s="30">
        <v>1</v>
      </c>
      <c r="G35" s="31">
        <v>25</v>
      </c>
      <c r="H35" s="31">
        <v>47</v>
      </c>
      <c r="I35" s="34">
        <f t="shared" si="0"/>
        <v>180</v>
      </c>
      <c r="J35" s="34">
        <f t="shared" si="1"/>
        <v>1284</v>
      </c>
      <c r="K35" s="35">
        <f t="shared" si="2"/>
        <v>732</v>
      </c>
      <c r="L35" s="7">
        <f>VLOOKUP($D35,鱼种重量参数!$A$1:$F$99,COLUMN(鱼种重量参数!E$1),FALSE)</f>
        <v>0.0081</v>
      </c>
      <c r="M35" s="7">
        <f>VLOOKUP($D35,鱼种重量参数!$A$1:$F$99,COLUMN(鱼种重量参数!F$1),FALSE)</f>
        <v>3.11</v>
      </c>
      <c r="N35" s="30">
        <v>100</v>
      </c>
      <c r="O35" s="30">
        <v>350</v>
      </c>
      <c r="P35" s="36">
        <f t="shared" si="3"/>
        <v>73</v>
      </c>
      <c r="Q35" s="39">
        <f t="array" ref="Q35">INT(SUMPRODUCT(($D$4:$D$90=$D35)*($F$4:$F$90=$F35),$P$4:$P$90,$O$4:$O$90)/SUMPRODUCT(($D$4:$D$90=$D35)*($F$4:$F$90=$F35),$O$4:$O$90))</f>
        <v>1965</v>
      </c>
      <c r="R35" s="40">
        <f t="shared" si="4"/>
        <v>0.0916666666666666</v>
      </c>
      <c r="S35" s="36">
        <f t="array" ref="S35">INT(SUMPRODUCT(($D$4:$D$90=$D35)*($F$4:$F$90=$F35),$K$4:$K$90,$O$4:$O$90)/SUMPRODUCT(($D$4:$D$90=$D35)*($F$4:$F$90=$F35),$O$4:$O$90))</f>
        <v>6004</v>
      </c>
      <c r="T35" s="36">
        <f t="shared" si="5"/>
        <v>18</v>
      </c>
      <c r="U35" s="38">
        <f>INT(N35*U$3)</f>
        <v>74</v>
      </c>
      <c r="V35" s="36">
        <v>74</v>
      </c>
    </row>
    <row r="36" ht="13.5" customHeight="1" spans="1:22">
      <c r="A36" s="29">
        <f>VLOOKUP(C36,[1]鱼种设计表!$B$2:$L$55,4,FALSE)</f>
        <v>4.3</v>
      </c>
      <c r="B36" s="29">
        <f>VLOOKUP(C36,[1]鱼种设计表!$B$2:$L$24,11,FALSE)</f>
        <v>1800</v>
      </c>
      <c r="C36" s="8" t="str">
        <f>VLOOKUP(D36,鱼种重量参数!$A$1:$D$99,4,FALSE)</f>
        <v>斑点叉尾鮰</v>
      </c>
      <c r="D36" s="9" t="s">
        <v>44</v>
      </c>
      <c r="E36" s="9" t="s">
        <v>29</v>
      </c>
      <c r="F36" s="30">
        <v>1</v>
      </c>
      <c r="G36" s="31">
        <v>47</v>
      </c>
      <c r="H36" s="31">
        <v>78</v>
      </c>
      <c r="I36" s="34">
        <f t="shared" si="0"/>
        <v>1284</v>
      </c>
      <c r="J36" s="34">
        <f t="shared" si="1"/>
        <v>6207</v>
      </c>
      <c r="K36" s="35">
        <f t="shared" si="2"/>
        <v>3745.5</v>
      </c>
      <c r="L36" s="7">
        <f>VLOOKUP($D36,鱼种重量参数!$A$1:$F$99,COLUMN(鱼种重量参数!E$1),FALSE)</f>
        <v>0.0081</v>
      </c>
      <c r="M36" s="7">
        <f>VLOOKUP($D36,鱼种重量参数!$A$1:$F$99,COLUMN(鱼种重量参数!F$1),FALSE)</f>
        <v>3.11</v>
      </c>
      <c r="N36" s="30">
        <v>300</v>
      </c>
      <c r="O36" s="30">
        <v>350</v>
      </c>
      <c r="P36" s="36">
        <f t="shared" si="3"/>
        <v>1123</v>
      </c>
      <c r="Q36" s="39">
        <f t="array" ref="Q36">INT(SUMPRODUCT(($D$4:$D$90=$D36)*($F$4:$F$90=$F36),$P$4:$P$90,$O$4:$O$90)/SUMPRODUCT(($D$4:$D$90=$D36)*($F$4:$F$90=$F36),$O$4:$O$90))</f>
        <v>1965</v>
      </c>
      <c r="R36" s="40">
        <f t="shared" si="4"/>
        <v>0.0916666666666666</v>
      </c>
      <c r="S36" s="36">
        <f t="array" ref="S36">INT(SUMPRODUCT(($D$4:$D$90=$D36)*($F$4:$F$90=$F36),$K$4:$K$90,$O$4:$O$90)/SUMPRODUCT(($D$4:$D$90=$D36)*($F$4:$F$90=$F36),$O$4:$O$90))</f>
        <v>6004</v>
      </c>
      <c r="T36" s="36">
        <f t="shared" si="5"/>
        <v>385</v>
      </c>
      <c r="U36" s="38">
        <f>INT(N36*U$3)</f>
        <v>222</v>
      </c>
      <c r="V36" s="36">
        <v>222</v>
      </c>
    </row>
    <row r="37" ht="13.5" customHeight="1" spans="1:22">
      <c r="A37" s="29">
        <f>VLOOKUP(C37,[1]鱼种设计表!$B$2:$L$55,4,FALSE)</f>
        <v>4.3</v>
      </c>
      <c r="B37" s="29">
        <f>VLOOKUP(C37,[1]鱼种设计表!$B$2:$L$24,11,FALSE)</f>
        <v>1800</v>
      </c>
      <c r="C37" s="8" t="str">
        <f>VLOOKUP(D37,鱼种重量参数!$A$1:$D$99,4,FALSE)</f>
        <v>斑点叉尾鮰</v>
      </c>
      <c r="D37" s="9" t="s">
        <v>44</v>
      </c>
      <c r="E37" s="9" t="s">
        <v>34</v>
      </c>
      <c r="F37" s="30">
        <v>1</v>
      </c>
      <c r="G37" s="31">
        <v>78</v>
      </c>
      <c r="H37" s="31">
        <v>102</v>
      </c>
      <c r="I37" s="34">
        <f t="shared" si="0"/>
        <v>6207</v>
      </c>
      <c r="J37" s="34">
        <f t="shared" si="1"/>
        <v>14296</v>
      </c>
      <c r="K37" s="35">
        <f t="shared" si="2"/>
        <v>10251.5</v>
      </c>
      <c r="L37" s="7">
        <f>VLOOKUP($D37,鱼种重量参数!$A$1:$F$99,COLUMN(鱼种重量参数!E$1),FALSE)</f>
        <v>0.0081</v>
      </c>
      <c r="M37" s="7">
        <f>VLOOKUP($D37,鱼种重量参数!$A$1:$F$99,COLUMN(鱼种重量参数!F$1),FALSE)</f>
        <v>3.11</v>
      </c>
      <c r="N37" s="30">
        <v>320</v>
      </c>
      <c r="O37" s="30">
        <v>175</v>
      </c>
      <c r="P37" s="36">
        <f t="shared" si="3"/>
        <v>3280</v>
      </c>
      <c r="Q37" s="39">
        <f t="array" ref="Q37">INT(SUMPRODUCT(($D$4:$D$90=$D37)*($F$4:$F$90=$F37),$P$4:$P$90,$O$4:$O$90)/SUMPRODUCT(($D$4:$D$90=$D37)*($F$4:$F$90=$F37),$O$4:$O$90))</f>
        <v>1965</v>
      </c>
      <c r="R37" s="40">
        <f t="shared" si="4"/>
        <v>0.0916666666666666</v>
      </c>
      <c r="S37" s="36">
        <f t="array" ref="S37">INT(SUMPRODUCT(($D$4:$D$90=$D37)*($F$4:$F$90=$F37),$K$4:$K$90,$O$4:$O$90)/SUMPRODUCT(($D$4:$D$90=$D37)*($F$4:$F$90=$F37),$O$4:$O$90))</f>
        <v>6004</v>
      </c>
      <c r="T37" s="36">
        <f t="shared" si="5"/>
        <v>1986</v>
      </c>
      <c r="U37" s="38">
        <f>INT(N37*U$3)</f>
        <v>236</v>
      </c>
      <c r="V37" s="36">
        <v>236</v>
      </c>
    </row>
    <row r="38" ht="13.5" customHeight="1" spans="1:22">
      <c r="A38" s="29">
        <f>VLOOKUP(C38,[1]鱼种设计表!$B$2:$L$55,4,FALSE)</f>
        <v>4.3</v>
      </c>
      <c r="B38" s="29">
        <f>VLOOKUP(C38,[1]鱼种设计表!$B$2:$L$24,11,FALSE)</f>
        <v>1800</v>
      </c>
      <c r="C38" s="8" t="str">
        <f>VLOOKUP(D38,鱼种重量参数!$A$1:$D$99,4,FALSE)</f>
        <v>斑点叉尾鮰</v>
      </c>
      <c r="D38" s="9" t="s">
        <v>44</v>
      </c>
      <c r="E38" s="9" t="s">
        <v>37</v>
      </c>
      <c r="F38" s="30">
        <v>1</v>
      </c>
      <c r="G38" s="31">
        <v>102</v>
      </c>
      <c r="H38" s="31">
        <v>120</v>
      </c>
      <c r="I38" s="34">
        <f t="shared" si="0"/>
        <v>14296</v>
      </c>
      <c r="J38" s="34">
        <f t="shared" si="1"/>
        <v>23699</v>
      </c>
      <c r="K38" s="35">
        <f t="shared" si="2"/>
        <v>18997.5</v>
      </c>
      <c r="L38" s="7">
        <f>VLOOKUP($D38,鱼种重量参数!$A$1:$F$99,COLUMN(鱼种重量参数!E$1),FALSE)</f>
        <v>0.0081</v>
      </c>
      <c r="M38" s="7">
        <f>VLOOKUP($D38,鱼种重量参数!$A$1:$F$99,COLUMN(鱼种重量参数!F$1),FALSE)</f>
        <v>3.11</v>
      </c>
      <c r="N38" s="30">
        <v>350</v>
      </c>
      <c r="O38" s="30">
        <v>87</v>
      </c>
      <c r="P38" s="36">
        <f t="shared" si="3"/>
        <v>6649</v>
      </c>
      <c r="Q38" s="39">
        <f t="array" ref="Q38">INT(SUMPRODUCT(($D$4:$D$90=$D38)*($F$4:$F$90=$F38),$P$4:$P$90,$O$4:$O$90)/SUMPRODUCT(($D$4:$D$90=$D38)*($F$4:$F$90=$F38),$O$4:$O$90))</f>
        <v>1965</v>
      </c>
      <c r="R38" s="40">
        <f t="shared" si="4"/>
        <v>0.0916666666666666</v>
      </c>
      <c r="S38" s="36">
        <f t="array" ref="S38">INT(SUMPRODUCT(($D$4:$D$90=$D38)*($F$4:$F$90=$F38),$K$4:$K$90,$O$4:$O$90)/SUMPRODUCT(($D$4:$D$90=$D38)*($F$4:$F$90=$F38),$O$4:$O$90))</f>
        <v>6004</v>
      </c>
      <c r="T38" s="36">
        <f t="shared" si="5"/>
        <v>5003</v>
      </c>
      <c r="U38" s="38">
        <f>INT(N38*U$3)</f>
        <v>259</v>
      </c>
      <c r="V38" s="36">
        <v>259</v>
      </c>
    </row>
    <row r="39" ht="13.5" customHeight="1" spans="1:22">
      <c r="A39" s="29">
        <f>VLOOKUP(C39,[1]鱼种设计表!$B$2:$L$55,4,FALSE)</f>
        <v>4.3</v>
      </c>
      <c r="B39" s="29">
        <f>VLOOKUP(C39,[1]鱼种设计表!$B$2:$L$24,11,FALSE)</f>
        <v>1800</v>
      </c>
      <c r="C39" s="8" t="str">
        <f>VLOOKUP(D39,鱼种重量参数!$A$1:$D$99,4,FALSE)</f>
        <v>斑点叉尾鮰</v>
      </c>
      <c r="D39" s="9" t="s">
        <v>44</v>
      </c>
      <c r="E39" s="9" t="s">
        <v>43</v>
      </c>
      <c r="F39" s="30">
        <v>1</v>
      </c>
      <c r="G39" s="31">
        <v>120</v>
      </c>
      <c r="H39" s="31">
        <v>132</v>
      </c>
      <c r="I39" s="34">
        <f t="shared" si="0"/>
        <v>23699</v>
      </c>
      <c r="J39" s="34">
        <f t="shared" si="1"/>
        <v>31876</v>
      </c>
      <c r="K39" s="35">
        <f t="shared" si="2"/>
        <v>27787.5</v>
      </c>
      <c r="L39" s="7">
        <f>VLOOKUP($D39,鱼种重量参数!$A$1:$F$99,COLUMN(鱼种重量参数!E$1),FALSE)</f>
        <v>0.0081</v>
      </c>
      <c r="M39" s="7">
        <f>VLOOKUP($D39,鱼种重量参数!$A$1:$F$99,COLUMN(鱼种重量参数!F$1),FALSE)</f>
        <v>3.11</v>
      </c>
      <c r="N39" s="30">
        <v>400</v>
      </c>
      <c r="O39" s="30">
        <v>35</v>
      </c>
      <c r="P39" s="36">
        <f t="shared" si="3"/>
        <v>11115</v>
      </c>
      <c r="Q39" s="39">
        <f t="array" ref="Q39">INT(SUMPRODUCT(($D$4:$D$90=$D39)*($F$4:$F$90=$F39),$P$4:$P$90,$O$4:$O$90)/SUMPRODUCT(($D$4:$D$90=$D39)*($F$4:$F$90=$F39),$O$4:$O$90))</f>
        <v>1965</v>
      </c>
      <c r="R39" s="40">
        <f t="shared" si="4"/>
        <v>0.0916666666666666</v>
      </c>
      <c r="S39" s="36">
        <f t="array" ref="S39">INT(SUMPRODUCT(($D$4:$D$90=$D39)*($F$4:$F$90=$F39),$K$4:$K$90,$O$4:$O$90)/SUMPRODUCT(($D$4:$D$90=$D39)*($F$4:$F$90=$F39),$O$4:$O$90))</f>
        <v>6004</v>
      </c>
      <c r="T39" s="36">
        <f t="shared" si="5"/>
        <v>9479</v>
      </c>
      <c r="U39" s="38">
        <f>INT(N39*U$3)</f>
        <v>296</v>
      </c>
      <c r="V39" s="36">
        <v>296</v>
      </c>
    </row>
    <row r="40" ht="13.5" customHeight="1" spans="1:22">
      <c r="A40" s="29">
        <f>VLOOKUP(C40,[1]鱼种设计表!$B$2:$L$55,4,FALSE)</f>
        <v>1</v>
      </c>
      <c r="B40" s="29">
        <f>VLOOKUP(C40,[1]鱼种设计表!$B$2:$L$24,11,FALSE)</f>
        <v>200</v>
      </c>
      <c r="C40" s="8" t="str">
        <f>VLOOKUP(D40,鱼种重量参数!$A$1:$D$99,4,FALSE)</f>
        <v>灰西鲱</v>
      </c>
      <c r="D40" s="9" t="s">
        <v>27</v>
      </c>
      <c r="E40" s="9" t="s">
        <v>28</v>
      </c>
      <c r="F40" s="30">
        <v>2</v>
      </c>
      <c r="G40" s="31">
        <v>18</v>
      </c>
      <c r="H40" s="31">
        <v>28</v>
      </c>
      <c r="I40" s="34">
        <f t="shared" si="0"/>
        <v>47</v>
      </c>
      <c r="J40" s="34">
        <f t="shared" si="1"/>
        <v>189</v>
      </c>
      <c r="K40" s="35">
        <f t="shared" si="2"/>
        <v>118</v>
      </c>
      <c r="L40" s="7">
        <f>VLOOKUP($D40,鱼种重量参数!$A$1:$F$99,COLUMN(鱼种重量参数!E$1),FALSE)</f>
        <v>0.0054</v>
      </c>
      <c r="M40" s="7">
        <f>VLOOKUP($D40,鱼种重量参数!$A$1:$F$99,COLUMN(鱼种重量参数!F$1),FALSE)</f>
        <v>3.14</v>
      </c>
      <c r="N40" s="30">
        <v>600</v>
      </c>
      <c r="O40" s="30">
        <v>1100</v>
      </c>
      <c r="P40" s="36">
        <f t="shared" si="3"/>
        <v>70</v>
      </c>
      <c r="Q40" s="39">
        <f t="array" ref="Q40">INT(SUMPRODUCT(($D$4:$D$90=$D40)*($F$4:$F$90=$F40),$P$4:$P$90,$O$4:$O$90)/SUMPRODUCT(($D$4:$D$90=$D40)*($F$4:$F$90=$F40),$O$4:$O$90))</f>
        <v>198</v>
      </c>
      <c r="R40" s="40">
        <f t="shared" si="4"/>
        <v>-0.01</v>
      </c>
      <c r="S40" s="36">
        <f t="array" ref="S40">INT(SUMPRODUCT(($D$4:$D$90=$D40)*($F$4:$F$90=$F40),$K$4:$K$90,$O$4:$O$90)/SUMPRODUCT(($D$4:$D$90=$D40)*($F$4:$F$90=$F40),$O$4:$O$90))</f>
        <v>251</v>
      </c>
      <c r="T40" s="36">
        <f t="shared" si="5"/>
        <v>28</v>
      </c>
      <c r="U40" s="38">
        <f>INT(N40*U$3)</f>
        <v>444</v>
      </c>
      <c r="V40" s="36">
        <v>444</v>
      </c>
    </row>
    <row r="41" ht="13.5" customHeight="1" spans="1:22">
      <c r="A41" s="29">
        <f>VLOOKUP(C41,[1]鱼种设计表!$B$2:$L$55,4,FALSE)</f>
        <v>1</v>
      </c>
      <c r="B41" s="29">
        <f>VLOOKUP(C41,[1]鱼种设计表!$B$2:$L$24,11,FALSE)</f>
        <v>200</v>
      </c>
      <c r="C41" s="8" t="str">
        <f>VLOOKUP(D41,鱼种重量参数!$A$1:$D$99,4,FALSE)</f>
        <v>灰西鲱</v>
      </c>
      <c r="D41" s="9" t="s">
        <v>27</v>
      </c>
      <c r="E41" s="9" t="s">
        <v>29</v>
      </c>
      <c r="F41" s="30">
        <v>2</v>
      </c>
      <c r="G41" s="31">
        <v>28</v>
      </c>
      <c r="H41" s="31">
        <v>40</v>
      </c>
      <c r="I41" s="34">
        <f t="shared" si="0"/>
        <v>189</v>
      </c>
      <c r="J41" s="34">
        <f t="shared" si="1"/>
        <v>579</v>
      </c>
      <c r="K41" s="35">
        <f t="shared" si="2"/>
        <v>384</v>
      </c>
      <c r="L41" s="7">
        <f>VLOOKUP($D41,鱼种重量参数!$A$1:$F$99,COLUMN(鱼种重量参数!E$1),FALSE)</f>
        <v>0.0054</v>
      </c>
      <c r="M41" s="7">
        <f>VLOOKUP($D41,鱼种重量参数!$A$1:$F$99,COLUMN(鱼种重量参数!F$1),FALSE)</f>
        <v>3.14</v>
      </c>
      <c r="N41" s="30">
        <v>850</v>
      </c>
      <c r="O41" s="30">
        <v>1100</v>
      </c>
      <c r="P41" s="36">
        <f t="shared" si="3"/>
        <v>326</v>
      </c>
      <c r="Q41" s="39">
        <f t="array" ref="Q41">INT(SUMPRODUCT(($D$4:$D$90=$D41)*($F$4:$F$90=$F41),$P$4:$P$90,$O$4:$O$90)/SUMPRODUCT(($D$4:$D$90=$D41)*($F$4:$F$90=$F41),$O$4:$O$90))</f>
        <v>198</v>
      </c>
      <c r="R41" s="40">
        <f t="shared" si="4"/>
        <v>-0.01</v>
      </c>
      <c r="S41" s="36">
        <f t="array" ref="S41">INT(SUMPRODUCT(($D$4:$D$90=$D41)*($F$4:$F$90=$F41),$K$4:$K$90,$O$4:$O$90)/SUMPRODUCT(($D$4:$D$90=$D41)*($F$4:$F$90=$F41),$O$4:$O$90))</f>
        <v>251</v>
      </c>
      <c r="T41" s="36">
        <f t="shared" si="5"/>
        <v>160</v>
      </c>
      <c r="U41" s="38">
        <f>INT(N41*U$3)</f>
        <v>629</v>
      </c>
      <c r="V41" s="36">
        <v>629</v>
      </c>
    </row>
    <row r="42" ht="13.5" customHeight="1" spans="1:22">
      <c r="A42" s="29">
        <f>VLOOKUP(C42,[1]鱼种设计表!$B$2:$L$55,4,FALSE)</f>
        <v>1.2</v>
      </c>
      <c r="B42" s="29">
        <f>VLOOKUP(C42,[1]鱼种设计表!$B$2:$L$24,11,FALSE)</f>
        <v>240</v>
      </c>
      <c r="C42" s="8" t="str">
        <f>VLOOKUP(D42,鱼种重量参数!$A$1:$D$99,4,FALSE)</f>
        <v>美鳊</v>
      </c>
      <c r="D42" s="9" t="s">
        <v>30</v>
      </c>
      <c r="E42" s="9" t="s">
        <v>28</v>
      </c>
      <c r="F42" s="30">
        <v>2</v>
      </c>
      <c r="G42" s="31">
        <v>10</v>
      </c>
      <c r="H42" s="31">
        <v>16</v>
      </c>
      <c r="I42" s="34">
        <f t="shared" si="0"/>
        <v>16</v>
      </c>
      <c r="J42" s="34">
        <f t="shared" si="1"/>
        <v>71</v>
      </c>
      <c r="K42" s="35">
        <f t="shared" si="2"/>
        <v>43.5</v>
      </c>
      <c r="L42" s="7">
        <f>VLOOKUP($D42,鱼种重量参数!$A$1:$F$99,COLUMN(鱼种重量参数!E$1),FALSE)</f>
        <v>0.0128</v>
      </c>
      <c r="M42" s="7">
        <f>VLOOKUP($D42,鱼种重量参数!$A$1:$F$99,COLUMN(鱼种重量参数!F$1),FALSE)</f>
        <v>3.11</v>
      </c>
      <c r="N42" s="30">
        <v>2500</v>
      </c>
      <c r="O42" s="30">
        <v>900</v>
      </c>
      <c r="P42" s="36">
        <f t="shared" si="3"/>
        <v>108</v>
      </c>
      <c r="Q42" s="39">
        <f t="array" ref="Q42">INT(SUMPRODUCT(($D$4:$D$90=$D42)*($F$4:$F$90=$F42),$P$4:$P$90,$O$4:$O$90)/SUMPRODUCT(($D$4:$D$90=$D42)*($F$4:$F$90=$F42),$O$4:$O$90))</f>
        <v>240</v>
      </c>
      <c r="R42" s="40">
        <f t="shared" si="4"/>
        <v>0</v>
      </c>
      <c r="S42" s="36">
        <f t="array" ref="S42">INT(SUMPRODUCT(($D$4:$D$90=$D42)*($F$4:$F$90=$F42),$K$4:$K$90,$O$4:$O$90)/SUMPRODUCT(($D$4:$D$90=$D42)*($F$4:$F$90=$F42),$O$4:$O$90))</f>
        <v>75</v>
      </c>
      <c r="T42" s="36">
        <f t="shared" si="5"/>
        <v>40</v>
      </c>
      <c r="U42" s="38">
        <f>INT(N42*U$3)</f>
        <v>1850</v>
      </c>
      <c r="V42" s="36">
        <v>1850</v>
      </c>
    </row>
    <row r="43" ht="13.5" customHeight="1" spans="1:22">
      <c r="A43" s="29">
        <f>VLOOKUP(C43,[1]鱼种设计表!$B$2:$L$55,4,FALSE)</f>
        <v>1.2</v>
      </c>
      <c r="B43" s="29">
        <f>VLOOKUP(C43,[1]鱼种设计表!$B$2:$L$24,11,FALSE)</f>
        <v>240</v>
      </c>
      <c r="C43" s="8" t="str">
        <f>VLOOKUP(D43,鱼种重量参数!$A$1:$D$99,4,FALSE)</f>
        <v>美鳊</v>
      </c>
      <c r="D43" s="9" t="s">
        <v>30</v>
      </c>
      <c r="E43" s="9" t="s">
        <v>29</v>
      </c>
      <c r="F43" s="30">
        <v>2</v>
      </c>
      <c r="G43" s="31">
        <v>16</v>
      </c>
      <c r="H43" s="31">
        <v>20</v>
      </c>
      <c r="I43" s="34">
        <f t="shared" si="0"/>
        <v>71</v>
      </c>
      <c r="J43" s="34">
        <f t="shared" si="1"/>
        <v>142</v>
      </c>
      <c r="K43" s="35">
        <f t="shared" si="2"/>
        <v>106.5</v>
      </c>
      <c r="L43" s="7">
        <f>VLOOKUP($D43,鱼种重量参数!$A$1:$F$99,COLUMN(鱼种重量参数!E$1),FALSE)</f>
        <v>0.0128</v>
      </c>
      <c r="M43" s="7">
        <f>VLOOKUP($D43,鱼种重量参数!$A$1:$F$99,COLUMN(鱼种重量参数!F$1),FALSE)</f>
        <v>3.11</v>
      </c>
      <c r="N43" s="30">
        <v>3500</v>
      </c>
      <c r="O43" s="30">
        <v>900</v>
      </c>
      <c r="P43" s="36">
        <f t="shared" si="3"/>
        <v>372</v>
      </c>
      <c r="Q43" s="39">
        <f t="array" ref="Q43">INT(SUMPRODUCT(($D$4:$D$90=$D43)*($F$4:$F$90=$F43),$P$4:$P$90,$O$4:$O$90)/SUMPRODUCT(($D$4:$D$90=$D43)*($F$4:$F$90=$F43),$O$4:$O$90))</f>
        <v>240</v>
      </c>
      <c r="R43" s="40">
        <f t="shared" si="4"/>
        <v>0</v>
      </c>
      <c r="S43" s="36">
        <f t="array" ref="S43">INT(SUMPRODUCT(($D$4:$D$90=$D43)*($F$4:$F$90=$F43),$K$4:$K$90,$O$4:$O$90)/SUMPRODUCT(($D$4:$D$90=$D43)*($F$4:$F$90=$F43),$O$4:$O$90))</f>
        <v>75</v>
      </c>
      <c r="T43" s="36">
        <f t="shared" si="5"/>
        <v>248</v>
      </c>
      <c r="U43" s="38">
        <f>INT(N43*U$3)</f>
        <v>2590</v>
      </c>
      <c r="V43" s="36">
        <v>2590</v>
      </c>
    </row>
    <row r="44" ht="13.5" customHeight="1" spans="1:22">
      <c r="A44" s="29">
        <f>VLOOKUP(C44,[1]鱼种设计表!$B$2:$L$55,4,FALSE)</f>
        <v>1.7</v>
      </c>
      <c r="B44" s="29">
        <f>VLOOKUP(C44,[1]鱼种设计表!$B$2:$L$24,11,FALSE)</f>
        <v>340</v>
      </c>
      <c r="C44" s="8" t="str">
        <f>VLOOKUP(D44,鱼种重量参数!$A$1:$D$99,4,FALSE)</f>
        <v>绿太阳鱼</v>
      </c>
      <c r="D44" s="9" t="s">
        <v>31</v>
      </c>
      <c r="E44" s="9" t="s">
        <v>28</v>
      </c>
      <c r="F44" s="30">
        <v>2</v>
      </c>
      <c r="G44" s="31">
        <v>15</v>
      </c>
      <c r="H44" s="31">
        <v>23</v>
      </c>
      <c r="I44" s="34">
        <f t="shared" si="0"/>
        <v>40</v>
      </c>
      <c r="J44" s="34">
        <f t="shared" si="1"/>
        <v>146</v>
      </c>
      <c r="K44" s="35">
        <f t="shared" si="2"/>
        <v>93</v>
      </c>
      <c r="L44" s="7">
        <f>VLOOKUP($D44,鱼种重量参数!$A$1:$F$99,COLUMN(鱼种重量参数!E$1),FALSE)</f>
        <v>0.012</v>
      </c>
      <c r="M44" s="7">
        <f>VLOOKUP($D44,鱼种重量参数!$A$1:$F$99,COLUMN(鱼种重量参数!F$1),FALSE)</f>
        <v>3</v>
      </c>
      <c r="N44" s="30">
        <v>1500</v>
      </c>
      <c r="O44" s="30">
        <v>600</v>
      </c>
      <c r="P44" s="36">
        <f t="shared" si="3"/>
        <v>139</v>
      </c>
      <c r="Q44" s="39">
        <f t="array" ref="Q44">INT(SUMPRODUCT(($D$4:$D$90=$D44)*($F$4:$F$90=$F44),$P$4:$P$90,$O$4:$O$90)/SUMPRODUCT(($D$4:$D$90=$D44)*($F$4:$F$90=$F44),$O$4:$O$90))</f>
        <v>339</v>
      </c>
      <c r="R44" s="40">
        <f t="shared" si="4"/>
        <v>-0.00294117647058822</v>
      </c>
      <c r="S44" s="36">
        <f t="array" ref="S44">INT(SUMPRODUCT(($D$4:$D$90=$D44)*($F$4:$F$90=$F44),$K$4:$K$90,$O$4:$O$90)/SUMPRODUCT(($D$4:$D$90=$D44)*($F$4:$F$90=$F44),$O$4:$O$90))</f>
        <v>172</v>
      </c>
      <c r="T44" s="36">
        <f t="shared" si="5"/>
        <v>60</v>
      </c>
      <c r="U44" s="38">
        <f>INT(N44*U$3)</f>
        <v>1110</v>
      </c>
      <c r="V44" s="36">
        <v>1110</v>
      </c>
    </row>
    <row r="45" ht="13.5" customHeight="1" spans="1:22">
      <c r="A45" s="29">
        <f>VLOOKUP(C45,[1]鱼种设计表!$B$2:$L$55,4,FALSE)</f>
        <v>1.7</v>
      </c>
      <c r="B45" s="29">
        <f>VLOOKUP(C45,[1]鱼种设计表!$B$2:$L$24,11,FALSE)</f>
        <v>340</v>
      </c>
      <c r="C45" s="8" t="str">
        <f>VLOOKUP(D45,鱼种重量参数!$A$1:$D$99,4,FALSE)</f>
        <v>绿太阳鱼</v>
      </c>
      <c r="D45" s="9" t="s">
        <v>31</v>
      </c>
      <c r="E45" s="9" t="s">
        <v>29</v>
      </c>
      <c r="F45" s="30">
        <v>2</v>
      </c>
      <c r="G45" s="31">
        <v>23</v>
      </c>
      <c r="H45" s="31">
        <v>31</v>
      </c>
      <c r="I45" s="34">
        <f t="shared" si="0"/>
        <v>146</v>
      </c>
      <c r="J45" s="34">
        <f t="shared" si="1"/>
        <v>357</v>
      </c>
      <c r="K45" s="35">
        <f t="shared" si="2"/>
        <v>251.5</v>
      </c>
      <c r="L45" s="7">
        <f>VLOOKUP($D45,鱼种重量参数!$A$1:$F$99,COLUMN(鱼种重量参数!E$1),FALSE)</f>
        <v>0.012</v>
      </c>
      <c r="M45" s="7">
        <f>VLOOKUP($D45,鱼种重量参数!$A$1:$F$99,COLUMN(鱼种重量参数!F$1),FALSE)</f>
        <v>3</v>
      </c>
      <c r="N45" s="30">
        <v>2150</v>
      </c>
      <c r="O45" s="30">
        <v>600</v>
      </c>
      <c r="P45" s="36">
        <f t="shared" si="3"/>
        <v>540</v>
      </c>
      <c r="Q45" s="39">
        <f t="array" ref="Q45">INT(SUMPRODUCT(($D$4:$D$90=$D45)*($F$4:$F$90=$F45),$P$4:$P$90,$O$4:$O$90)/SUMPRODUCT(($D$4:$D$90=$D45)*($F$4:$F$90=$F45),$O$4:$O$90))</f>
        <v>339</v>
      </c>
      <c r="R45" s="40">
        <f t="shared" si="4"/>
        <v>-0.00294117647058822</v>
      </c>
      <c r="S45" s="36">
        <f t="array" ref="S45">INT(SUMPRODUCT(($D$4:$D$90=$D45)*($F$4:$F$90=$F45),$K$4:$K$90,$O$4:$O$90)/SUMPRODUCT(($D$4:$D$90=$D45)*($F$4:$F$90=$F45),$O$4:$O$90))</f>
        <v>172</v>
      </c>
      <c r="T45" s="36">
        <f t="shared" si="5"/>
        <v>313</v>
      </c>
      <c r="U45" s="38">
        <f>INT(N45*U$3)</f>
        <v>1591</v>
      </c>
      <c r="V45" s="36">
        <v>1591</v>
      </c>
    </row>
    <row r="46" ht="13.5" customHeight="1" spans="1:22">
      <c r="A46" s="29">
        <f>VLOOKUP(C46,[1]鱼种设计表!$B$2:$L$55,4,FALSE)</f>
        <v>1.5</v>
      </c>
      <c r="B46" s="29">
        <f>VLOOKUP(C46,[1]鱼种设计表!$B$2:$L$24,11,FALSE)</f>
        <v>300</v>
      </c>
      <c r="C46" s="8" t="str">
        <f>VLOOKUP(D46,鱼种重量参数!$A$1:$D$99,4,FALSE)</f>
        <v>驼背太阳鱼</v>
      </c>
      <c r="D46" s="9" t="s">
        <v>32</v>
      </c>
      <c r="E46" s="9" t="s">
        <v>28</v>
      </c>
      <c r="F46" s="30">
        <v>2</v>
      </c>
      <c r="G46" s="31">
        <v>20</v>
      </c>
      <c r="H46" s="31">
        <v>28</v>
      </c>
      <c r="I46" s="34">
        <f t="shared" si="0"/>
        <v>90</v>
      </c>
      <c r="J46" s="34">
        <f t="shared" si="1"/>
        <v>242</v>
      </c>
      <c r="K46" s="35">
        <f t="shared" si="2"/>
        <v>166</v>
      </c>
      <c r="L46" s="7">
        <f>VLOOKUP($D46,鱼种重量参数!$A$1:$F$99,COLUMN(鱼种重量参数!E$1),FALSE)</f>
        <v>0.0135</v>
      </c>
      <c r="M46" s="7">
        <f>VLOOKUP($D46,鱼种重量参数!$A$1:$F$99,COLUMN(鱼种重量参数!F$1),FALSE)</f>
        <v>2.94</v>
      </c>
      <c r="N46" s="30">
        <v>800</v>
      </c>
      <c r="O46" s="30">
        <v>500</v>
      </c>
      <c r="P46" s="36">
        <f t="shared" si="3"/>
        <v>132</v>
      </c>
      <c r="Q46" s="39">
        <f t="array" ref="Q46">INT(SUMPRODUCT(($D$4:$D$90=$D46)*($F$4:$F$90=$F46),$P$4:$P$90,$O$4:$O$90)/SUMPRODUCT(($D$4:$D$90=$D46)*($F$4:$F$90=$F46),$O$4:$O$90))</f>
        <v>299</v>
      </c>
      <c r="R46" s="40">
        <f t="shared" si="4"/>
        <v>-0.0033333333333333</v>
      </c>
      <c r="S46" s="36">
        <f t="array" ref="S46">INT(SUMPRODUCT(($D$4:$D$90=$D46)*($F$4:$F$90=$F46),$K$4:$K$90,$O$4:$O$90)/SUMPRODUCT(($D$4:$D$90=$D46)*($F$4:$F$90=$F46),$O$4:$O$90))</f>
        <v>316</v>
      </c>
      <c r="T46" s="36">
        <f t="shared" si="5"/>
        <v>72</v>
      </c>
      <c r="U46" s="38">
        <f>INT(N46*U$3)</f>
        <v>592</v>
      </c>
      <c r="V46" s="36">
        <v>592</v>
      </c>
    </row>
    <row r="47" ht="13.5" customHeight="1" spans="1:22">
      <c r="A47" s="29">
        <f>VLOOKUP(C47,[1]鱼种设计表!$B$2:$L$55,4,FALSE)</f>
        <v>1.5</v>
      </c>
      <c r="B47" s="29">
        <f>VLOOKUP(C47,[1]鱼种设计表!$B$2:$L$24,11,FALSE)</f>
        <v>300</v>
      </c>
      <c r="C47" s="8" t="str">
        <f>VLOOKUP(D47,鱼种重量参数!$A$1:$D$99,4,FALSE)</f>
        <v>驼背太阳鱼</v>
      </c>
      <c r="D47" s="9" t="s">
        <v>32</v>
      </c>
      <c r="E47" s="9" t="s">
        <v>29</v>
      </c>
      <c r="F47" s="30">
        <v>2</v>
      </c>
      <c r="G47" s="31">
        <v>28</v>
      </c>
      <c r="H47" s="31">
        <v>40</v>
      </c>
      <c r="I47" s="34">
        <f t="shared" si="0"/>
        <v>242</v>
      </c>
      <c r="J47" s="34">
        <f t="shared" si="1"/>
        <v>692</v>
      </c>
      <c r="K47" s="35">
        <f t="shared" si="2"/>
        <v>467</v>
      </c>
      <c r="L47" s="7">
        <f>VLOOKUP($D47,鱼种重量参数!$A$1:$F$99,COLUMN(鱼种重量参数!E$1),FALSE)</f>
        <v>0.0135</v>
      </c>
      <c r="M47" s="7">
        <f>VLOOKUP($D47,鱼种重量参数!$A$1:$F$99,COLUMN(鱼种重量参数!F$1),FALSE)</f>
        <v>2.94</v>
      </c>
      <c r="N47" s="30">
        <v>1000</v>
      </c>
      <c r="O47" s="30">
        <v>500</v>
      </c>
      <c r="P47" s="36">
        <f t="shared" si="3"/>
        <v>467</v>
      </c>
      <c r="Q47" s="39">
        <f t="array" ref="Q47">INT(SUMPRODUCT(($D$4:$D$90=$D47)*($F$4:$F$90=$F47),$P$4:$P$90,$O$4:$O$90)/SUMPRODUCT(($D$4:$D$90=$D47)*($F$4:$F$90=$F47),$O$4:$O$90))</f>
        <v>299</v>
      </c>
      <c r="R47" s="40">
        <f t="shared" si="4"/>
        <v>-0.0033333333333333</v>
      </c>
      <c r="S47" s="36">
        <f t="array" ref="S47">INT(SUMPRODUCT(($D$4:$D$90=$D47)*($F$4:$F$90=$F47),$K$4:$K$90,$O$4:$O$90)/SUMPRODUCT(($D$4:$D$90=$D47)*($F$4:$F$90=$F47),$O$4:$O$90))</f>
        <v>316</v>
      </c>
      <c r="T47" s="36">
        <f t="shared" si="5"/>
        <v>242</v>
      </c>
      <c r="U47" s="38">
        <f>INT(N47*U$3)</f>
        <v>740</v>
      </c>
      <c r="V47" s="36">
        <v>740</v>
      </c>
    </row>
    <row r="48" ht="13.5" customHeight="1" spans="1:22">
      <c r="A48" s="29">
        <f>VLOOKUP(C48,[1]鱼种设计表!$B$2:$L$55,4,FALSE)</f>
        <v>2</v>
      </c>
      <c r="B48" s="29">
        <f>VLOOKUP(C48,[1]鱼种设计表!$B$2:$L$24,11,FALSE)</f>
        <v>400</v>
      </c>
      <c r="C48" s="8" t="str">
        <f>VLOOKUP(D48,鱼种重量参数!$A$1:$D$99,4,FALSE)</f>
        <v>蓝鳃太阳鱼</v>
      </c>
      <c r="D48" s="9" t="s">
        <v>33</v>
      </c>
      <c r="E48" s="9" t="s">
        <v>28</v>
      </c>
      <c r="F48" s="30">
        <v>2</v>
      </c>
      <c r="G48" s="31">
        <v>15</v>
      </c>
      <c r="H48" s="31">
        <v>22</v>
      </c>
      <c r="I48" s="34">
        <f t="shared" si="0"/>
        <v>53</v>
      </c>
      <c r="J48" s="34">
        <f t="shared" si="1"/>
        <v>178</v>
      </c>
      <c r="K48" s="35">
        <f t="shared" si="2"/>
        <v>115.5</v>
      </c>
      <c r="L48" s="7">
        <f>VLOOKUP($D48,鱼种重量参数!$A$1:$F$99,COLUMN(鱼种重量参数!E$1),FALSE)</f>
        <v>0.0102</v>
      </c>
      <c r="M48" s="7">
        <f>VLOOKUP($D48,鱼种重量参数!$A$1:$F$99,COLUMN(鱼种重量参数!F$1),FALSE)</f>
        <v>3.16</v>
      </c>
      <c r="N48" s="30">
        <v>700</v>
      </c>
      <c r="O48" s="30">
        <v>600</v>
      </c>
      <c r="P48" s="36">
        <f t="shared" si="3"/>
        <v>80</v>
      </c>
      <c r="Q48" s="39">
        <f t="array" ref="Q48">INT(SUMPRODUCT(($D$4:$D$90=$D48)*($F$4:$F$90=$F48),$P$4:$P$90,$O$4:$O$90)/SUMPRODUCT(($D$4:$D$90=$D48)*($F$4:$F$90=$F48),$O$4:$O$90))</f>
        <v>415</v>
      </c>
      <c r="R48" s="40">
        <f t="shared" si="4"/>
        <v>0.0375000000000001</v>
      </c>
      <c r="S48" s="36">
        <f t="array" ref="S48">INT(SUMPRODUCT(($D$4:$D$90=$D48)*($F$4:$F$90=$F48),$K$4:$K$90,$O$4:$O$90)/SUMPRODUCT(($D$4:$D$90=$D48)*($F$4:$F$90=$F48),$O$4:$O$90))</f>
        <v>401</v>
      </c>
      <c r="T48" s="36">
        <f t="shared" si="5"/>
        <v>37</v>
      </c>
      <c r="U48" s="38">
        <f>INT(N48*U$3)</f>
        <v>518</v>
      </c>
      <c r="V48" s="36">
        <v>518</v>
      </c>
    </row>
    <row r="49" ht="13.5" customHeight="1" spans="1:22">
      <c r="A49" s="29">
        <f>VLOOKUP(C49,[1]鱼种设计表!$B$2:$L$55,4,FALSE)</f>
        <v>2</v>
      </c>
      <c r="B49" s="29">
        <f>VLOOKUP(C49,[1]鱼种设计表!$B$2:$L$24,11,FALSE)</f>
        <v>400</v>
      </c>
      <c r="C49" s="8" t="str">
        <f>VLOOKUP(D49,鱼种重量参数!$A$1:$D$99,4,FALSE)</f>
        <v>蓝鳃太阳鱼</v>
      </c>
      <c r="D49" s="9" t="s">
        <v>33</v>
      </c>
      <c r="E49" s="9" t="s">
        <v>29</v>
      </c>
      <c r="F49" s="30">
        <v>2</v>
      </c>
      <c r="G49" s="31">
        <v>22</v>
      </c>
      <c r="H49" s="31">
        <v>33</v>
      </c>
      <c r="I49" s="34">
        <f t="shared" si="0"/>
        <v>178</v>
      </c>
      <c r="J49" s="34">
        <f t="shared" si="1"/>
        <v>641</v>
      </c>
      <c r="K49" s="35">
        <f t="shared" si="2"/>
        <v>409.5</v>
      </c>
      <c r="L49" s="7">
        <f>VLOOKUP($D49,鱼种重量参数!$A$1:$F$99,COLUMN(鱼种重量参数!E$1),FALSE)</f>
        <v>0.0102</v>
      </c>
      <c r="M49" s="7">
        <f>VLOOKUP($D49,鱼种重量参数!$A$1:$F$99,COLUMN(鱼种重量参数!F$1),FALSE)</f>
        <v>3.16</v>
      </c>
      <c r="N49" s="30">
        <v>920</v>
      </c>
      <c r="O49" s="30">
        <v>600</v>
      </c>
      <c r="P49" s="36">
        <f t="shared" si="3"/>
        <v>376</v>
      </c>
      <c r="Q49" s="39">
        <f t="array" ref="Q49">INT(SUMPRODUCT(($D$4:$D$90=$D49)*($F$4:$F$90=$F49),$P$4:$P$90,$O$4:$O$90)/SUMPRODUCT(($D$4:$D$90=$D49)*($F$4:$F$90=$F49),$O$4:$O$90))</f>
        <v>415</v>
      </c>
      <c r="R49" s="40">
        <f t="shared" si="4"/>
        <v>0.0375000000000001</v>
      </c>
      <c r="S49" s="36">
        <f t="array" ref="S49">INT(SUMPRODUCT(($D$4:$D$90=$D49)*($F$4:$F$90=$F49),$K$4:$K$90,$O$4:$O$90)/SUMPRODUCT(($D$4:$D$90=$D49)*($F$4:$F$90=$F49),$O$4:$O$90))</f>
        <v>401</v>
      </c>
      <c r="T49" s="36">
        <f t="shared" si="5"/>
        <v>163</v>
      </c>
      <c r="U49" s="38">
        <f>INT(N49*U$3)</f>
        <v>680</v>
      </c>
      <c r="V49" s="36">
        <v>680</v>
      </c>
    </row>
    <row r="50" ht="13.5" customHeight="1" spans="1:22">
      <c r="A50" s="29">
        <f>VLOOKUP(C50,[1]鱼种设计表!$B$2:$L$55,4,FALSE)</f>
        <v>2</v>
      </c>
      <c r="B50" s="29">
        <f>VLOOKUP(C50,[1]鱼种设计表!$B$2:$L$24,11,FALSE)</f>
        <v>400</v>
      </c>
      <c r="C50" s="8" t="str">
        <f>VLOOKUP(D50,鱼种重量参数!$A$1:$D$99,4,FALSE)</f>
        <v>蓝鳃太阳鱼</v>
      </c>
      <c r="D50" s="9" t="s">
        <v>33</v>
      </c>
      <c r="E50" s="9" t="s">
        <v>34</v>
      </c>
      <c r="F50" s="30">
        <v>2</v>
      </c>
      <c r="G50" s="31">
        <v>33</v>
      </c>
      <c r="H50" s="31">
        <v>41</v>
      </c>
      <c r="I50" s="34">
        <f t="shared" si="0"/>
        <v>641</v>
      </c>
      <c r="J50" s="34">
        <f t="shared" si="1"/>
        <v>1273</v>
      </c>
      <c r="K50" s="35">
        <f t="shared" si="2"/>
        <v>957</v>
      </c>
      <c r="L50" s="7">
        <f>VLOOKUP($D50,鱼种重量参数!$A$1:$F$99,COLUMN(鱼种重量参数!E$1),FALSE)</f>
        <v>0.0102</v>
      </c>
      <c r="M50" s="7">
        <f>VLOOKUP($D50,鱼种重量参数!$A$1:$F$99,COLUMN(鱼种重量参数!F$1),FALSE)</f>
        <v>3.16</v>
      </c>
      <c r="N50" s="30">
        <v>1220</v>
      </c>
      <c r="O50" s="30">
        <v>300</v>
      </c>
      <c r="P50" s="36">
        <f t="shared" si="3"/>
        <v>1167</v>
      </c>
      <c r="Q50" s="39">
        <f t="array" ref="Q50">INT(SUMPRODUCT(($D$4:$D$90=$D50)*($F$4:$F$90=$F50),$P$4:$P$90,$O$4:$O$90)/SUMPRODUCT(($D$4:$D$90=$D50)*($F$4:$F$90=$F50),$O$4:$O$90))</f>
        <v>415</v>
      </c>
      <c r="R50" s="40">
        <f t="shared" si="4"/>
        <v>0.0375000000000001</v>
      </c>
      <c r="S50" s="36">
        <f t="array" ref="S50">INT(SUMPRODUCT(($D$4:$D$90=$D50)*($F$4:$F$90=$F50),$K$4:$K$90,$O$4:$O$90)/SUMPRODUCT(($D$4:$D$90=$D50)*($F$4:$F$90=$F50),$O$4:$O$90))</f>
        <v>401</v>
      </c>
      <c r="T50" s="36">
        <f t="shared" si="5"/>
        <v>782</v>
      </c>
      <c r="U50" s="38">
        <f>INT(N50*U$3)</f>
        <v>902</v>
      </c>
      <c r="V50" s="36">
        <v>902</v>
      </c>
    </row>
    <row r="51" ht="13.5" customHeight="1" spans="1:22">
      <c r="A51" s="29">
        <f>VLOOKUP(C51,[1]鱼种设计表!$B$2:$L$55,4,FALSE)</f>
        <v>2.3</v>
      </c>
      <c r="B51" s="29">
        <f>VLOOKUP(C51,[1]鱼种设计表!$B$2:$L$24,11,FALSE)</f>
        <v>460</v>
      </c>
      <c r="C51" s="8" t="str">
        <f>VLOOKUP(D51,鱼种重量参数!$A$1:$D$99,4,FALSE)</f>
        <v>小冠太阳鱼</v>
      </c>
      <c r="D51" s="9" t="s">
        <v>35</v>
      </c>
      <c r="E51" s="9" t="s">
        <v>28</v>
      </c>
      <c r="F51" s="30">
        <v>2</v>
      </c>
      <c r="G51" s="31">
        <v>14</v>
      </c>
      <c r="H51" s="31">
        <v>25</v>
      </c>
      <c r="I51" s="34">
        <f t="shared" si="0"/>
        <v>45</v>
      </c>
      <c r="J51" s="34">
        <f t="shared" si="1"/>
        <v>276</v>
      </c>
      <c r="K51" s="35">
        <f t="shared" si="2"/>
        <v>160.5</v>
      </c>
      <c r="L51" s="7">
        <f>VLOOKUP($D51,鱼种重量参数!$A$1:$F$99,COLUMN(鱼种重量参数!E$1),FALSE)</f>
        <v>0.0124</v>
      </c>
      <c r="M51" s="7">
        <f>VLOOKUP($D51,鱼种重量参数!$A$1:$F$99,COLUMN(鱼种重量参数!F$1),FALSE)</f>
        <v>3.11</v>
      </c>
      <c r="N51" s="30">
        <v>200</v>
      </c>
      <c r="O51" s="30">
        <v>600</v>
      </c>
      <c r="P51" s="36">
        <f t="shared" si="3"/>
        <v>32</v>
      </c>
      <c r="Q51" s="39">
        <f t="array" ref="Q51">INT(SUMPRODUCT(($D$4:$D$90=$D51)*($F$4:$F$90=$F51),$P$4:$P$90,$O$4:$O$90)/SUMPRODUCT(($D$4:$D$90=$D51)*($F$4:$F$90=$F51),$O$4:$O$90))</f>
        <v>432</v>
      </c>
      <c r="R51" s="40">
        <f t="shared" si="4"/>
        <v>-0.0608695652173913</v>
      </c>
      <c r="S51" s="36">
        <f t="array" ref="S51">INT(SUMPRODUCT(($D$4:$D$90=$D51)*($F$4:$F$90=$F51),$K$4:$K$90,$O$4:$O$90)/SUMPRODUCT(($D$4:$D$90=$D51)*($F$4:$F$90=$F51),$O$4:$O$90))</f>
        <v>633</v>
      </c>
      <c r="T51" s="36">
        <f t="shared" si="5"/>
        <v>9</v>
      </c>
      <c r="U51" s="38">
        <f>INT(N51*U$3)</f>
        <v>148</v>
      </c>
      <c r="V51" s="36">
        <v>148</v>
      </c>
    </row>
    <row r="52" ht="13.5" customHeight="1" spans="1:22">
      <c r="A52" s="29">
        <f>VLOOKUP(C52,[1]鱼种设计表!$B$2:$L$55,4,FALSE)</f>
        <v>2.3</v>
      </c>
      <c r="B52" s="29">
        <f>VLOOKUP(C52,[1]鱼种设计表!$B$2:$L$24,11,FALSE)</f>
        <v>460</v>
      </c>
      <c r="C52" s="8" t="str">
        <f>VLOOKUP(D52,鱼种重量参数!$A$1:$D$99,4,FALSE)</f>
        <v>小冠太阳鱼</v>
      </c>
      <c r="D52" s="9" t="s">
        <v>35</v>
      </c>
      <c r="E52" s="9" t="s">
        <v>29</v>
      </c>
      <c r="F52" s="30">
        <v>2</v>
      </c>
      <c r="G52" s="31">
        <v>25</v>
      </c>
      <c r="H52" s="31">
        <v>38</v>
      </c>
      <c r="I52" s="34">
        <f t="shared" si="0"/>
        <v>276</v>
      </c>
      <c r="J52" s="34">
        <f t="shared" si="1"/>
        <v>1015</v>
      </c>
      <c r="K52" s="35">
        <f t="shared" si="2"/>
        <v>645.5</v>
      </c>
      <c r="L52" s="7">
        <f>VLOOKUP($D52,鱼种重量参数!$A$1:$F$99,COLUMN(鱼种重量参数!E$1),FALSE)</f>
        <v>0.0124</v>
      </c>
      <c r="M52" s="7">
        <f>VLOOKUP($D52,鱼种重量参数!$A$1:$F$99,COLUMN(鱼种重量参数!F$1),FALSE)</f>
        <v>3.11</v>
      </c>
      <c r="N52" s="30">
        <v>600</v>
      </c>
      <c r="O52" s="30">
        <v>600</v>
      </c>
      <c r="P52" s="36">
        <f t="shared" si="3"/>
        <v>387</v>
      </c>
      <c r="Q52" s="39">
        <f t="array" ref="Q52">INT(SUMPRODUCT(($D$4:$D$90=$D52)*($F$4:$F$90=$F52),$P$4:$P$90,$O$4:$O$90)/SUMPRODUCT(($D$4:$D$90=$D52)*($F$4:$F$90=$F52),$O$4:$O$90))</f>
        <v>432</v>
      </c>
      <c r="R52" s="40">
        <f t="shared" si="4"/>
        <v>-0.0608695652173913</v>
      </c>
      <c r="S52" s="36">
        <f t="array" ref="S52">INT(SUMPRODUCT(($D$4:$D$90=$D52)*($F$4:$F$90=$F52),$K$4:$K$90,$O$4:$O$90)/SUMPRODUCT(($D$4:$D$90=$D52)*($F$4:$F$90=$F52),$O$4:$O$90))</f>
        <v>633</v>
      </c>
      <c r="T52" s="36">
        <f t="shared" si="5"/>
        <v>165</v>
      </c>
      <c r="U52" s="38">
        <f>INT(N52*U$3)</f>
        <v>444</v>
      </c>
      <c r="V52" s="36">
        <v>444</v>
      </c>
    </row>
    <row r="53" ht="13.5" customHeight="1" spans="1:22">
      <c r="A53" s="29">
        <f>VLOOKUP(C53,[1]鱼种设计表!$B$2:$L$55,4,FALSE)</f>
        <v>2.3</v>
      </c>
      <c r="B53" s="29">
        <f>VLOOKUP(C53,[1]鱼种设计表!$B$2:$L$24,11,FALSE)</f>
        <v>460</v>
      </c>
      <c r="C53" s="8" t="str">
        <f>VLOOKUP(D53,鱼种重量参数!$A$1:$D$99,4,FALSE)</f>
        <v>小冠太阳鱼</v>
      </c>
      <c r="D53" s="9" t="s">
        <v>35</v>
      </c>
      <c r="E53" s="9" t="s">
        <v>34</v>
      </c>
      <c r="F53" s="30">
        <v>2</v>
      </c>
      <c r="G53" s="31">
        <v>38</v>
      </c>
      <c r="H53" s="31">
        <v>48</v>
      </c>
      <c r="I53" s="34">
        <f t="shared" si="0"/>
        <v>1015</v>
      </c>
      <c r="J53" s="34">
        <f t="shared" si="1"/>
        <v>2099</v>
      </c>
      <c r="K53" s="35">
        <f t="shared" si="2"/>
        <v>1557</v>
      </c>
      <c r="L53" s="7">
        <f>VLOOKUP($D53,鱼种重量参数!$A$1:$F$99,COLUMN(鱼种重量参数!E$1),FALSE)</f>
        <v>0.0124</v>
      </c>
      <c r="M53" s="7">
        <f>VLOOKUP($D53,鱼种重量参数!$A$1:$F$99,COLUMN(鱼种重量参数!F$1),FALSE)</f>
        <v>3.11</v>
      </c>
      <c r="N53" s="30">
        <v>850</v>
      </c>
      <c r="O53" s="30">
        <v>300</v>
      </c>
      <c r="P53" s="36">
        <f t="shared" si="3"/>
        <v>1323</v>
      </c>
      <c r="Q53" s="39">
        <f t="array" ref="Q53">INT(SUMPRODUCT(($D$4:$D$90=$D53)*($F$4:$F$90=$F53),$P$4:$P$90,$O$4:$O$90)/SUMPRODUCT(($D$4:$D$90=$D53)*($F$4:$F$90=$F53),$O$4:$O$90))</f>
        <v>432</v>
      </c>
      <c r="R53" s="40">
        <f t="shared" si="4"/>
        <v>-0.0608695652173913</v>
      </c>
      <c r="S53" s="36">
        <f t="array" ref="S53">INT(SUMPRODUCT(($D$4:$D$90=$D53)*($F$4:$F$90=$F53),$K$4:$K$90,$O$4:$O$90)/SUMPRODUCT(($D$4:$D$90=$D53)*($F$4:$F$90=$F53),$O$4:$O$90))</f>
        <v>633</v>
      </c>
      <c r="T53" s="36">
        <f t="shared" si="5"/>
        <v>862</v>
      </c>
      <c r="U53" s="38">
        <f>INT(N53*U$3)</f>
        <v>629</v>
      </c>
      <c r="V53" s="36">
        <v>629</v>
      </c>
    </row>
    <row r="54" ht="13.5" customHeight="1" spans="1:22">
      <c r="A54" s="29">
        <f>VLOOKUP(C54,[1]鱼种设计表!$B$2:$L$55,4,FALSE)</f>
        <v>2</v>
      </c>
      <c r="B54" s="29">
        <f>VLOOKUP(C54,[1]鱼种设计表!$B$2:$L$24,11,FALSE)</f>
        <v>400</v>
      </c>
      <c r="C54" s="8" t="str">
        <f>VLOOKUP(D54,鱼种重量参数!$A$1:$D$99,4,FALSE)</f>
        <v>美洲西鲱</v>
      </c>
      <c r="D54" s="9" t="s">
        <v>45</v>
      </c>
      <c r="E54" s="9" t="s">
        <v>28</v>
      </c>
      <c r="F54" s="30">
        <v>2</v>
      </c>
      <c r="G54" s="31">
        <v>25</v>
      </c>
      <c r="H54" s="31">
        <v>35</v>
      </c>
      <c r="I54" s="34">
        <f t="shared" si="0"/>
        <v>130</v>
      </c>
      <c r="J54" s="34">
        <f t="shared" si="1"/>
        <v>368</v>
      </c>
      <c r="K54" s="35">
        <f t="shared" si="2"/>
        <v>249</v>
      </c>
      <c r="L54" s="7">
        <f>VLOOKUP($D54,鱼种重量参数!$A$1:$F$99,COLUMN(鱼种重量参数!E$1),FALSE)</f>
        <v>0.00646</v>
      </c>
      <c r="M54" s="7">
        <f>VLOOKUP($D54,鱼种重量参数!$A$1:$F$99,COLUMN(鱼种重量参数!F$1),FALSE)</f>
        <v>3.08</v>
      </c>
      <c r="N54" s="30">
        <v>400</v>
      </c>
      <c r="O54" s="30">
        <v>500</v>
      </c>
      <c r="P54" s="36">
        <f t="shared" si="3"/>
        <v>99</v>
      </c>
      <c r="Q54" s="39">
        <f t="array" ref="Q54">INT(SUMPRODUCT(($D$4:$D$90=$D54)*($F$4:$F$90=$F54),$P$4:$P$90,$O$4:$O$90)/SUMPRODUCT(($D$4:$D$90=$D54)*($F$4:$F$90=$F54),$O$4:$O$90))</f>
        <v>405</v>
      </c>
      <c r="R54" s="40">
        <f t="shared" si="4"/>
        <v>0.0125</v>
      </c>
      <c r="S54" s="36">
        <f t="array" ref="S54">INT(SUMPRODUCT(($D$4:$D$90=$D54)*($F$4:$F$90=$F54),$K$4:$K$90,$O$4:$O$90)/SUMPRODUCT(($D$4:$D$90=$D54)*($F$4:$F$90=$F54),$O$4:$O$90))</f>
        <v>835</v>
      </c>
      <c r="T54" s="36">
        <f t="shared" si="5"/>
        <v>52</v>
      </c>
      <c r="U54" s="38">
        <f>INT(N54*U$3)</f>
        <v>296</v>
      </c>
      <c r="V54" s="36">
        <v>296</v>
      </c>
    </row>
    <row r="55" ht="13.5" customHeight="1" spans="1:22">
      <c r="A55" s="29">
        <f>VLOOKUP(C55,[1]鱼种设计表!$B$2:$L$55,4,FALSE)</f>
        <v>2</v>
      </c>
      <c r="B55" s="29">
        <f>VLOOKUP(C55,[1]鱼种设计表!$B$2:$L$24,11,FALSE)</f>
        <v>400</v>
      </c>
      <c r="C55" s="8" t="str">
        <f>VLOOKUP(D55,鱼种重量参数!$A$1:$D$99,4,FALSE)</f>
        <v>美洲西鲱</v>
      </c>
      <c r="D55" s="9" t="s">
        <v>45</v>
      </c>
      <c r="E55" s="9" t="s">
        <v>29</v>
      </c>
      <c r="F55" s="30">
        <v>2</v>
      </c>
      <c r="G55" s="31">
        <v>35</v>
      </c>
      <c r="H55" s="31">
        <v>65</v>
      </c>
      <c r="I55" s="34">
        <f t="shared" si="0"/>
        <v>368</v>
      </c>
      <c r="J55" s="34">
        <f t="shared" si="1"/>
        <v>2477</v>
      </c>
      <c r="K55" s="35">
        <f t="shared" si="2"/>
        <v>1422.5</v>
      </c>
      <c r="L55" s="7">
        <f>VLOOKUP($D55,鱼种重量参数!$A$1:$F$99,COLUMN(鱼种重量参数!E$1),FALSE)</f>
        <v>0.00646</v>
      </c>
      <c r="M55" s="7">
        <f>VLOOKUP($D55,鱼种重量参数!$A$1:$F$99,COLUMN(鱼种重量参数!F$1),FALSE)</f>
        <v>3.08</v>
      </c>
      <c r="N55" s="30">
        <v>500</v>
      </c>
      <c r="O55" s="30">
        <v>500</v>
      </c>
      <c r="P55" s="36">
        <f t="shared" si="3"/>
        <v>711</v>
      </c>
      <c r="Q55" s="39">
        <f t="array" ref="Q55">INT(SUMPRODUCT(($D$4:$D$90=$D55)*($F$4:$F$90=$F55),$P$4:$P$90,$O$4:$O$90)/SUMPRODUCT(($D$4:$D$90=$D55)*($F$4:$F$90=$F55),$O$4:$O$90))</f>
        <v>405</v>
      </c>
      <c r="R55" s="40">
        <f t="shared" si="4"/>
        <v>0.0125</v>
      </c>
      <c r="S55" s="36">
        <f t="array" ref="S55">INT(SUMPRODUCT(($D$4:$D$90=$D55)*($F$4:$F$90=$F55),$K$4:$K$90,$O$4:$O$90)/SUMPRODUCT(($D$4:$D$90=$D55)*($F$4:$F$90=$F55),$O$4:$O$90))</f>
        <v>835</v>
      </c>
      <c r="T55" s="36">
        <f t="shared" si="5"/>
        <v>184</v>
      </c>
      <c r="U55" s="38">
        <f>INT(N55*U$3)</f>
        <v>370</v>
      </c>
      <c r="V55" s="36">
        <v>370</v>
      </c>
    </row>
    <row r="56" ht="13.5" customHeight="1" spans="1:22">
      <c r="A56" s="29">
        <f>VLOOKUP(C56,[1]鱼种设计表!$B$2:$L$55,4,FALSE)</f>
        <v>2</v>
      </c>
      <c r="B56" s="29">
        <f>VLOOKUP(C56,[1]鱼种设计表!$B$2:$L$24,11,FALSE)</f>
        <v>400</v>
      </c>
      <c r="C56" s="8" t="str">
        <f>VLOOKUP(D56,鱼种重量参数!$A$1:$D$99,4,FALSE)</f>
        <v>岩钝鲈</v>
      </c>
      <c r="D56" s="9" t="s">
        <v>46</v>
      </c>
      <c r="E56" s="9" t="s">
        <v>28</v>
      </c>
      <c r="F56" s="30">
        <v>2</v>
      </c>
      <c r="G56" s="31">
        <v>21</v>
      </c>
      <c r="H56" s="31">
        <v>30</v>
      </c>
      <c r="I56" s="34">
        <f t="shared" si="0"/>
        <v>115</v>
      </c>
      <c r="J56" s="34">
        <f t="shared" si="1"/>
        <v>337</v>
      </c>
      <c r="K56" s="35">
        <f t="shared" si="2"/>
        <v>226</v>
      </c>
      <c r="L56" s="7">
        <f>VLOOKUP($D56,鱼种重量参数!$A$1:$F$99,COLUMN(鱼种重量参数!E$1),FALSE)</f>
        <v>0.0125</v>
      </c>
      <c r="M56" s="7">
        <f>VLOOKUP($D56,鱼种重量参数!$A$1:$F$99,COLUMN(鱼种重量参数!F$1),FALSE)</f>
        <v>3</v>
      </c>
      <c r="N56" s="30">
        <v>600</v>
      </c>
      <c r="O56" s="30">
        <v>500</v>
      </c>
      <c r="P56" s="36">
        <f t="shared" si="3"/>
        <v>135</v>
      </c>
      <c r="Q56" s="39">
        <f t="array" ref="Q56">INT(SUMPRODUCT(($D$4:$D$90=$D56)*($F$4:$F$90=$F56),$P$4:$P$90,$O$4:$O$90)/SUMPRODUCT(($D$4:$D$90=$D56)*($F$4:$F$90=$F56),$O$4:$O$90))</f>
        <v>400</v>
      </c>
      <c r="R56" s="40">
        <f t="shared" si="4"/>
        <v>0</v>
      </c>
      <c r="S56" s="36">
        <f t="array" ref="S56">INT(SUMPRODUCT(($D$4:$D$90=$D56)*($F$4:$F$90=$F56),$K$4:$K$90,$O$4:$O$90)/SUMPRODUCT(($D$4:$D$90=$D56)*($F$4:$F$90=$F56),$O$4:$O$90))</f>
        <v>445</v>
      </c>
      <c r="T56" s="36">
        <f t="shared" si="5"/>
        <v>69</v>
      </c>
      <c r="U56" s="38">
        <f>INT(N56*U$3)</f>
        <v>444</v>
      </c>
      <c r="V56" s="36">
        <v>444</v>
      </c>
    </row>
    <row r="57" ht="13.5" customHeight="1" spans="1:22">
      <c r="A57" s="29">
        <f>VLOOKUP(C57,[1]鱼种设计表!$B$2:$L$55,4,FALSE)</f>
        <v>2</v>
      </c>
      <c r="B57" s="29">
        <f>VLOOKUP(C57,[1]鱼种设计表!$B$2:$L$24,11,FALSE)</f>
        <v>400</v>
      </c>
      <c r="C57" s="8" t="str">
        <f>VLOOKUP(D57,鱼种重量参数!$A$1:$D$99,4,FALSE)</f>
        <v>岩钝鲈</v>
      </c>
      <c r="D57" s="9" t="s">
        <v>46</v>
      </c>
      <c r="E57" s="9" t="s">
        <v>29</v>
      </c>
      <c r="F57" s="30">
        <v>2</v>
      </c>
      <c r="G57" s="31">
        <v>30</v>
      </c>
      <c r="H57" s="31">
        <v>43</v>
      </c>
      <c r="I57" s="34">
        <f t="shared" si="0"/>
        <v>337</v>
      </c>
      <c r="J57" s="34">
        <f t="shared" si="1"/>
        <v>993</v>
      </c>
      <c r="K57" s="35">
        <f t="shared" si="2"/>
        <v>665</v>
      </c>
      <c r="L57" s="7">
        <f>VLOOKUP($D57,鱼种重量参数!$A$1:$F$99,COLUMN(鱼种重量参数!E$1),FALSE)</f>
        <v>0.0125</v>
      </c>
      <c r="M57" s="7">
        <f>VLOOKUP($D57,鱼种重量参数!$A$1:$F$99,COLUMN(鱼种重量参数!F$1),FALSE)</f>
        <v>3</v>
      </c>
      <c r="N57" s="30">
        <v>1000</v>
      </c>
      <c r="O57" s="30">
        <v>500</v>
      </c>
      <c r="P57" s="36">
        <f t="shared" si="3"/>
        <v>665</v>
      </c>
      <c r="Q57" s="39">
        <f t="array" ref="Q57">INT(SUMPRODUCT(($D$4:$D$90=$D57)*($F$4:$F$90=$F57),$P$4:$P$90,$O$4:$O$90)/SUMPRODUCT(($D$4:$D$90=$D57)*($F$4:$F$90=$F57),$O$4:$O$90))</f>
        <v>400</v>
      </c>
      <c r="R57" s="40">
        <f t="shared" si="4"/>
        <v>0</v>
      </c>
      <c r="S57" s="36">
        <f t="array" ref="S57">INT(SUMPRODUCT(($D$4:$D$90=$D57)*($F$4:$F$90=$F57),$K$4:$K$90,$O$4:$O$90)/SUMPRODUCT(($D$4:$D$90=$D57)*($F$4:$F$90=$F57),$O$4:$O$90))</f>
        <v>445</v>
      </c>
      <c r="T57" s="36">
        <f t="shared" si="5"/>
        <v>337</v>
      </c>
      <c r="U57" s="38">
        <f>INT(N57*U$3)</f>
        <v>740</v>
      </c>
      <c r="V57" s="36">
        <v>740</v>
      </c>
    </row>
    <row r="58" ht="13.5" customHeight="1" spans="1:22">
      <c r="A58" s="29">
        <f>VLOOKUP(C58,[1]鱼种设计表!$B$2:$L$55,4,FALSE)</f>
        <v>2.5</v>
      </c>
      <c r="B58" s="29">
        <f>VLOOKUP(C58,[1]鱼种设计表!$B$2:$L$24,11,FALSE)</f>
        <v>500</v>
      </c>
      <c r="C58" s="8" t="str">
        <f>VLOOKUP(D58,鱼种重量参数!$A$1:$D$99,4,FALSE)</f>
        <v>弓鳍鱼</v>
      </c>
      <c r="D58" s="9" t="s">
        <v>47</v>
      </c>
      <c r="E58" s="9" t="s">
        <v>28</v>
      </c>
      <c r="F58" s="30">
        <v>2</v>
      </c>
      <c r="G58" s="31">
        <v>15</v>
      </c>
      <c r="H58" s="31">
        <v>33</v>
      </c>
      <c r="I58" s="34">
        <f t="shared" si="0"/>
        <v>43</v>
      </c>
      <c r="J58" s="34">
        <f t="shared" si="1"/>
        <v>583</v>
      </c>
      <c r="K58" s="35">
        <f t="shared" si="2"/>
        <v>313</v>
      </c>
      <c r="L58" s="7">
        <f>VLOOKUP($D58,鱼种重量参数!$A$1:$F$99,COLUMN(鱼种重量参数!E$1),FALSE)</f>
        <v>0.0061</v>
      </c>
      <c r="M58" s="7">
        <f>VLOOKUP($D58,鱼种重量参数!$A$1:$F$99,COLUMN(鱼种重量参数!F$1),FALSE)</f>
        <v>3.28</v>
      </c>
      <c r="N58" s="30">
        <v>350</v>
      </c>
      <c r="O58" s="30">
        <v>500</v>
      </c>
      <c r="P58" s="36">
        <f t="shared" si="3"/>
        <v>109</v>
      </c>
      <c r="Q58" s="39">
        <f t="array" ref="Q58">INT(SUMPRODUCT(($D$4:$D$90=$D58)*($F$4:$F$90=$F58),$P$4:$P$90,$O$4:$O$90)/SUMPRODUCT(($D$4:$D$90=$D58)*($F$4:$F$90=$F58),$O$4:$O$90))</f>
        <v>530</v>
      </c>
      <c r="R58" s="40">
        <f t="shared" si="4"/>
        <v>0.0600000000000001</v>
      </c>
      <c r="S58" s="36">
        <f t="array" ref="S58">INT(SUMPRODUCT(($D$4:$D$90=$D58)*($F$4:$F$90=$F58),$K$4:$K$90,$O$4:$O$90)/SUMPRODUCT(($D$4:$D$90=$D58)*($F$4:$F$90=$F58),$O$4:$O$90))</f>
        <v>950</v>
      </c>
      <c r="T58" s="36">
        <f t="shared" si="5"/>
        <v>15</v>
      </c>
      <c r="U58" s="38">
        <f>INT(N58*U$3)</f>
        <v>259</v>
      </c>
      <c r="V58" s="36">
        <v>259</v>
      </c>
    </row>
    <row r="59" ht="13.5" customHeight="1" spans="1:22">
      <c r="A59" s="29">
        <f>VLOOKUP(C59,[1]鱼种设计表!$B$2:$L$55,4,FALSE)</f>
        <v>2.5</v>
      </c>
      <c r="B59" s="29">
        <f>VLOOKUP(C59,[1]鱼种设计表!$B$2:$L$24,11,FALSE)</f>
        <v>500</v>
      </c>
      <c r="C59" s="8" t="str">
        <f>VLOOKUP(D59,鱼种重量参数!$A$1:$D$99,4,FALSE)</f>
        <v>弓鳍鱼</v>
      </c>
      <c r="D59" s="9" t="s">
        <v>47</v>
      </c>
      <c r="E59" s="9" t="s">
        <v>29</v>
      </c>
      <c r="F59" s="30">
        <v>2</v>
      </c>
      <c r="G59" s="31">
        <v>33</v>
      </c>
      <c r="H59" s="31">
        <v>52</v>
      </c>
      <c r="I59" s="34">
        <f t="shared" si="0"/>
        <v>583</v>
      </c>
      <c r="J59" s="34">
        <f t="shared" si="1"/>
        <v>2593</v>
      </c>
      <c r="K59" s="35">
        <f t="shared" si="2"/>
        <v>1588</v>
      </c>
      <c r="L59" s="7">
        <f>VLOOKUP($D59,鱼种重量参数!$A$1:$F$99,COLUMN(鱼种重量参数!E$1),FALSE)</f>
        <v>0.0061</v>
      </c>
      <c r="M59" s="7">
        <f>VLOOKUP($D59,鱼种重量参数!$A$1:$F$99,COLUMN(鱼种重量参数!F$1),FALSE)</f>
        <v>3.28</v>
      </c>
      <c r="N59" s="30">
        <v>600</v>
      </c>
      <c r="O59" s="30">
        <v>500</v>
      </c>
      <c r="P59" s="36">
        <f t="shared" si="3"/>
        <v>952</v>
      </c>
      <c r="Q59" s="39">
        <f t="array" ref="Q59">INT(SUMPRODUCT(($D$4:$D$90=$D59)*($F$4:$F$90=$F59),$P$4:$P$90,$O$4:$O$90)/SUMPRODUCT(($D$4:$D$90=$D59)*($F$4:$F$90=$F59),$O$4:$O$90))</f>
        <v>530</v>
      </c>
      <c r="R59" s="40">
        <f t="shared" si="4"/>
        <v>0.0600000000000001</v>
      </c>
      <c r="S59" s="36">
        <f t="array" ref="S59">INT(SUMPRODUCT(($D$4:$D$90=$D59)*($F$4:$F$90=$F59),$K$4:$K$90,$O$4:$O$90)/SUMPRODUCT(($D$4:$D$90=$D59)*($F$4:$F$90=$F59),$O$4:$O$90))</f>
        <v>950</v>
      </c>
      <c r="T59" s="36">
        <f t="shared" si="5"/>
        <v>349</v>
      </c>
      <c r="U59" s="38">
        <f>INT(N59*U$3)</f>
        <v>444</v>
      </c>
      <c r="V59" s="36">
        <v>444</v>
      </c>
    </row>
    <row r="60" ht="13.5" customHeight="1" spans="1:23">
      <c r="A60" s="29">
        <f>VLOOKUP(C60,[1]鱼种设计表!$B$2:$L$55,4,FALSE)</f>
        <v>3.3</v>
      </c>
      <c r="B60" s="29">
        <f>VLOOKUP(C60,[1]鱼种设计表!$B$2:$L$24,11,FALSE)</f>
        <v>900</v>
      </c>
      <c r="C60" s="8" t="str">
        <f>VLOOKUP(D60,鱼种重量参数!$A$1:$D$99,4,FALSE)</f>
        <v>黄鲈</v>
      </c>
      <c r="D60" s="9" t="s">
        <v>48</v>
      </c>
      <c r="E60" s="9" t="s">
        <v>28</v>
      </c>
      <c r="F60" s="30">
        <v>2</v>
      </c>
      <c r="G60" s="31">
        <v>16</v>
      </c>
      <c r="H60" s="31">
        <v>26</v>
      </c>
      <c r="I60" s="34">
        <f t="shared" si="0"/>
        <v>62</v>
      </c>
      <c r="J60" s="34">
        <f t="shared" si="1"/>
        <v>303</v>
      </c>
      <c r="K60" s="35">
        <f t="shared" si="2"/>
        <v>182.5</v>
      </c>
      <c r="L60" s="7">
        <f>VLOOKUP($D60,鱼种重量参数!$A$1:$F$99,COLUMN(鱼种重量参数!E$1),FALSE)</f>
        <v>0.0079</v>
      </c>
      <c r="M60" s="7">
        <f>VLOOKUP($D60,鱼种重量参数!$A$1:$F$99,COLUMN(鱼种重量参数!F$1),FALSE)</f>
        <v>3.24</v>
      </c>
      <c r="N60" s="30">
        <v>500</v>
      </c>
      <c r="O60" s="30">
        <v>400</v>
      </c>
      <c r="P60" s="36">
        <f t="shared" si="3"/>
        <v>91</v>
      </c>
      <c r="Q60" s="39">
        <f t="array" ref="Q60">INT(SUMPRODUCT(($D$4:$D$90=$D60)*($F$4:$F$90=$F60),$P$4:$P$90,$O$4:$O$90)/SUMPRODUCT(($D$4:$D$90=$D60)*($F$4:$F$90=$F60),$O$4:$O$90))</f>
        <v>904</v>
      </c>
      <c r="R60" s="40">
        <f t="shared" si="4"/>
        <v>0.00444444444444447</v>
      </c>
      <c r="S60" s="36">
        <f t="array" ref="S60">INT(SUMPRODUCT(($D$4:$D$90=$D60)*($F$4:$F$90=$F60),$K$4:$K$90,$O$4:$O$90)/SUMPRODUCT(($D$4:$D$90=$D60)*($F$4:$F$90=$F60),$O$4:$O$90))</f>
        <v>753</v>
      </c>
      <c r="T60" s="36">
        <f t="shared" si="5"/>
        <v>31</v>
      </c>
      <c r="U60" s="38">
        <f>INT(N60*U$3)</f>
        <v>370</v>
      </c>
      <c r="V60" s="36">
        <v>370</v>
      </c>
      <c r="W60" t="s">
        <v>49</v>
      </c>
    </row>
    <row r="61" ht="13.5" customHeight="1" spans="1:22">
      <c r="A61" s="29">
        <f>VLOOKUP(C61,[1]鱼种设计表!$B$2:$L$55,4,FALSE)</f>
        <v>3.3</v>
      </c>
      <c r="B61" s="29">
        <f>VLOOKUP(C61,[1]鱼种设计表!$B$2:$L$24,11,FALSE)</f>
        <v>900</v>
      </c>
      <c r="C61" s="8" t="str">
        <f>VLOOKUP(D61,鱼种重量参数!$A$1:$D$99,4,FALSE)</f>
        <v>黄鲈</v>
      </c>
      <c r="D61" s="9" t="s">
        <v>48</v>
      </c>
      <c r="E61" s="9" t="s">
        <v>29</v>
      </c>
      <c r="F61" s="30">
        <v>2</v>
      </c>
      <c r="G61" s="31">
        <v>26</v>
      </c>
      <c r="H61" s="31">
        <v>40</v>
      </c>
      <c r="I61" s="34">
        <f t="shared" si="0"/>
        <v>303</v>
      </c>
      <c r="J61" s="34">
        <f t="shared" si="1"/>
        <v>1225</v>
      </c>
      <c r="K61" s="35">
        <f t="shared" si="2"/>
        <v>764</v>
      </c>
      <c r="L61" s="7">
        <f>VLOOKUP($D61,鱼种重量参数!$A$1:$F$99,COLUMN(鱼种重量参数!E$1),FALSE)</f>
        <v>0.0079</v>
      </c>
      <c r="M61" s="7">
        <f>VLOOKUP($D61,鱼种重量参数!$A$1:$F$99,COLUMN(鱼种重量参数!F$1),FALSE)</f>
        <v>3.24</v>
      </c>
      <c r="N61" s="30">
        <v>1000</v>
      </c>
      <c r="O61" s="30">
        <v>400</v>
      </c>
      <c r="P61" s="36">
        <f t="shared" si="3"/>
        <v>764</v>
      </c>
      <c r="Q61" s="39">
        <f t="array" ref="Q61">INT(SUMPRODUCT(($D$4:$D$90=$D61)*($F$4:$F$90=$F61),$P$4:$P$90,$O$4:$O$90)/SUMPRODUCT(($D$4:$D$90=$D61)*($F$4:$F$90=$F61),$O$4:$O$90))</f>
        <v>904</v>
      </c>
      <c r="R61" s="40">
        <f t="shared" si="4"/>
        <v>0.00444444444444447</v>
      </c>
      <c r="S61" s="36">
        <f t="array" ref="S61">INT(SUMPRODUCT(($D$4:$D$90=$D61)*($F$4:$F$90=$F61),$K$4:$K$90,$O$4:$O$90)/SUMPRODUCT(($D$4:$D$90=$D61)*($F$4:$F$90=$F61),$O$4:$O$90))</f>
        <v>753</v>
      </c>
      <c r="T61" s="36">
        <f t="shared" si="5"/>
        <v>303</v>
      </c>
      <c r="U61" s="38">
        <f>INT(N61*U$3)</f>
        <v>740</v>
      </c>
      <c r="V61" s="36">
        <v>740</v>
      </c>
    </row>
    <row r="62" ht="13.5" customHeight="1" spans="1:22">
      <c r="A62" s="29">
        <f>VLOOKUP(C62,[1]鱼种设计表!$B$2:$L$55,4,FALSE)</f>
        <v>3.3</v>
      </c>
      <c r="B62" s="29">
        <f>VLOOKUP(C62,[1]鱼种设计表!$B$2:$L$24,11,FALSE)</f>
        <v>900</v>
      </c>
      <c r="C62" s="8" t="str">
        <f>VLOOKUP(D62,鱼种重量参数!$A$1:$D$99,4,FALSE)</f>
        <v>黄鲈</v>
      </c>
      <c r="D62" s="9" t="s">
        <v>48</v>
      </c>
      <c r="E62" s="9" t="s">
        <v>34</v>
      </c>
      <c r="F62" s="30">
        <v>2</v>
      </c>
      <c r="G62" s="31">
        <v>40</v>
      </c>
      <c r="H62" s="31">
        <v>50</v>
      </c>
      <c r="I62" s="34">
        <f t="shared" si="0"/>
        <v>1225</v>
      </c>
      <c r="J62" s="34">
        <f t="shared" si="1"/>
        <v>2525</v>
      </c>
      <c r="K62" s="35">
        <f t="shared" si="2"/>
        <v>1875</v>
      </c>
      <c r="L62" s="7">
        <f>VLOOKUP($D62,鱼种重量参数!$A$1:$F$99,COLUMN(鱼种重量参数!E$1),FALSE)</f>
        <v>0.0079</v>
      </c>
      <c r="M62" s="7">
        <f>VLOOKUP($D62,鱼种重量参数!$A$1:$F$99,COLUMN(鱼种重量参数!F$1),FALSE)</f>
        <v>3.24</v>
      </c>
      <c r="N62" s="30">
        <v>1500</v>
      </c>
      <c r="O62" s="30">
        <v>200</v>
      </c>
      <c r="P62" s="36">
        <f t="shared" si="3"/>
        <v>2812</v>
      </c>
      <c r="Q62" s="39">
        <f t="array" ref="Q62">INT(SUMPRODUCT(($D$4:$D$90=$D62)*($F$4:$F$90=$F62),$P$4:$P$90,$O$4:$O$90)/SUMPRODUCT(($D$4:$D$90=$D62)*($F$4:$F$90=$F62),$O$4:$O$90))</f>
        <v>904</v>
      </c>
      <c r="R62" s="40">
        <f t="shared" si="4"/>
        <v>0.00444444444444447</v>
      </c>
      <c r="S62" s="36">
        <f t="array" ref="S62">INT(SUMPRODUCT(($D$4:$D$90=$D62)*($F$4:$F$90=$F62),$K$4:$K$90,$O$4:$O$90)/SUMPRODUCT(($D$4:$D$90=$D62)*($F$4:$F$90=$F62),$O$4:$O$90))</f>
        <v>753</v>
      </c>
      <c r="T62" s="36">
        <f t="shared" si="5"/>
        <v>1837</v>
      </c>
      <c r="U62" s="38">
        <f>INT(N62*U$3)</f>
        <v>1110</v>
      </c>
      <c r="V62" s="36">
        <v>1110</v>
      </c>
    </row>
    <row r="63" ht="13.5" customHeight="1" spans="1:22">
      <c r="A63" s="29">
        <f>VLOOKUP(C63,[1]鱼种设计表!$B$2:$L$55,4,FALSE)</f>
        <v>3.5</v>
      </c>
      <c r="B63" s="29">
        <f>VLOOKUP(C63,[1]鱼种设计表!$B$2:$L$24,11,FALSE)</f>
        <v>1000</v>
      </c>
      <c r="C63" s="8" t="str">
        <f>VLOOKUP(D63,鱼种重量参数!$A$1:$D$99,4,FALSE)</f>
        <v>红鳍狗鱼</v>
      </c>
      <c r="D63" s="9" t="s">
        <v>50</v>
      </c>
      <c r="E63" s="9" t="s">
        <v>28</v>
      </c>
      <c r="F63" s="30">
        <v>2</v>
      </c>
      <c r="G63" s="31">
        <v>15</v>
      </c>
      <c r="H63" s="31">
        <v>22</v>
      </c>
      <c r="I63" s="34">
        <f t="shared" si="0"/>
        <v>19</v>
      </c>
      <c r="J63" s="34">
        <f t="shared" si="1"/>
        <v>61</v>
      </c>
      <c r="K63" s="35">
        <f t="shared" si="2"/>
        <v>40</v>
      </c>
      <c r="L63" s="7">
        <f>VLOOKUP($D63,鱼种重量参数!$A$1:$F$99,COLUMN(鱼种重量参数!E$1),FALSE)</f>
        <v>0.00479</v>
      </c>
      <c r="M63" s="7">
        <f>VLOOKUP($D63,鱼种重量参数!$A$1:$F$99,COLUMN(鱼种重量参数!F$1),FALSE)</f>
        <v>3.06</v>
      </c>
      <c r="N63" s="30">
        <v>3000</v>
      </c>
      <c r="O63" s="30">
        <v>400</v>
      </c>
      <c r="P63" s="36">
        <f t="shared" si="3"/>
        <v>120</v>
      </c>
      <c r="Q63" s="39">
        <f t="array" ref="Q63">INT(SUMPRODUCT(($D$4:$D$90=$D63)*($F$4:$F$90=$F63),$P$4:$P$90,$O$4:$O$90)/SUMPRODUCT(($D$4:$D$90=$D63)*($F$4:$F$90=$F63),$O$4:$O$90))</f>
        <v>1008</v>
      </c>
      <c r="R63" s="40">
        <f t="shared" si="4"/>
        <v>0.00800000000000001</v>
      </c>
      <c r="S63" s="36">
        <f t="array" ref="S63">INT(SUMPRODUCT(($D$4:$D$90=$D63)*($F$4:$F$90=$F63),$K$4:$K$90,$O$4:$O$90)/SUMPRODUCT(($D$4:$D$90=$D63)*($F$4:$F$90=$F63),$O$4:$O$90))</f>
        <v>121</v>
      </c>
      <c r="T63" s="36">
        <f t="shared" si="5"/>
        <v>57</v>
      </c>
      <c r="U63" s="38">
        <f>INT(N63*U$3)</f>
        <v>2220</v>
      </c>
      <c r="V63" s="36">
        <v>2220</v>
      </c>
    </row>
    <row r="64" ht="13.5" customHeight="1" spans="1:22">
      <c r="A64" s="29">
        <f>VLOOKUP(C64,[1]鱼种设计表!$B$2:$L$55,4,FALSE)</f>
        <v>3.5</v>
      </c>
      <c r="B64" s="29">
        <f>VLOOKUP(C64,[1]鱼种设计表!$B$2:$L$24,11,FALSE)</f>
        <v>1000</v>
      </c>
      <c r="C64" s="8" t="str">
        <f>VLOOKUP(D64,鱼种重量参数!$A$1:$D$99,4,FALSE)</f>
        <v>红鳍狗鱼</v>
      </c>
      <c r="D64" s="9" t="s">
        <v>50</v>
      </c>
      <c r="E64" s="9" t="s">
        <v>29</v>
      </c>
      <c r="F64" s="30">
        <v>2</v>
      </c>
      <c r="G64" s="31">
        <v>22</v>
      </c>
      <c r="H64" s="31">
        <v>32</v>
      </c>
      <c r="I64" s="34">
        <f t="shared" si="0"/>
        <v>61</v>
      </c>
      <c r="J64" s="34">
        <f t="shared" si="1"/>
        <v>193</v>
      </c>
      <c r="K64" s="35">
        <f t="shared" si="2"/>
        <v>127</v>
      </c>
      <c r="L64" s="7">
        <f>VLOOKUP($D64,鱼种重量参数!$A$1:$F$99,COLUMN(鱼种重量参数!E$1),FALSE)</f>
        <v>0.00479</v>
      </c>
      <c r="M64" s="7">
        <f>VLOOKUP($D64,鱼种重量参数!$A$1:$F$99,COLUMN(鱼种重量参数!F$1),FALSE)</f>
        <v>3.06</v>
      </c>
      <c r="N64" s="30">
        <v>6000</v>
      </c>
      <c r="O64" s="30">
        <v>400</v>
      </c>
      <c r="P64" s="36">
        <f t="shared" si="3"/>
        <v>762</v>
      </c>
      <c r="Q64" s="39">
        <f t="array" ref="Q64">INT(SUMPRODUCT(($D$4:$D$90=$D64)*($F$4:$F$90=$F64),$P$4:$P$90,$O$4:$O$90)/SUMPRODUCT(($D$4:$D$90=$D64)*($F$4:$F$90=$F64),$O$4:$O$90))</f>
        <v>1008</v>
      </c>
      <c r="R64" s="40">
        <f t="shared" si="4"/>
        <v>0.00800000000000001</v>
      </c>
      <c r="S64" s="36">
        <f t="array" ref="S64">INT(SUMPRODUCT(($D$4:$D$90=$D64)*($F$4:$F$90=$F64),$K$4:$K$90,$O$4:$O$90)/SUMPRODUCT(($D$4:$D$90=$D64)*($F$4:$F$90=$F64),$O$4:$O$90))</f>
        <v>121</v>
      </c>
      <c r="T64" s="36">
        <f t="shared" si="5"/>
        <v>366</v>
      </c>
      <c r="U64" s="38">
        <f>INT(N64*U$3)</f>
        <v>4440</v>
      </c>
      <c r="V64" s="36">
        <v>4440</v>
      </c>
    </row>
    <row r="65" ht="13.5" customHeight="1" spans="1:22">
      <c r="A65" s="29">
        <f>VLOOKUP(C65,[1]鱼种设计表!$B$2:$L$55,4,FALSE)</f>
        <v>3.5</v>
      </c>
      <c r="B65" s="29">
        <f>VLOOKUP(C65,[1]鱼种设计表!$B$2:$L$24,11,FALSE)</f>
        <v>1000</v>
      </c>
      <c r="C65" s="8" t="str">
        <f>VLOOKUP(D65,鱼种重量参数!$A$1:$D$99,4,FALSE)</f>
        <v>红鳍狗鱼</v>
      </c>
      <c r="D65" s="9" t="s">
        <v>50</v>
      </c>
      <c r="E65" s="9" t="s">
        <v>34</v>
      </c>
      <c r="F65" s="30">
        <v>2</v>
      </c>
      <c r="G65" s="31">
        <v>32</v>
      </c>
      <c r="H65" s="31">
        <v>39</v>
      </c>
      <c r="I65" s="34">
        <f t="shared" si="0"/>
        <v>193</v>
      </c>
      <c r="J65" s="34">
        <f t="shared" si="1"/>
        <v>353</v>
      </c>
      <c r="K65" s="35">
        <f t="shared" si="2"/>
        <v>273</v>
      </c>
      <c r="L65" s="7">
        <f>VLOOKUP($D65,鱼种重量参数!$A$1:$F$99,COLUMN(鱼种重量参数!E$1),FALSE)</f>
        <v>0.00479</v>
      </c>
      <c r="M65" s="7">
        <f>VLOOKUP($D65,鱼种重量参数!$A$1:$F$99,COLUMN(鱼种重量参数!F$1),FALSE)</f>
        <v>3.06</v>
      </c>
      <c r="N65" s="30">
        <v>12000</v>
      </c>
      <c r="O65" s="30">
        <v>200</v>
      </c>
      <c r="P65" s="36">
        <f t="shared" si="3"/>
        <v>3276</v>
      </c>
      <c r="Q65" s="39">
        <f t="array" ref="Q65">INT(SUMPRODUCT(($D$4:$D$90=$D65)*($F$4:$F$90=$F65),$P$4:$P$90,$O$4:$O$90)/SUMPRODUCT(($D$4:$D$90=$D65)*($F$4:$F$90=$F65),$O$4:$O$90))</f>
        <v>1008</v>
      </c>
      <c r="R65" s="40">
        <f t="shared" si="4"/>
        <v>0.00800000000000001</v>
      </c>
      <c r="S65" s="36">
        <f t="array" ref="S65">INT(SUMPRODUCT(($D$4:$D$90=$D65)*($F$4:$F$90=$F65),$K$4:$K$90,$O$4:$O$90)/SUMPRODUCT(($D$4:$D$90=$D65)*($F$4:$F$90=$F65),$O$4:$O$90))</f>
        <v>121</v>
      </c>
      <c r="T65" s="36">
        <f t="shared" si="5"/>
        <v>2316</v>
      </c>
      <c r="U65" s="38">
        <f>INT(N65*U$3)</f>
        <v>8880</v>
      </c>
      <c r="V65" s="36">
        <v>8880</v>
      </c>
    </row>
    <row r="66" ht="13.5" customHeight="1" spans="1:22">
      <c r="A66" s="29">
        <f>VLOOKUP(C66,[1]鱼种设计表!$B$2:$L$55,4,FALSE)</f>
        <v>4.5</v>
      </c>
      <c r="B66" s="29">
        <f>VLOOKUP(C66,[1]鱼种设计表!$B$2:$L$24,11,FALSE)</f>
        <v>2000</v>
      </c>
      <c r="C66" s="8" t="str">
        <f>VLOOKUP(D66,鱼种重量参数!$A$1:$D$99,4,FALSE)</f>
        <v>斑点黑鲈</v>
      </c>
      <c r="D66" s="9" t="s">
        <v>51</v>
      </c>
      <c r="E66" s="9" t="s">
        <v>28</v>
      </c>
      <c r="F66" s="30">
        <v>2</v>
      </c>
      <c r="G66" s="31">
        <v>23</v>
      </c>
      <c r="H66" s="31">
        <v>30</v>
      </c>
      <c r="I66" s="34">
        <f t="shared" si="0"/>
        <v>145</v>
      </c>
      <c r="J66" s="34">
        <f t="shared" si="1"/>
        <v>342</v>
      </c>
      <c r="K66" s="35">
        <f t="shared" si="2"/>
        <v>243.5</v>
      </c>
      <c r="L66" s="7">
        <f>VLOOKUP($D66,鱼种重量参数!$A$1:$F$99,COLUMN(鱼种重量参数!E$1),FALSE)</f>
        <v>0.006</v>
      </c>
      <c r="M66" s="7">
        <f>VLOOKUP($D66,鱼种重量参数!$A$1:$F$99,COLUMN(鱼种重量参数!F$1),FALSE)</f>
        <v>3.22</v>
      </c>
      <c r="N66" s="30">
        <v>500</v>
      </c>
      <c r="O66" s="30">
        <v>363</v>
      </c>
      <c r="P66" s="36">
        <f t="shared" si="3"/>
        <v>121</v>
      </c>
      <c r="Q66" s="39">
        <f t="array" ref="Q66">INT(SUMPRODUCT(($D$4:$D$90=$D66)*($F$4:$F$90=$F66),$P$4:$P$90,$O$4:$O$90)/SUMPRODUCT(($D$4:$D$90=$D66)*($F$4:$F$90=$F66),$O$4:$O$90))</f>
        <v>1998</v>
      </c>
      <c r="R66" s="40">
        <f t="shared" si="4"/>
        <v>-0.001</v>
      </c>
      <c r="S66" s="36">
        <f t="array" ref="S66">INT(SUMPRODUCT(($D$4:$D$90=$D66)*($F$4:$F$90=$F66),$K$4:$K$90,$O$4:$O$90)/SUMPRODUCT(($D$4:$D$90=$D66)*($F$4:$F$90=$F66),$O$4:$O$90))</f>
        <v>1044</v>
      </c>
      <c r="T66" s="36">
        <f t="shared" si="5"/>
        <v>72</v>
      </c>
      <c r="U66" s="38">
        <f>INT(N66*U$3)</f>
        <v>370</v>
      </c>
      <c r="V66" s="36">
        <v>370</v>
      </c>
    </row>
    <row r="67" ht="13.5" customHeight="1" spans="1:22">
      <c r="A67" s="29">
        <f>VLOOKUP(C67,[1]鱼种设计表!$B$2:$L$55,4,FALSE)</f>
        <v>4.5</v>
      </c>
      <c r="B67" s="29">
        <f>VLOOKUP(C67,[1]鱼种设计表!$B$2:$L$24,11,FALSE)</f>
        <v>2000</v>
      </c>
      <c r="C67" s="8" t="str">
        <f>VLOOKUP(D67,鱼种重量参数!$A$1:$D$99,4,FALSE)</f>
        <v>斑点黑鲈</v>
      </c>
      <c r="D67" s="9" t="s">
        <v>51</v>
      </c>
      <c r="E67" s="9" t="s">
        <v>29</v>
      </c>
      <c r="F67" s="30">
        <v>2</v>
      </c>
      <c r="G67" s="31">
        <v>30</v>
      </c>
      <c r="H67" s="31">
        <v>46</v>
      </c>
      <c r="I67" s="34">
        <f t="shared" si="0"/>
        <v>342</v>
      </c>
      <c r="J67" s="34">
        <f t="shared" si="1"/>
        <v>1355</v>
      </c>
      <c r="K67" s="35">
        <f t="shared" si="2"/>
        <v>848.5</v>
      </c>
      <c r="L67" s="7">
        <f>VLOOKUP($D67,鱼种重量参数!$A$1:$F$99,COLUMN(鱼种重量参数!E$1),FALSE)</f>
        <v>0.006</v>
      </c>
      <c r="M67" s="7">
        <f>VLOOKUP($D67,鱼种重量参数!$A$1:$F$99,COLUMN(鱼种重量参数!F$1),FALSE)</f>
        <v>3.22</v>
      </c>
      <c r="N67" s="30">
        <v>1000</v>
      </c>
      <c r="O67" s="30">
        <v>363</v>
      </c>
      <c r="P67" s="36">
        <f t="shared" si="3"/>
        <v>848</v>
      </c>
      <c r="Q67" s="39">
        <f t="array" ref="Q67">INT(SUMPRODUCT(($D$4:$D$90=$D67)*($F$4:$F$90=$F67),$P$4:$P$90,$O$4:$O$90)/SUMPRODUCT(($D$4:$D$90=$D67)*($F$4:$F$90=$F67),$O$4:$O$90))</f>
        <v>1998</v>
      </c>
      <c r="R67" s="40">
        <f t="shared" si="4"/>
        <v>-0.001</v>
      </c>
      <c r="S67" s="36">
        <f t="array" ref="S67">INT(SUMPRODUCT(($D$4:$D$90=$D67)*($F$4:$F$90=$F67),$K$4:$K$90,$O$4:$O$90)/SUMPRODUCT(($D$4:$D$90=$D67)*($F$4:$F$90=$F67),$O$4:$O$90))</f>
        <v>1044</v>
      </c>
      <c r="T67" s="36">
        <f t="shared" si="5"/>
        <v>342</v>
      </c>
      <c r="U67" s="38">
        <f>INT(N67*U$3)</f>
        <v>740</v>
      </c>
      <c r="V67" s="36">
        <v>740</v>
      </c>
    </row>
    <row r="68" ht="13.5" customHeight="1" spans="1:22">
      <c r="A68" s="29">
        <f>VLOOKUP(C68,[1]鱼种设计表!$B$2:$L$55,4,FALSE)</f>
        <v>4.5</v>
      </c>
      <c r="B68" s="29">
        <f>VLOOKUP(C68,[1]鱼种设计表!$B$2:$L$24,11,FALSE)</f>
        <v>2000</v>
      </c>
      <c r="C68" s="8" t="str">
        <f>VLOOKUP(D68,鱼种重量参数!$A$1:$D$99,4,FALSE)</f>
        <v>斑点黑鲈</v>
      </c>
      <c r="D68" s="9" t="s">
        <v>51</v>
      </c>
      <c r="E68" s="9" t="s">
        <v>34</v>
      </c>
      <c r="F68" s="30">
        <v>2</v>
      </c>
      <c r="G68" s="31">
        <v>46</v>
      </c>
      <c r="H68" s="31">
        <v>56</v>
      </c>
      <c r="I68" s="34">
        <f t="shared" ref="I68:I84" si="6">INT($L68*POWER(G68,$M68))</f>
        <v>1355</v>
      </c>
      <c r="J68" s="34">
        <f t="shared" ref="J68:J84" si="7">INT($L68*POWER(H68,$M68))</f>
        <v>2554</v>
      </c>
      <c r="K68" s="35">
        <f t="shared" ref="K68:K84" si="8">(I68+J68)/2</f>
        <v>1954.5</v>
      </c>
      <c r="L68" s="7">
        <f>VLOOKUP($D68,鱼种重量参数!$A$1:$F$99,COLUMN(鱼种重量参数!E$1),FALSE)</f>
        <v>0.006</v>
      </c>
      <c r="M68" s="7">
        <f>VLOOKUP($D68,鱼种重量参数!$A$1:$F$99,COLUMN(鱼种重量参数!F$1),FALSE)</f>
        <v>3.22</v>
      </c>
      <c r="N68" s="30">
        <v>2000</v>
      </c>
      <c r="O68" s="30">
        <v>181</v>
      </c>
      <c r="P68" s="36">
        <f t="shared" ref="P68:P84" si="9">INT(K68*N68/1000)</f>
        <v>3909</v>
      </c>
      <c r="Q68" s="39">
        <f t="array" ref="Q68">INT(SUMPRODUCT(($D$4:$D$90=$D68)*($F$4:$F$90=$F68),$P$4:$P$90,$O$4:$O$90)/SUMPRODUCT(($D$4:$D$90=$D68)*($F$4:$F$90=$F68),$O$4:$O$90))</f>
        <v>1998</v>
      </c>
      <c r="R68" s="40">
        <f t="shared" ref="R68:R84" si="10">(Q68/B68-1)</f>
        <v>-0.001</v>
      </c>
      <c r="S68" s="36">
        <f t="array" ref="S68">INT(SUMPRODUCT(($D$4:$D$90=$D68)*($F$4:$F$90=$F68),$K$4:$K$90,$O$4:$O$90)/SUMPRODUCT(($D$4:$D$90=$D68)*($F$4:$F$90=$F68),$O$4:$O$90))</f>
        <v>1044</v>
      </c>
      <c r="T68" s="36">
        <f t="shared" ref="T68:T84" si="11">INT(I68*N68/1000)</f>
        <v>2710</v>
      </c>
      <c r="U68" s="38">
        <f>INT(N68*U$3)</f>
        <v>1480</v>
      </c>
      <c r="V68" s="36">
        <v>1480</v>
      </c>
    </row>
    <row r="69" ht="13.5" customHeight="1" spans="1:22">
      <c r="A69" s="29">
        <f>VLOOKUP(C69,[1]鱼种设计表!$B$2:$L$55,4,FALSE)</f>
        <v>4.5</v>
      </c>
      <c r="B69" s="29">
        <f>VLOOKUP(C69,[1]鱼种设计表!$B$2:$L$99,11,FALSE)</f>
        <v>2000</v>
      </c>
      <c r="C69" s="8" t="str">
        <f>VLOOKUP(D69,鱼种重量参数!$A$1:$D$99,4,FALSE)</f>
        <v>斑点黑鲈</v>
      </c>
      <c r="D69" s="9" t="s">
        <v>51</v>
      </c>
      <c r="E69" s="9" t="s">
        <v>37</v>
      </c>
      <c r="F69" s="30">
        <v>2</v>
      </c>
      <c r="G69" s="31">
        <v>56</v>
      </c>
      <c r="H69" s="31">
        <v>64</v>
      </c>
      <c r="I69" s="34">
        <f t="shared" si="6"/>
        <v>2554</v>
      </c>
      <c r="J69" s="34">
        <f t="shared" si="7"/>
        <v>3926</v>
      </c>
      <c r="K69" s="35">
        <f t="shared" si="8"/>
        <v>3240</v>
      </c>
      <c r="L69" s="7">
        <f>VLOOKUP($D69,鱼种重量参数!$A$1:$F$99,COLUMN(鱼种重量参数!E$1),FALSE)</f>
        <v>0.006</v>
      </c>
      <c r="M69" s="7">
        <f>VLOOKUP($D69,鱼种重量参数!$A$1:$F$99,COLUMN(鱼种重量参数!F$1),FALSE)</f>
        <v>3.22</v>
      </c>
      <c r="N69" s="30">
        <v>3200</v>
      </c>
      <c r="O69" s="30">
        <v>90</v>
      </c>
      <c r="P69" s="36">
        <f t="shared" si="9"/>
        <v>10368</v>
      </c>
      <c r="Q69" s="39">
        <f t="array" ref="Q69">INT(SUMPRODUCT(($D$4:$D$90=$D69)*($F$4:$F$90=$F69),$P$4:$P$90,$O$4:$O$90)/SUMPRODUCT(($D$4:$D$90=$D69)*($F$4:$F$90=$F69),$O$4:$O$90))</f>
        <v>1998</v>
      </c>
      <c r="R69" s="40">
        <f t="shared" si="10"/>
        <v>-0.001</v>
      </c>
      <c r="S69" s="36">
        <f t="array" ref="S69">INT(SUMPRODUCT(($D$4:$D$90=$D69)*($F$4:$F$90=$F69),$K$4:$K$90,$O$4:$O$90)/SUMPRODUCT(($D$4:$D$90=$D69)*($F$4:$F$90=$F69),$O$4:$O$90))</f>
        <v>1044</v>
      </c>
      <c r="T69" s="36">
        <f t="shared" si="11"/>
        <v>8172</v>
      </c>
      <c r="U69" s="38">
        <f>INT(N69*U$3)</f>
        <v>2368</v>
      </c>
      <c r="V69" s="36">
        <v>2368</v>
      </c>
    </row>
    <row r="70" ht="13.5" customHeight="1" spans="1:22">
      <c r="A70" s="29">
        <f>VLOOKUP(C70,[1]鱼种设计表!$B$2:$L$55,4,FALSE)</f>
        <v>5</v>
      </c>
      <c r="B70" s="29">
        <f>VLOOKUP(C70,[1]鱼种设计表!$B$2:$L$99,11,FALSE)</f>
        <v>3200</v>
      </c>
      <c r="C70" s="8" t="str">
        <f>VLOOKUP(D70,鱼种重量参数!$A$1:$D$99,4,FALSE)</f>
        <v>大口黑鲈</v>
      </c>
      <c r="D70" s="9" t="s">
        <v>52</v>
      </c>
      <c r="E70" s="9" t="s">
        <v>28</v>
      </c>
      <c r="F70" s="30">
        <v>2</v>
      </c>
      <c r="G70" s="31">
        <v>33</v>
      </c>
      <c r="H70" s="31">
        <v>40</v>
      </c>
      <c r="I70" s="34">
        <f t="shared" si="6"/>
        <v>433</v>
      </c>
      <c r="J70" s="34">
        <f t="shared" si="7"/>
        <v>807</v>
      </c>
      <c r="K70" s="35">
        <f t="shared" si="8"/>
        <v>620</v>
      </c>
      <c r="L70" s="7">
        <f>VLOOKUP($D70,鱼种重量参数!$A$1:$F$99,COLUMN(鱼种重量参数!E$1),FALSE)</f>
        <v>0.0054</v>
      </c>
      <c r="M70" s="7">
        <f>VLOOKUP($D70,鱼种重量参数!$A$1:$F$99,COLUMN(鱼种重量参数!F$1),FALSE)</f>
        <v>3.23</v>
      </c>
      <c r="N70" s="30">
        <v>200</v>
      </c>
      <c r="O70" s="30">
        <v>350</v>
      </c>
      <c r="P70" s="36">
        <f t="shared" si="9"/>
        <v>124</v>
      </c>
      <c r="Q70" s="39">
        <f t="array" ref="Q70">INT(SUMPRODUCT(($D$4:$D$90=$D70)*($F$4:$F$90=$F70),$P$4:$P$90,$O$4:$O$90)/SUMPRODUCT(($D$4:$D$90=$D70)*($F$4:$F$90=$F70),$O$4:$O$90))</f>
        <v>3314</v>
      </c>
      <c r="R70" s="40">
        <f t="shared" si="10"/>
        <v>0.035625</v>
      </c>
      <c r="S70" s="36">
        <f t="array" ref="S70">INT(SUMPRODUCT(($D$4:$D$90=$D70)*($F$4:$F$90=$F70),$K$4:$K$90,$O$4:$O$90)/SUMPRODUCT(($D$4:$D$90=$D70)*($F$4:$F$90=$F70),$O$4:$O$90))</f>
        <v>2971</v>
      </c>
      <c r="T70" s="36">
        <f t="shared" si="11"/>
        <v>86</v>
      </c>
      <c r="U70" s="38">
        <f>INT(N70*U$3)</f>
        <v>148</v>
      </c>
      <c r="V70" s="36">
        <v>148</v>
      </c>
    </row>
    <row r="71" ht="13.5" customHeight="1" spans="1:22">
      <c r="A71" s="29">
        <f>VLOOKUP(C71,[1]鱼种设计表!$B$2:$L$55,4,FALSE)</f>
        <v>5</v>
      </c>
      <c r="B71" s="29">
        <f>VLOOKUP(C71,[1]鱼种设计表!$B$2:$L$99,11,FALSE)</f>
        <v>3200</v>
      </c>
      <c r="C71" s="8" t="str">
        <f>VLOOKUP(D71,鱼种重量参数!$A$1:$D$99,4,FALSE)</f>
        <v>大口黑鲈</v>
      </c>
      <c r="D71" s="9" t="s">
        <v>52</v>
      </c>
      <c r="E71" s="9" t="s">
        <v>29</v>
      </c>
      <c r="F71" s="30">
        <v>2</v>
      </c>
      <c r="G71" s="31">
        <v>40</v>
      </c>
      <c r="H71" s="31">
        <v>61</v>
      </c>
      <c r="I71" s="34">
        <f t="shared" si="6"/>
        <v>807</v>
      </c>
      <c r="J71" s="34">
        <f t="shared" si="7"/>
        <v>3155</v>
      </c>
      <c r="K71" s="35">
        <f t="shared" si="8"/>
        <v>1981</v>
      </c>
      <c r="L71" s="7">
        <f>VLOOKUP($D71,鱼种重量参数!$A$1:$F$99,COLUMN(鱼种重量参数!E$1),FALSE)</f>
        <v>0.0054</v>
      </c>
      <c r="M71" s="7">
        <f>VLOOKUP($D71,鱼种重量参数!$A$1:$F$99,COLUMN(鱼种重量参数!F$1),FALSE)</f>
        <v>3.23</v>
      </c>
      <c r="N71" s="30">
        <v>400</v>
      </c>
      <c r="O71" s="30">
        <v>350</v>
      </c>
      <c r="P71" s="36">
        <f t="shared" si="9"/>
        <v>792</v>
      </c>
      <c r="Q71" s="39">
        <f t="array" ref="Q71">INT(SUMPRODUCT(($D$4:$D$90=$D71)*($F$4:$F$90=$F71),$P$4:$P$90,$O$4:$O$90)/SUMPRODUCT(($D$4:$D$90=$D71)*($F$4:$F$90=$F71),$O$4:$O$90))</f>
        <v>3314</v>
      </c>
      <c r="R71" s="40">
        <f t="shared" si="10"/>
        <v>0.035625</v>
      </c>
      <c r="S71" s="36">
        <f t="array" ref="S71">INT(SUMPRODUCT(($D$4:$D$90=$D71)*($F$4:$F$90=$F71),$K$4:$K$90,$O$4:$O$90)/SUMPRODUCT(($D$4:$D$90=$D71)*($F$4:$F$90=$F71),$O$4:$O$90))</f>
        <v>2971</v>
      </c>
      <c r="T71" s="36">
        <f t="shared" si="11"/>
        <v>322</v>
      </c>
      <c r="U71" s="38">
        <f>INT(N71*U$3)</f>
        <v>296</v>
      </c>
      <c r="V71" s="36">
        <v>296</v>
      </c>
    </row>
    <row r="72" ht="13.5" customHeight="1" spans="1:22">
      <c r="A72" s="29">
        <f>VLOOKUP(C72,[1]鱼种设计表!$B$2:$L$55,4,FALSE)</f>
        <v>5</v>
      </c>
      <c r="B72" s="29">
        <f>VLOOKUP(C72,[1]鱼种设计表!$B$2:$L$99,11,FALSE)</f>
        <v>3200</v>
      </c>
      <c r="C72" s="8" t="str">
        <f>VLOOKUP(D72,鱼种重量参数!$A$1:$D$99,4,FALSE)</f>
        <v>大口黑鲈</v>
      </c>
      <c r="D72" s="9" t="s">
        <v>52</v>
      </c>
      <c r="E72" s="9" t="s">
        <v>34</v>
      </c>
      <c r="F72" s="30">
        <v>2</v>
      </c>
      <c r="G72" s="31">
        <v>61</v>
      </c>
      <c r="H72" s="31">
        <v>77</v>
      </c>
      <c r="I72" s="34">
        <f t="shared" si="6"/>
        <v>3155</v>
      </c>
      <c r="J72" s="34">
        <f t="shared" si="7"/>
        <v>6695</v>
      </c>
      <c r="K72" s="35">
        <f t="shared" si="8"/>
        <v>4925</v>
      </c>
      <c r="L72" s="7">
        <f>VLOOKUP($D72,鱼种重量参数!$A$1:$F$99,COLUMN(鱼种重量参数!E$1),FALSE)</f>
        <v>0.0054</v>
      </c>
      <c r="M72" s="7">
        <f>VLOOKUP($D72,鱼种重量参数!$A$1:$F$99,COLUMN(鱼种重量参数!F$1),FALSE)</f>
        <v>3.23</v>
      </c>
      <c r="N72" s="30">
        <v>800</v>
      </c>
      <c r="O72" s="30">
        <v>175</v>
      </c>
      <c r="P72" s="36">
        <f t="shared" si="9"/>
        <v>3940</v>
      </c>
      <c r="Q72" s="39">
        <f t="array" ref="Q72">INT(SUMPRODUCT(($D$4:$D$90=$D72)*($F$4:$F$90=$F72),$P$4:$P$90,$O$4:$O$90)/SUMPRODUCT(($D$4:$D$90=$D72)*($F$4:$F$90=$F72),$O$4:$O$90))</f>
        <v>3314</v>
      </c>
      <c r="R72" s="40">
        <f t="shared" si="10"/>
        <v>0.035625</v>
      </c>
      <c r="S72" s="36">
        <f t="array" ref="S72">INT(SUMPRODUCT(($D$4:$D$90=$D72)*($F$4:$F$90=$F72),$K$4:$K$90,$O$4:$O$90)/SUMPRODUCT(($D$4:$D$90=$D72)*($F$4:$F$90=$F72),$O$4:$O$90))</f>
        <v>2971</v>
      </c>
      <c r="T72" s="36">
        <f t="shared" si="11"/>
        <v>2524</v>
      </c>
      <c r="U72" s="38">
        <f>INT(N72*U$3)</f>
        <v>592</v>
      </c>
      <c r="V72" s="36">
        <v>592</v>
      </c>
    </row>
    <row r="73" ht="13.5" customHeight="1" spans="1:22">
      <c r="A73" s="29">
        <f>VLOOKUP(C73,[1]鱼种设计表!$B$2:$L$55,4,FALSE)</f>
        <v>5</v>
      </c>
      <c r="B73" s="29">
        <f>VLOOKUP(C73,[1]鱼种设计表!$B$2:$L$99,11,FALSE)</f>
        <v>3200</v>
      </c>
      <c r="C73" s="8" t="str">
        <f>VLOOKUP(D73,鱼种重量参数!$A$1:$D$99,4,FALSE)</f>
        <v>大口黑鲈</v>
      </c>
      <c r="D73" s="9" t="s">
        <v>52</v>
      </c>
      <c r="E73" s="9" t="s">
        <v>37</v>
      </c>
      <c r="F73" s="30">
        <v>2</v>
      </c>
      <c r="G73" s="31">
        <v>77</v>
      </c>
      <c r="H73" s="31">
        <v>89</v>
      </c>
      <c r="I73" s="34">
        <f t="shared" si="6"/>
        <v>6695</v>
      </c>
      <c r="J73" s="34">
        <f t="shared" si="7"/>
        <v>10688</v>
      </c>
      <c r="K73" s="35">
        <f t="shared" si="8"/>
        <v>8691.5</v>
      </c>
      <c r="L73" s="7">
        <f>VLOOKUP($D73,鱼种重量参数!$A$1:$F$99,COLUMN(鱼种重量参数!E$1),FALSE)</f>
        <v>0.0054</v>
      </c>
      <c r="M73" s="7">
        <f>VLOOKUP($D73,鱼种重量参数!$A$1:$F$99,COLUMN(鱼种重量参数!F$1),FALSE)</f>
        <v>3.23</v>
      </c>
      <c r="N73" s="30">
        <v>1600</v>
      </c>
      <c r="O73" s="30">
        <v>87</v>
      </c>
      <c r="P73" s="36">
        <f t="shared" si="9"/>
        <v>13906</v>
      </c>
      <c r="Q73" s="39">
        <f t="array" ref="Q73">INT(SUMPRODUCT(($D$4:$D$90=$D73)*($F$4:$F$90=$F73),$P$4:$P$90,$O$4:$O$90)/SUMPRODUCT(($D$4:$D$90=$D73)*($F$4:$F$90=$F73),$O$4:$O$90))</f>
        <v>3314</v>
      </c>
      <c r="R73" s="40">
        <f t="shared" si="10"/>
        <v>0.035625</v>
      </c>
      <c r="S73" s="36">
        <f t="array" ref="S73">INT(SUMPRODUCT(($D$4:$D$90=$D73)*($F$4:$F$90=$F73),$K$4:$K$90,$O$4:$O$90)/SUMPRODUCT(($D$4:$D$90=$D73)*($F$4:$F$90=$F73),$O$4:$O$90))</f>
        <v>2971</v>
      </c>
      <c r="T73" s="36">
        <f t="shared" si="11"/>
        <v>10712</v>
      </c>
      <c r="U73" s="38">
        <f>INT(N73*U$3)</f>
        <v>1184</v>
      </c>
      <c r="V73" s="36">
        <v>1184</v>
      </c>
    </row>
    <row r="74" ht="13.5" customHeight="1" spans="1:22">
      <c r="A74" s="29">
        <f>VLOOKUP(C74,[1]鱼种设计表!$B$2:$L$55,4,FALSE)</f>
        <v>5</v>
      </c>
      <c r="B74" s="29">
        <f>VLOOKUP(C74,[1]鱼种设计表!$B$2:$L$99,11,FALSE)</f>
        <v>3200</v>
      </c>
      <c r="C74" s="8" t="str">
        <f>VLOOKUP(D74,鱼种重量参数!$A$1:$D$99,4,FALSE)</f>
        <v>大口黑鲈</v>
      </c>
      <c r="D74" s="9" t="s">
        <v>52</v>
      </c>
      <c r="E74" s="9" t="s">
        <v>43</v>
      </c>
      <c r="F74" s="30">
        <v>2</v>
      </c>
      <c r="G74" s="31">
        <v>89</v>
      </c>
      <c r="H74" s="31">
        <v>97</v>
      </c>
      <c r="I74" s="34">
        <f t="shared" si="6"/>
        <v>10688</v>
      </c>
      <c r="J74" s="34">
        <f t="shared" si="7"/>
        <v>14114</v>
      </c>
      <c r="K74" s="35">
        <f t="shared" si="8"/>
        <v>12401</v>
      </c>
      <c r="L74" s="7">
        <f>VLOOKUP($D74,鱼种重量参数!$A$1:$F$99,COLUMN(鱼种重量参数!E$1),FALSE)</f>
        <v>0.0054</v>
      </c>
      <c r="M74" s="7">
        <f>VLOOKUP($D74,鱼种重量参数!$A$1:$F$99,COLUMN(鱼种重量参数!F$1),FALSE)</f>
        <v>3.23</v>
      </c>
      <c r="N74" s="30">
        <v>2500</v>
      </c>
      <c r="O74" s="30">
        <v>35</v>
      </c>
      <c r="P74" s="36">
        <f t="shared" si="9"/>
        <v>31002</v>
      </c>
      <c r="Q74" s="39">
        <f t="array" ref="Q74">INT(SUMPRODUCT(($D$4:$D$90=$D74)*($F$4:$F$90=$F74),$P$4:$P$90,$O$4:$O$90)/SUMPRODUCT(($D$4:$D$90=$D74)*($F$4:$F$90=$F74),$O$4:$O$90))</f>
        <v>3314</v>
      </c>
      <c r="R74" s="40">
        <f t="shared" si="10"/>
        <v>0.035625</v>
      </c>
      <c r="S74" s="36">
        <f t="array" ref="S74">INT(SUMPRODUCT(($D$4:$D$90=$D74)*($F$4:$F$90=$F74),$K$4:$K$90,$O$4:$O$90)/SUMPRODUCT(($D$4:$D$90=$D74)*($F$4:$F$90=$F74),$O$4:$O$90))</f>
        <v>2971</v>
      </c>
      <c r="T74" s="36">
        <f t="shared" si="11"/>
        <v>26720</v>
      </c>
      <c r="U74" s="38">
        <f>INT(N74*U$3)</f>
        <v>1850</v>
      </c>
      <c r="V74" s="36">
        <v>1850</v>
      </c>
    </row>
    <row r="75" ht="13.5" customHeight="1" spans="1:22">
      <c r="A75" s="29">
        <f>VLOOKUP(C75,[1]鱼种设计表!$B$2:$L$55,4,FALSE)</f>
        <v>5</v>
      </c>
      <c r="B75" s="29">
        <f>VLOOKUP(C75,[1]鱼种设计表!$B$2:$L$99,11,FALSE)</f>
        <v>3200</v>
      </c>
      <c r="C75" s="8" t="str">
        <f>VLOOKUP(D75,鱼种重量参数!$A$1:$D$99,4,FALSE)</f>
        <v>美洲鳗鲡</v>
      </c>
      <c r="D75" s="9" t="s">
        <v>53</v>
      </c>
      <c r="E75" s="9" t="s">
        <v>28</v>
      </c>
      <c r="F75" s="30">
        <v>2</v>
      </c>
      <c r="G75" s="31">
        <v>35</v>
      </c>
      <c r="H75" s="31">
        <v>60</v>
      </c>
      <c r="I75" s="34">
        <f t="shared" si="6"/>
        <v>220</v>
      </c>
      <c r="J75" s="34">
        <f t="shared" si="7"/>
        <v>1445</v>
      </c>
      <c r="K75" s="35">
        <f t="shared" si="8"/>
        <v>832.5</v>
      </c>
      <c r="L75" s="7">
        <f>VLOOKUP($D75,鱼种重量参数!$A$1:$F$99,COLUMN(鱼种重量参数!E$1),FALSE)</f>
        <v>0.0009</v>
      </c>
      <c r="M75" s="7">
        <f>VLOOKUP($D75,鱼种重量参数!$A$1:$F$99,COLUMN(鱼种重量参数!F$1),FALSE)</f>
        <v>3.49</v>
      </c>
      <c r="N75" s="30">
        <v>150</v>
      </c>
      <c r="O75" s="30">
        <v>350</v>
      </c>
      <c r="P75" s="36">
        <f t="shared" si="9"/>
        <v>124</v>
      </c>
      <c r="Q75" s="39">
        <f t="array" ref="Q75">INT(SUMPRODUCT(($D$4:$D$90=$D75)*($F$4:$F$90=$F75),$P$4:$P$90,$O$4:$O$90)/SUMPRODUCT(($D$4:$D$90=$D75)*($F$4:$F$90=$F75),$O$4:$O$90))</f>
        <v>3211</v>
      </c>
      <c r="R75" s="40">
        <f t="shared" si="10"/>
        <v>0.00343749999999998</v>
      </c>
      <c r="S75" s="36">
        <f t="array" ref="S75">INT(SUMPRODUCT(($D$4:$D$90=$D75)*($F$4:$F$90=$F75),$K$4:$K$90,$O$4:$O$90)/SUMPRODUCT(($D$4:$D$90=$D75)*($F$4:$F$90=$F75),$O$4:$O$90))</f>
        <v>6684</v>
      </c>
      <c r="T75" s="36">
        <f t="shared" si="11"/>
        <v>33</v>
      </c>
      <c r="U75" s="38">
        <f>INT(N75*U$3)</f>
        <v>111</v>
      </c>
      <c r="V75" s="36">
        <v>111</v>
      </c>
    </row>
    <row r="76" ht="13.5" customHeight="1" spans="1:22">
      <c r="A76" s="29">
        <f>VLOOKUP(C76,[1]鱼种设计表!$B$2:$L$55,4,FALSE)</f>
        <v>5</v>
      </c>
      <c r="B76" s="29">
        <f>VLOOKUP(C76,[1]鱼种设计表!$B$2:$L$99,11,FALSE)</f>
        <v>3200</v>
      </c>
      <c r="C76" s="8" t="str">
        <f>VLOOKUP(D76,鱼种重量参数!$A$1:$D$99,4,FALSE)</f>
        <v>美洲鳗鲡</v>
      </c>
      <c r="D76" s="9" t="s">
        <v>53</v>
      </c>
      <c r="E76" s="9" t="s">
        <v>29</v>
      </c>
      <c r="F76" s="30">
        <v>2</v>
      </c>
      <c r="G76" s="31">
        <v>60</v>
      </c>
      <c r="H76" s="31">
        <v>93</v>
      </c>
      <c r="I76" s="34">
        <f t="shared" si="6"/>
        <v>1445</v>
      </c>
      <c r="J76" s="34">
        <f t="shared" si="7"/>
        <v>6671</v>
      </c>
      <c r="K76" s="35">
        <f t="shared" si="8"/>
        <v>4058</v>
      </c>
      <c r="L76" s="7">
        <f>VLOOKUP($D76,鱼种重量参数!$A$1:$F$99,COLUMN(鱼种重量参数!E$1),FALSE)</f>
        <v>0.0009</v>
      </c>
      <c r="M76" s="7">
        <f>VLOOKUP($D76,鱼种重量参数!$A$1:$F$99,COLUMN(鱼种重量参数!F$1),FALSE)</f>
        <v>3.49</v>
      </c>
      <c r="N76" s="30">
        <v>250</v>
      </c>
      <c r="O76" s="30">
        <v>350</v>
      </c>
      <c r="P76" s="36">
        <f t="shared" si="9"/>
        <v>1014</v>
      </c>
      <c r="Q76" s="39">
        <f t="array" ref="Q76">INT(SUMPRODUCT(($D$4:$D$90=$D76)*($F$4:$F$90=$F76),$P$4:$P$90,$O$4:$O$90)/SUMPRODUCT(($D$4:$D$90=$D76)*($F$4:$F$90=$F76),$O$4:$O$90))</f>
        <v>3211</v>
      </c>
      <c r="R76" s="40">
        <f t="shared" si="10"/>
        <v>0.00343749999999998</v>
      </c>
      <c r="S76" s="36">
        <f t="array" ref="S76">INT(SUMPRODUCT(($D$4:$D$90=$D76)*($F$4:$F$90=$F76),$K$4:$K$90,$O$4:$O$90)/SUMPRODUCT(($D$4:$D$90=$D76)*($F$4:$F$90=$F76),$O$4:$O$90))</f>
        <v>6684</v>
      </c>
      <c r="T76" s="36">
        <f t="shared" si="11"/>
        <v>361</v>
      </c>
      <c r="U76" s="38">
        <f>INT(N76*U$3)</f>
        <v>185</v>
      </c>
      <c r="V76" s="36">
        <v>185</v>
      </c>
    </row>
    <row r="77" ht="13.5" customHeight="1" spans="1:22">
      <c r="A77" s="29">
        <f>VLOOKUP(C77,[1]鱼种设计表!$B$2:$L$55,4,FALSE)</f>
        <v>5</v>
      </c>
      <c r="B77" s="29">
        <f>VLOOKUP(C77,[1]鱼种设计表!$B$2:$L$99,11,FALSE)</f>
        <v>3200</v>
      </c>
      <c r="C77" s="8" t="str">
        <f>VLOOKUP(D77,鱼种重量参数!$A$1:$D$99,4,FALSE)</f>
        <v>美洲鳗鲡</v>
      </c>
      <c r="D77" s="9" t="s">
        <v>53</v>
      </c>
      <c r="E77" s="9" t="s">
        <v>34</v>
      </c>
      <c r="F77" s="30">
        <v>2</v>
      </c>
      <c r="G77" s="31">
        <v>93</v>
      </c>
      <c r="H77" s="31">
        <v>119</v>
      </c>
      <c r="I77" s="34">
        <f t="shared" si="6"/>
        <v>6671</v>
      </c>
      <c r="J77" s="34">
        <f t="shared" si="7"/>
        <v>15772</v>
      </c>
      <c r="K77" s="35">
        <f t="shared" si="8"/>
        <v>11221.5</v>
      </c>
      <c r="L77" s="7">
        <f>VLOOKUP($D77,鱼种重量参数!$A$1:$F$99,COLUMN(鱼种重量参数!E$1),FALSE)</f>
        <v>0.0009</v>
      </c>
      <c r="M77" s="7">
        <f>VLOOKUP($D77,鱼种重量参数!$A$1:$F$99,COLUMN(鱼种重量参数!F$1),FALSE)</f>
        <v>3.49</v>
      </c>
      <c r="N77" s="30">
        <v>400</v>
      </c>
      <c r="O77" s="30">
        <v>175</v>
      </c>
      <c r="P77" s="36">
        <f t="shared" si="9"/>
        <v>4488</v>
      </c>
      <c r="Q77" s="39">
        <f t="array" ref="Q77">INT(SUMPRODUCT(($D$4:$D$90=$D77)*($F$4:$F$90=$F77),$P$4:$P$90,$O$4:$O$90)/SUMPRODUCT(($D$4:$D$90=$D77)*($F$4:$F$90=$F77),$O$4:$O$90))</f>
        <v>3211</v>
      </c>
      <c r="R77" s="40">
        <f t="shared" si="10"/>
        <v>0.00343749999999998</v>
      </c>
      <c r="S77" s="36">
        <f t="array" ref="S77">INT(SUMPRODUCT(($D$4:$D$90=$D77)*($F$4:$F$90=$F77),$K$4:$K$90,$O$4:$O$90)/SUMPRODUCT(($D$4:$D$90=$D77)*($F$4:$F$90=$F77),$O$4:$O$90))</f>
        <v>6684</v>
      </c>
      <c r="T77" s="36">
        <f t="shared" si="11"/>
        <v>2668</v>
      </c>
      <c r="U77" s="38">
        <f>INT(N77*U$3)</f>
        <v>296</v>
      </c>
      <c r="V77" s="36">
        <v>296</v>
      </c>
    </row>
    <row r="78" ht="13.5" customHeight="1" spans="1:22">
      <c r="A78" s="29">
        <f>VLOOKUP(C78,[1]鱼种设计表!$B$2:$L$55,4,FALSE)</f>
        <v>5</v>
      </c>
      <c r="B78" s="29">
        <f>VLOOKUP(C78,[1]鱼种设计表!$B$2:$L$99,11,FALSE)</f>
        <v>3200</v>
      </c>
      <c r="C78" s="8" t="str">
        <f>VLOOKUP(D78,鱼种重量参数!$A$1:$D$99,4,FALSE)</f>
        <v>美洲鳗鲡</v>
      </c>
      <c r="D78" s="9" t="s">
        <v>53</v>
      </c>
      <c r="E78" s="9" t="s">
        <v>37</v>
      </c>
      <c r="F78" s="30">
        <v>2</v>
      </c>
      <c r="G78" s="31">
        <v>119</v>
      </c>
      <c r="H78" s="31">
        <v>139</v>
      </c>
      <c r="I78" s="34">
        <f t="shared" si="6"/>
        <v>15772</v>
      </c>
      <c r="J78" s="34">
        <f t="shared" si="7"/>
        <v>27124</v>
      </c>
      <c r="K78" s="35">
        <f t="shared" si="8"/>
        <v>21448</v>
      </c>
      <c r="L78" s="7">
        <f>VLOOKUP($D78,鱼种重量参数!$A$1:$F$99,COLUMN(鱼种重量参数!E$1),FALSE)</f>
        <v>0.0009</v>
      </c>
      <c r="M78" s="7">
        <f>VLOOKUP($D78,鱼种重量参数!$A$1:$F$99,COLUMN(鱼种重量参数!F$1),FALSE)</f>
        <v>3.49</v>
      </c>
      <c r="N78" s="30">
        <v>600</v>
      </c>
      <c r="O78" s="30">
        <v>87</v>
      </c>
      <c r="P78" s="36">
        <f t="shared" si="9"/>
        <v>12868</v>
      </c>
      <c r="Q78" s="39">
        <f t="array" ref="Q78">INT(SUMPRODUCT(($D$4:$D$90=$D78)*($F$4:$F$90=$F78),$P$4:$P$90,$O$4:$O$90)/SUMPRODUCT(($D$4:$D$90=$D78)*($F$4:$F$90=$F78),$O$4:$O$90))</f>
        <v>3211</v>
      </c>
      <c r="R78" s="40">
        <f t="shared" si="10"/>
        <v>0.00343749999999998</v>
      </c>
      <c r="S78" s="36">
        <f t="array" ref="S78">INT(SUMPRODUCT(($D$4:$D$90=$D78)*($F$4:$F$90=$F78),$K$4:$K$90,$O$4:$O$90)/SUMPRODUCT(($D$4:$D$90=$D78)*($F$4:$F$90=$F78),$O$4:$O$90))</f>
        <v>6684</v>
      </c>
      <c r="T78" s="36">
        <f t="shared" si="11"/>
        <v>9463</v>
      </c>
      <c r="U78" s="38">
        <f>INT(N78*U$3)</f>
        <v>444</v>
      </c>
      <c r="V78" s="36">
        <v>444</v>
      </c>
    </row>
    <row r="79" ht="13.5" customHeight="1" spans="1:22">
      <c r="A79" s="29">
        <f>VLOOKUP(C79,[1]鱼种设计表!$B$2:$L$55,4,FALSE)</f>
        <v>5</v>
      </c>
      <c r="B79" s="29">
        <f>VLOOKUP(C79,[1]鱼种设计表!$B$2:$L$99,11,FALSE)</f>
        <v>3200</v>
      </c>
      <c r="C79" s="8" t="str">
        <f>VLOOKUP(D79,鱼种重量参数!$A$1:$D$99,4,FALSE)</f>
        <v>美洲鳗鲡</v>
      </c>
      <c r="D79" s="9" t="s">
        <v>53</v>
      </c>
      <c r="E79" s="9" t="s">
        <v>43</v>
      </c>
      <c r="F79" s="30">
        <v>2</v>
      </c>
      <c r="G79" s="31">
        <v>139</v>
      </c>
      <c r="H79" s="31">
        <v>152</v>
      </c>
      <c r="I79" s="34">
        <f t="shared" si="6"/>
        <v>27124</v>
      </c>
      <c r="J79" s="34">
        <f t="shared" si="7"/>
        <v>37057</v>
      </c>
      <c r="K79" s="35">
        <f t="shared" si="8"/>
        <v>32090.5</v>
      </c>
      <c r="L79" s="7">
        <f>VLOOKUP($D79,鱼种重量参数!$A$1:$F$99,COLUMN(鱼种重量参数!E$1),FALSE)</f>
        <v>0.0009</v>
      </c>
      <c r="M79" s="7">
        <f>VLOOKUP($D79,鱼种重量参数!$A$1:$F$99,COLUMN(鱼种重量参数!F$1),FALSE)</f>
        <v>3.49</v>
      </c>
      <c r="N79" s="30">
        <v>800</v>
      </c>
      <c r="O79" s="30">
        <v>35</v>
      </c>
      <c r="P79" s="36">
        <f t="shared" si="9"/>
        <v>25672</v>
      </c>
      <c r="Q79" s="39">
        <f t="array" ref="Q79">INT(SUMPRODUCT(($D$4:$D$90=$D79)*($F$4:$F$90=$F79),$P$4:$P$90,$O$4:$O$90)/SUMPRODUCT(($D$4:$D$90=$D79)*($F$4:$F$90=$F79),$O$4:$O$90))</f>
        <v>3211</v>
      </c>
      <c r="R79" s="40">
        <f t="shared" si="10"/>
        <v>0.00343749999999998</v>
      </c>
      <c r="S79" s="36">
        <f t="array" ref="S79">INT(SUMPRODUCT(($D$4:$D$90=$D79)*($F$4:$F$90=$F79),$K$4:$K$90,$O$4:$O$90)/SUMPRODUCT(($D$4:$D$90=$D79)*($F$4:$F$90=$F79),$O$4:$O$90))</f>
        <v>6684</v>
      </c>
      <c r="T79" s="36">
        <f t="shared" si="11"/>
        <v>21699</v>
      </c>
      <c r="U79" s="38">
        <f>INT(N79*U$3)</f>
        <v>592</v>
      </c>
      <c r="V79" s="36">
        <v>592</v>
      </c>
    </row>
    <row r="80" ht="13.5" customHeight="1" spans="1:22">
      <c r="A80" s="29">
        <f>VLOOKUP(C80,[1]鱼种设计表!$B$2:$L$55,4,FALSE)</f>
        <v>5.3</v>
      </c>
      <c r="B80" s="29">
        <f>VLOOKUP(C80,[1]鱼种设计表!$B$2:$L$99,11,FALSE)</f>
        <v>3800</v>
      </c>
      <c r="C80" s="8" t="str">
        <f>VLOOKUP(D80,鱼种重量参数!$A$1:$D$99,4,FALSE)</f>
        <v>玻璃梭鲈</v>
      </c>
      <c r="D80" s="9" t="s">
        <v>54</v>
      </c>
      <c r="E80" s="9" t="s">
        <v>28</v>
      </c>
      <c r="F80" s="30">
        <v>2</v>
      </c>
      <c r="G80" s="31">
        <v>33</v>
      </c>
      <c r="H80" s="31">
        <v>46</v>
      </c>
      <c r="I80" s="34">
        <f t="shared" si="6"/>
        <v>471</v>
      </c>
      <c r="J80" s="34">
        <f t="shared" si="7"/>
        <v>1395</v>
      </c>
      <c r="K80" s="35">
        <f t="shared" si="8"/>
        <v>933</v>
      </c>
      <c r="L80" s="7">
        <f>VLOOKUP($D80,鱼种重量参数!$A$1:$F$99,COLUMN(鱼种重量参数!E$1),FALSE)</f>
        <v>0.0051</v>
      </c>
      <c r="M80" s="7">
        <f>VLOOKUP($D80,鱼种重量参数!$A$1:$F$99,COLUMN(鱼种重量参数!F$1),FALSE)</f>
        <v>3.27</v>
      </c>
      <c r="N80" s="30">
        <v>300</v>
      </c>
      <c r="O80" s="30">
        <v>350</v>
      </c>
      <c r="P80" s="36">
        <f t="shared" si="9"/>
        <v>279</v>
      </c>
      <c r="Q80" s="39">
        <f t="array" ref="Q80">INT(SUMPRODUCT(($D$4:$D$90=$D80)*($F$4:$F$90=$F80),$P$4:$P$90,$O$4:$O$90)/SUMPRODUCT(($D$4:$D$90=$D80)*($F$4:$F$90=$F80),$O$4:$O$90))</f>
        <v>3798</v>
      </c>
      <c r="R80" s="40">
        <f t="shared" si="10"/>
        <v>-0.000526315789473708</v>
      </c>
      <c r="S80" s="36">
        <f t="array" ref="S80">INT(SUMPRODUCT(($D$4:$D$90=$D80)*($F$4:$F$90=$F80),$K$4:$K$90,$O$4:$O$90)/SUMPRODUCT(($D$4:$D$90=$D80)*($F$4:$F$90=$F80),$O$4:$O$90))</f>
        <v>4657</v>
      </c>
      <c r="T80" s="36">
        <f t="shared" si="11"/>
        <v>141</v>
      </c>
      <c r="U80" s="38">
        <f>INT(N80*U$3)</f>
        <v>222</v>
      </c>
      <c r="V80" s="36">
        <v>222</v>
      </c>
    </row>
    <row r="81" ht="13.5" customHeight="1" spans="1:22">
      <c r="A81" s="29">
        <f>VLOOKUP(C81,[1]鱼种设计表!$B$2:$L$55,4,FALSE)</f>
        <v>5.3</v>
      </c>
      <c r="B81" s="29">
        <f>VLOOKUP(C81,[1]鱼种设计表!$B$2:$L$99,11,FALSE)</f>
        <v>3800</v>
      </c>
      <c r="C81" s="8" t="str">
        <f>VLOOKUP(D81,鱼种重量参数!$A$1:$D$99,4,FALSE)</f>
        <v>玻璃梭鲈</v>
      </c>
      <c r="D81" s="9" t="s">
        <v>54</v>
      </c>
      <c r="E81" s="9" t="s">
        <v>29</v>
      </c>
      <c r="F81" s="30">
        <v>2</v>
      </c>
      <c r="G81" s="31">
        <v>46</v>
      </c>
      <c r="H81" s="31">
        <v>68</v>
      </c>
      <c r="I81" s="34">
        <f t="shared" si="6"/>
        <v>1395</v>
      </c>
      <c r="J81" s="34">
        <f t="shared" si="7"/>
        <v>5010</v>
      </c>
      <c r="K81" s="35">
        <f t="shared" si="8"/>
        <v>3202.5</v>
      </c>
      <c r="L81" s="7">
        <f>VLOOKUP($D81,鱼种重量参数!$A$1:$F$99,COLUMN(鱼种重量参数!E$1),FALSE)</f>
        <v>0.0051</v>
      </c>
      <c r="M81" s="7">
        <f>VLOOKUP($D81,鱼种重量参数!$A$1:$F$99,COLUMN(鱼种重量参数!F$1),FALSE)</f>
        <v>3.27</v>
      </c>
      <c r="N81" s="30">
        <v>500</v>
      </c>
      <c r="O81" s="30">
        <v>350</v>
      </c>
      <c r="P81" s="36">
        <f t="shared" si="9"/>
        <v>1601</v>
      </c>
      <c r="Q81" s="39">
        <f t="array" ref="Q81">INT(SUMPRODUCT(($D$4:$D$90=$D81)*($F$4:$F$90=$F81),$P$4:$P$90,$O$4:$O$90)/SUMPRODUCT(($D$4:$D$90=$D81)*($F$4:$F$90=$F81),$O$4:$O$90))</f>
        <v>3798</v>
      </c>
      <c r="R81" s="40">
        <f t="shared" si="10"/>
        <v>-0.000526315789473708</v>
      </c>
      <c r="S81" s="36">
        <f t="array" ref="S81">INT(SUMPRODUCT(($D$4:$D$90=$D81)*($F$4:$F$90=$F81),$K$4:$K$90,$O$4:$O$90)/SUMPRODUCT(($D$4:$D$90=$D81)*($F$4:$F$90=$F81),$O$4:$O$90))</f>
        <v>4657</v>
      </c>
      <c r="T81" s="36">
        <f t="shared" si="11"/>
        <v>697</v>
      </c>
      <c r="U81" s="38">
        <f>INT(N81*U$3)</f>
        <v>370</v>
      </c>
      <c r="V81" s="36">
        <v>370</v>
      </c>
    </row>
    <row r="82" ht="13.5" customHeight="1" spans="1:22">
      <c r="A82" s="29">
        <f>VLOOKUP(C82,[1]鱼种设计表!$B$2:$L$55,4,FALSE)</f>
        <v>5.3</v>
      </c>
      <c r="B82" s="29">
        <f>VLOOKUP(C82,[1]鱼种设计表!$B$2:$L$99,11,FALSE)</f>
        <v>3800</v>
      </c>
      <c r="C82" s="8" t="str">
        <f>VLOOKUP(D82,鱼种重量参数!$A$1:$D$99,4,FALSE)</f>
        <v>玻璃梭鲈</v>
      </c>
      <c r="D82" s="9" t="s">
        <v>54</v>
      </c>
      <c r="E82" s="9" t="s">
        <v>34</v>
      </c>
      <c r="F82" s="30">
        <v>2</v>
      </c>
      <c r="G82" s="31">
        <v>68</v>
      </c>
      <c r="H82" s="31">
        <v>85</v>
      </c>
      <c r="I82" s="34">
        <f t="shared" si="6"/>
        <v>5010</v>
      </c>
      <c r="J82" s="34">
        <f t="shared" si="7"/>
        <v>10393</v>
      </c>
      <c r="K82" s="35">
        <f t="shared" si="8"/>
        <v>7701.5</v>
      </c>
      <c r="L82" s="7">
        <f>VLOOKUP($D82,鱼种重量参数!$A$1:$F$99,COLUMN(鱼种重量参数!E$1),FALSE)</f>
        <v>0.0051</v>
      </c>
      <c r="M82" s="7">
        <f>VLOOKUP($D82,鱼种重量参数!$A$1:$F$99,COLUMN(鱼种重量参数!F$1),FALSE)</f>
        <v>3.27</v>
      </c>
      <c r="N82" s="30">
        <v>700</v>
      </c>
      <c r="O82" s="30">
        <v>175</v>
      </c>
      <c r="P82" s="36">
        <f t="shared" si="9"/>
        <v>5391</v>
      </c>
      <c r="Q82" s="39">
        <f t="array" ref="Q82">INT(SUMPRODUCT(($D$4:$D$90=$D82)*($F$4:$F$90=$F82),$P$4:$P$90,$O$4:$O$90)/SUMPRODUCT(($D$4:$D$90=$D82)*($F$4:$F$90=$F82),$O$4:$O$90))</f>
        <v>3798</v>
      </c>
      <c r="R82" s="40">
        <f t="shared" si="10"/>
        <v>-0.000526315789473708</v>
      </c>
      <c r="S82" s="36">
        <f t="array" ref="S82">INT(SUMPRODUCT(($D$4:$D$90=$D82)*($F$4:$F$90=$F82),$K$4:$K$90,$O$4:$O$90)/SUMPRODUCT(($D$4:$D$90=$D82)*($F$4:$F$90=$F82),$O$4:$O$90))</f>
        <v>4657</v>
      </c>
      <c r="T82" s="36">
        <f t="shared" si="11"/>
        <v>3507</v>
      </c>
      <c r="U82" s="38">
        <f>INT(N82*U$3)</f>
        <v>518</v>
      </c>
      <c r="V82" s="36">
        <v>518</v>
      </c>
    </row>
    <row r="83" ht="13.5" customHeight="1" spans="1:22">
      <c r="A83" s="29">
        <f>VLOOKUP(C83,[1]鱼种设计表!$B$2:$L$55,4,FALSE)</f>
        <v>5.3</v>
      </c>
      <c r="B83" s="29">
        <f>VLOOKUP(C83,[1]鱼种设计表!$B$2:$L$99,11,FALSE)</f>
        <v>3800</v>
      </c>
      <c r="C83" s="8" t="str">
        <f>VLOOKUP(D83,鱼种重量参数!$A$1:$D$99,4,FALSE)</f>
        <v>玻璃梭鲈</v>
      </c>
      <c r="D83" s="9" t="s">
        <v>54</v>
      </c>
      <c r="E83" s="9" t="s">
        <v>37</v>
      </c>
      <c r="F83" s="30">
        <v>2</v>
      </c>
      <c r="G83" s="31">
        <v>85</v>
      </c>
      <c r="H83" s="31">
        <v>98</v>
      </c>
      <c r="I83" s="34">
        <f t="shared" si="6"/>
        <v>10393</v>
      </c>
      <c r="J83" s="34">
        <f t="shared" si="7"/>
        <v>16553</v>
      </c>
      <c r="K83" s="35">
        <f t="shared" si="8"/>
        <v>13473</v>
      </c>
      <c r="L83" s="7">
        <f>VLOOKUP($D83,鱼种重量参数!$A$1:$F$99,COLUMN(鱼种重量参数!E$1),FALSE)</f>
        <v>0.0051</v>
      </c>
      <c r="M83" s="7">
        <f>VLOOKUP($D83,鱼种重量参数!$A$1:$F$99,COLUMN(鱼种重量参数!F$1),FALSE)</f>
        <v>3.27</v>
      </c>
      <c r="N83" s="30">
        <v>1000</v>
      </c>
      <c r="O83" s="30">
        <v>87</v>
      </c>
      <c r="P83" s="36">
        <f t="shared" si="9"/>
        <v>13473</v>
      </c>
      <c r="Q83" s="39">
        <f t="array" ref="Q83">INT(SUMPRODUCT(($D$4:$D$90=$D83)*($F$4:$F$90=$F83),$P$4:$P$90,$O$4:$O$90)/SUMPRODUCT(($D$4:$D$90=$D83)*($F$4:$F$90=$F83),$O$4:$O$90))</f>
        <v>3798</v>
      </c>
      <c r="R83" s="40">
        <f t="shared" si="10"/>
        <v>-0.000526315789473708</v>
      </c>
      <c r="S83" s="36">
        <f t="array" ref="S83">INT(SUMPRODUCT(($D$4:$D$90=$D83)*($F$4:$F$90=$F83),$K$4:$K$90,$O$4:$O$90)/SUMPRODUCT(($D$4:$D$90=$D83)*($F$4:$F$90=$F83),$O$4:$O$90))</f>
        <v>4657</v>
      </c>
      <c r="T83" s="36">
        <f t="shared" si="11"/>
        <v>10393</v>
      </c>
      <c r="U83" s="38">
        <f>INT(N83*U$3)</f>
        <v>740</v>
      </c>
      <c r="V83" s="36">
        <v>740</v>
      </c>
    </row>
    <row r="84" ht="13.5" customHeight="1" spans="1:22">
      <c r="A84" s="29">
        <f>VLOOKUP(C84,[1]鱼种设计表!$B$2:$L$55,4,FALSE)</f>
        <v>5.3</v>
      </c>
      <c r="B84" s="29">
        <f>VLOOKUP(C84,[1]鱼种设计表!$B$2:$L$99,11,FALSE)</f>
        <v>3800</v>
      </c>
      <c r="C84" s="8" t="str">
        <f>VLOOKUP(D84,鱼种重量参数!$A$1:$D$99,4,FALSE)</f>
        <v>玻璃梭鲈</v>
      </c>
      <c r="D84" s="9" t="s">
        <v>54</v>
      </c>
      <c r="E84" s="9" t="s">
        <v>43</v>
      </c>
      <c r="F84" s="30">
        <v>2</v>
      </c>
      <c r="G84" s="31">
        <v>98</v>
      </c>
      <c r="H84" s="31">
        <v>107</v>
      </c>
      <c r="I84" s="34">
        <f t="shared" si="6"/>
        <v>16553</v>
      </c>
      <c r="J84" s="34">
        <f t="shared" si="7"/>
        <v>22062</v>
      </c>
      <c r="K84" s="35">
        <f t="shared" si="8"/>
        <v>19307.5</v>
      </c>
      <c r="L84" s="7">
        <f>VLOOKUP($D84,鱼种重量参数!$A$1:$F$99,COLUMN(鱼种重量参数!E$1),FALSE)</f>
        <v>0.0051</v>
      </c>
      <c r="M84" s="7">
        <f>VLOOKUP($D84,鱼种重量参数!$A$1:$F$99,COLUMN(鱼种重量参数!F$1),FALSE)</f>
        <v>3.27</v>
      </c>
      <c r="N84" s="30">
        <v>1500</v>
      </c>
      <c r="O84" s="30">
        <v>35</v>
      </c>
      <c r="P84" s="36">
        <f t="shared" si="9"/>
        <v>28961</v>
      </c>
      <c r="Q84" s="39">
        <f t="array" ref="Q84">INT(SUMPRODUCT(($D$4:$D$90=$D84)*($F$4:$F$90=$F84),$P$4:$P$90,$O$4:$O$90)/SUMPRODUCT(($D$4:$D$90=$D84)*($F$4:$F$90=$F84),$O$4:$O$90))</f>
        <v>3798</v>
      </c>
      <c r="R84" s="40">
        <f t="shared" si="10"/>
        <v>-0.000526315789473708</v>
      </c>
      <c r="S84" s="36">
        <f t="array" ref="S84">INT(SUMPRODUCT(($D$4:$D$90=$D84)*($F$4:$F$90=$F84),$K$4:$K$90,$O$4:$O$90)/SUMPRODUCT(($D$4:$D$90=$D84)*($F$4:$F$90=$F84),$O$4:$O$90))</f>
        <v>4657</v>
      </c>
      <c r="T84" s="36">
        <f t="shared" si="11"/>
        <v>24829</v>
      </c>
      <c r="U84" s="38">
        <f>INT(N84*U$3)</f>
        <v>1110</v>
      </c>
      <c r="V84" s="36">
        <v>1110</v>
      </c>
    </row>
    <row r="85" spans="3:22">
      <c r="C85" s="7"/>
      <c r="D85" s="7"/>
      <c r="E85" s="7"/>
      <c r="F85" s="7"/>
      <c r="G85" s="7"/>
      <c r="H85" s="7"/>
      <c r="I85" s="35"/>
      <c r="J85" s="35"/>
      <c r="K85" s="35"/>
      <c r="L85" s="7"/>
      <c r="M85" s="7"/>
      <c r="N85" s="7"/>
      <c r="T85" s="7"/>
      <c r="U85" s="38"/>
      <c r="V85" s="7"/>
    </row>
    <row r="86" spans="3:22">
      <c r="C86" s="7"/>
      <c r="D86" s="7"/>
      <c r="E86" s="7"/>
      <c r="F86" s="7"/>
      <c r="G86" s="7"/>
      <c r="H86" s="7"/>
      <c r="I86" s="35"/>
      <c r="J86" s="35"/>
      <c r="K86" s="35"/>
      <c r="L86" s="7"/>
      <c r="M86" s="7"/>
      <c r="N86" s="7"/>
      <c r="T86" s="7"/>
      <c r="U86" s="38"/>
      <c r="V86" s="7"/>
    </row>
    <row r="87" spans="3:22">
      <c r="C87" s="7"/>
      <c r="D87" s="7"/>
      <c r="E87" s="7"/>
      <c r="F87" s="7"/>
      <c r="G87" s="7"/>
      <c r="H87" s="7"/>
      <c r="I87" s="35"/>
      <c r="J87" s="35"/>
      <c r="K87" s="35"/>
      <c r="L87" s="7"/>
      <c r="M87" s="7"/>
      <c r="N87" s="7"/>
      <c r="T87" s="7"/>
      <c r="U87" s="38"/>
      <c r="V87" s="7"/>
    </row>
    <row r="88" spans="3:22">
      <c r="C88" s="7"/>
      <c r="D88" s="7"/>
      <c r="E88" s="7"/>
      <c r="F88" s="7"/>
      <c r="G88" s="7"/>
      <c r="H88" s="7"/>
      <c r="I88" s="35"/>
      <c r="J88" s="35"/>
      <c r="K88" s="35"/>
      <c r="L88" s="7"/>
      <c r="M88" s="7"/>
      <c r="N88" s="7"/>
      <c r="T88" s="7"/>
      <c r="U88" s="38"/>
      <c r="V88" s="7"/>
    </row>
    <row r="89" spans="3:22">
      <c r="C89" s="7"/>
      <c r="D89" s="7"/>
      <c r="E89" s="7"/>
      <c r="F89" s="7"/>
      <c r="G89" s="7"/>
      <c r="H89" s="7"/>
      <c r="I89" s="35"/>
      <c r="J89" s="35"/>
      <c r="K89" s="35"/>
      <c r="L89" s="7"/>
      <c r="M89" s="7"/>
      <c r="N89" s="7"/>
      <c r="T89" s="7"/>
      <c r="U89" s="38"/>
      <c r="V89" s="7"/>
    </row>
    <row r="90" spans="3:22">
      <c r="C90" s="7"/>
      <c r="D90" s="7"/>
      <c r="E90" s="7"/>
      <c r="F90" s="7"/>
      <c r="G90" s="7"/>
      <c r="H90" s="7"/>
      <c r="I90" s="35"/>
      <c r="J90" s="35"/>
      <c r="K90" s="35"/>
      <c r="L90" s="7"/>
      <c r="M90" s="7"/>
      <c r="N90" s="7"/>
      <c r="T90" s="7"/>
      <c r="U90" s="38"/>
      <c r="V90" s="7"/>
    </row>
    <row r="91" spans="3:22">
      <c r="C91" s="7"/>
      <c r="D91" s="7"/>
      <c r="E91" s="7"/>
      <c r="F91" s="7"/>
      <c r="G91" s="7"/>
      <c r="H91" s="7"/>
      <c r="I91" s="35"/>
      <c r="J91" s="35"/>
      <c r="K91" s="35"/>
      <c r="L91" s="7"/>
      <c r="M91" s="7"/>
      <c r="N91" s="7"/>
      <c r="T91" s="7"/>
      <c r="U91" s="38"/>
      <c r="V91" s="7"/>
    </row>
    <row r="92" spans="3:22">
      <c r="C92" s="7"/>
      <c r="D92" s="7"/>
      <c r="E92" s="7"/>
      <c r="F92" s="7"/>
      <c r="G92" s="7"/>
      <c r="H92" s="7"/>
      <c r="I92" s="35"/>
      <c r="J92" s="35"/>
      <c r="K92" s="35"/>
      <c r="L92" s="7"/>
      <c r="M92" s="7"/>
      <c r="N92" s="7"/>
      <c r="T92" s="7"/>
      <c r="U92" s="38"/>
      <c r="V92" s="7"/>
    </row>
    <row r="93" spans="3:22">
      <c r="C93" s="7"/>
      <c r="D93" s="7"/>
      <c r="E93" s="7"/>
      <c r="F93" s="7"/>
      <c r="G93" s="7"/>
      <c r="H93" s="7"/>
      <c r="I93" s="35"/>
      <c r="J93" s="35"/>
      <c r="K93" s="35"/>
      <c r="L93" s="7"/>
      <c r="M93" s="7"/>
      <c r="N93" s="7"/>
      <c r="T93" s="7"/>
      <c r="U93" s="38"/>
      <c r="V93" s="7"/>
    </row>
    <row r="94" spans="3:22">
      <c r="C94" s="7"/>
      <c r="D94" s="7"/>
      <c r="E94" s="7"/>
      <c r="F94" s="7"/>
      <c r="G94" s="7"/>
      <c r="H94" s="7"/>
      <c r="I94" s="35"/>
      <c r="J94" s="35"/>
      <c r="K94" s="35"/>
      <c r="L94" s="7"/>
      <c r="M94" s="7"/>
      <c r="N94" s="7"/>
      <c r="T94" s="7"/>
      <c r="U94" s="38"/>
      <c r="V94" s="7"/>
    </row>
    <row r="95" spans="3:22">
      <c r="C95" s="7"/>
      <c r="D95" s="7"/>
      <c r="E95" s="7"/>
      <c r="F95" s="7"/>
      <c r="G95" s="7"/>
      <c r="H95" s="7"/>
      <c r="I95" s="35"/>
      <c r="J95" s="35"/>
      <c r="K95" s="35"/>
      <c r="L95" s="7"/>
      <c r="M95" s="7"/>
      <c r="N95" s="7"/>
      <c r="T95" s="7"/>
      <c r="U95" s="38"/>
      <c r="V95" s="7"/>
    </row>
    <row r="96" spans="3:22">
      <c r="C96" s="7"/>
      <c r="D96" s="7"/>
      <c r="E96" s="7"/>
      <c r="F96" s="7"/>
      <c r="G96" s="7"/>
      <c r="H96" s="7"/>
      <c r="I96" s="35"/>
      <c r="J96" s="35"/>
      <c r="K96" s="35"/>
      <c r="L96" s="7"/>
      <c r="M96" s="7"/>
      <c r="N96" s="7"/>
      <c r="T96" s="7"/>
      <c r="U96" s="38"/>
      <c r="V96" s="7"/>
    </row>
    <row r="97" spans="3:22">
      <c r="C97" s="7"/>
      <c r="D97" s="7"/>
      <c r="E97" s="7"/>
      <c r="F97" s="7"/>
      <c r="G97" s="7"/>
      <c r="H97" s="7"/>
      <c r="I97" s="35"/>
      <c r="J97" s="35"/>
      <c r="K97" s="35"/>
      <c r="L97" s="7"/>
      <c r="M97" s="7"/>
      <c r="N97" s="7"/>
      <c r="T97" s="7"/>
      <c r="U97" s="38"/>
      <c r="V97" s="7"/>
    </row>
    <row r="98" spans="3:22">
      <c r="C98" s="7"/>
      <c r="D98" s="7"/>
      <c r="E98" s="7"/>
      <c r="F98" s="7"/>
      <c r="G98" s="7"/>
      <c r="H98" s="7"/>
      <c r="I98" s="35"/>
      <c r="J98" s="35"/>
      <c r="K98" s="35"/>
      <c r="L98" s="7"/>
      <c r="M98" s="7"/>
      <c r="N98" s="7"/>
      <c r="T98" s="7"/>
      <c r="U98" s="38"/>
      <c r="V98" s="7"/>
    </row>
    <row r="99" spans="20:22">
      <c r="T99" s="7"/>
      <c r="U99" s="38"/>
      <c r="V99" s="7"/>
    </row>
    <row r="100" spans="20:22">
      <c r="T100" s="7"/>
      <c r="U100" s="38"/>
      <c r="V100" s="7"/>
    </row>
    <row r="101" spans="20:22">
      <c r="T101" s="7"/>
      <c r="U101" s="38"/>
      <c r="V101" s="7"/>
    </row>
    <row r="102" spans="20:22">
      <c r="T102" s="7"/>
      <c r="U102" s="38"/>
      <c r="V102" s="7"/>
    </row>
    <row r="103" spans="20:22">
      <c r="T103" s="7"/>
      <c r="U103" s="38"/>
      <c r="V103" s="7"/>
    </row>
    <row r="104" spans="20:22">
      <c r="T104" s="7"/>
      <c r="U104" s="38"/>
      <c r="V104" s="7"/>
    </row>
    <row r="105" spans="20:22">
      <c r="T105" s="7"/>
      <c r="U105" s="38"/>
      <c r="V105" s="7"/>
    </row>
    <row r="106" spans="20:22">
      <c r="T106" s="7"/>
      <c r="U106" s="38"/>
      <c r="V106" s="7"/>
    </row>
    <row r="107" spans="20:22">
      <c r="T107" s="7"/>
      <c r="U107" s="38"/>
      <c r="V107" s="7"/>
    </row>
    <row r="108" spans="20:22">
      <c r="T108" s="7"/>
      <c r="U108" s="38"/>
      <c r="V108" s="7"/>
    </row>
    <row r="109" spans="20:22">
      <c r="T109" s="7"/>
      <c r="U109" s="38"/>
      <c r="V109" s="7"/>
    </row>
    <row r="110" spans="20:22">
      <c r="T110" s="7"/>
      <c r="U110" s="38"/>
      <c r="V110" s="7"/>
    </row>
    <row r="111" spans="20:22">
      <c r="T111" s="7"/>
      <c r="U111" s="38"/>
      <c r="V111" s="7"/>
    </row>
    <row r="112" spans="20:22">
      <c r="T112" s="7"/>
      <c r="U112" s="38"/>
      <c r="V112" s="7"/>
    </row>
    <row r="113" spans="20:22">
      <c r="T113" s="7"/>
      <c r="U113" s="38"/>
      <c r="V113" s="7"/>
    </row>
    <row r="114" spans="20:22">
      <c r="T114" s="7"/>
      <c r="U114" s="38"/>
      <c r="V114" s="7"/>
    </row>
    <row r="115" spans="20:22">
      <c r="T115" s="7"/>
      <c r="U115" s="38"/>
      <c r="V115" s="7"/>
    </row>
    <row r="116" spans="20:22">
      <c r="T116" s="7"/>
      <c r="U116" s="38"/>
      <c r="V116" s="7"/>
    </row>
    <row r="117" spans="20:22">
      <c r="T117" s="7"/>
      <c r="U117" s="38"/>
      <c r="V117" s="7"/>
    </row>
    <row r="118" spans="20:22">
      <c r="T118" s="7"/>
      <c r="U118" s="38"/>
      <c r="V118" s="7"/>
    </row>
    <row r="119" spans="20:22">
      <c r="T119" s="7"/>
      <c r="U119" s="38"/>
      <c r="V119" s="7"/>
    </row>
  </sheetData>
  <mergeCells count="1">
    <mergeCell ref="O1:P1"/>
  </mergeCells>
  <conditionalFormatting sqref="R4:R8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{ef4585c1-a50a-40e9-8af1-cbaec0f60245}</x14:id>
        </ext>
      </extLst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4585c1-a50a-40e9-8af1-cbaec0f6024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R4:R84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0"/>
  <sheetViews>
    <sheetView workbookViewId="0">
      <selection activeCell="C28" sqref="C28"/>
    </sheetView>
  </sheetViews>
  <sheetFormatPr defaultColWidth="14" defaultRowHeight="12.75" outlineLevelCol="5"/>
  <cols>
    <col min="1" max="2" width="19" style="3" customWidth="1"/>
    <col min="3" max="3" width="22.5714285714286" style="3" customWidth="1"/>
  </cols>
  <sheetData>
    <row r="1" ht="13.5" customHeight="1" spans="1:6">
      <c r="A1" s="11" t="s">
        <v>55</v>
      </c>
      <c r="B1" s="11" t="s">
        <v>56</v>
      </c>
      <c r="C1" s="11" t="s">
        <v>57</v>
      </c>
      <c r="D1" s="12" t="s">
        <v>58</v>
      </c>
      <c r="E1" s="11" t="s">
        <v>16</v>
      </c>
      <c r="F1" s="11" t="s">
        <v>17</v>
      </c>
    </row>
    <row r="2" ht="13.5" customHeight="1" spans="1:6">
      <c r="A2" s="13" t="s">
        <v>35</v>
      </c>
      <c r="B2" s="13" t="s">
        <v>35</v>
      </c>
      <c r="C2" s="13" t="s">
        <v>59</v>
      </c>
      <c r="D2" s="13" t="s">
        <v>60</v>
      </c>
      <c r="E2" s="14">
        <v>0.0124</v>
      </c>
      <c r="F2" s="14">
        <v>3.11</v>
      </c>
    </row>
    <row r="3" ht="13.5" customHeight="1" spans="1:6">
      <c r="A3" s="13" t="s">
        <v>38</v>
      </c>
      <c r="B3" s="13" t="s">
        <v>38</v>
      </c>
      <c r="C3" s="13" t="s">
        <v>38</v>
      </c>
      <c r="D3" s="13" t="s">
        <v>61</v>
      </c>
      <c r="E3" s="14">
        <v>0.0128</v>
      </c>
      <c r="F3" s="14">
        <v>3.05</v>
      </c>
    </row>
    <row r="4" ht="13.5" customHeight="1" spans="1:6">
      <c r="A4" s="13" t="s">
        <v>47</v>
      </c>
      <c r="B4" s="13" t="s">
        <v>47</v>
      </c>
      <c r="C4" s="13" t="s">
        <v>47</v>
      </c>
      <c r="D4" s="13" t="s">
        <v>62</v>
      </c>
      <c r="E4" s="14">
        <v>0.0061</v>
      </c>
      <c r="F4" s="14">
        <v>3.28</v>
      </c>
    </row>
    <row r="5" ht="13.5" customHeight="1" spans="1:6">
      <c r="A5" s="13" t="s">
        <v>48</v>
      </c>
      <c r="B5" s="13" t="s">
        <v>48</v>
      </c>
      <c r="C5" s="13" t="s">
        <v>63</v>
      </c>
      <c r="D5" s="13" t="s">
        <v>64</v>
      </c>
      <c r="E5" s="14">
        <v>0.0079</v>
      </c>
      <c r="F5" s="14">
        <v>3.24</v>
      </c>
    </row>
    <row r="6" ht="13.5" customHeight="1" spans="1:6">
      <c r="A6" s="13" t="s">
        <v>44</v>
      </c>
      <c r="B6" s="13" t="s">
        <v>44</v>
      </c>
      <c r="C6" s="13" t="s">
        <v>65</v>
      </c>
      <c r="D6" s="13" t="s">
        <v>66</v>
      </c>
      <c r="E6" s="14">
        <v>0.0081</v>
      </c>
      <c r="F6" s="14">
        <v>3.11</v>
      </c>
    </row>
    <row r="7" ht="13.5" customHeight="1" spans="1:6">
      <c r="A7" s="13" t="s">
        <v>67</v>
      </c>
      <c r="B7" s="13" t="s">
        <v>67</v>
      </c>
      <c r="C7" s="13" t="s">
        <v>67</v>
      </c>
      <c r="D7" s="13" t="s">
        <v>68</v>
      </c>
      <c r="E7" s="14">
        <v>0.0056</v>
      </c>
      <c r="F7" s="14">
        <v>3.29</v>
      </c>
    </row>
    <row r="8" ht="13.5" customHeight="1" spans="1:6">
      <c r="A8" s="13" t="s">
        <v>27</v>
      </c>
      <c r="B8" s="13" t="s">
        <v>27</v>
      </c>
      <c r="C8" s="13" t="s">
        <v>27</v>
      </c>
      <c r="D8" s="13" t="s">
        <v>69</v>
      </c>
      <c r="E8" s="14">
        <v>0.0054</v>
      </c>
      <c r="F8" s="14">
        <v>3.14</v>
      </c>
    </row>
    <row r="9" ht="13.5" customHeight="1" spans="1:6">
      <c r="A9" s="13" t="s">
        <v>70</v>
      </c>
      <c r="B9" s="13" t="s">
        <v>70</v>
      </c>
      <c r="C9" s="13" t="s">
        <v>71</v>
      </c>
      <c r="D9" s="13" t="s">
        <v>72</v>
      </c>
      <c r="E9" s="14">
        <v>0.0077</v>
      </c>
      <c r="F9" s="14">
        <v>3.28</v>
      </c>
    </row>
    <row r="10" ht="13.5" customHeight="1" spans="1:6">
      <c r="A10" s="13" t="s">
        <v>73</v>
      </c>
      <c r="B10" s="13" t="s">
        <v>73</v>
      </c>
      <c r="C10" s="13" t="s">
        <v>74</v>
      </c>
      <c r="D10" s="13" t="s">
        <v>75</v>
      </c>
      <c r="E10" s="14">
        <v>0.0072</v>
      </c>
      <c r="F10" s="14">
        <v>3.2</v>
      </c>
    </row>
    <row r="11" ht="13.5" customHeight="1" spans="1:6">
      <c r="A11" s="13" t="s">
        <v>76</v>
      </c>
      <c r="B11" s="13" t="s">
        <v>76</v>
      </c>
      <c r="C11" s="13" t="s">
        <v>77</v>
      </c>
      <c r="D11" s="13" t="s">
        <v>78</v>
      </c>
      <c r="E11" s="14">
        <v>0.0101</v>
      </c>
      <c r="F11" s="14">
        <v>3.01</v>
      </c>
    </row>
    <row r="12" ht="13.5" customHeight="1" spans="1:6">
      <c r="A12" s="13" t="s">
        <v>41</v>
      </c>
      <c r="B12" s="13" t="s">
        <v>41</v>
      </c>
      <c r="C12" s="13" t="s">
        <v>41</v>
      </c>
      <c r="D12" s="13" t="s">
        <v>79</v>
      </c>
      <c r="E12" s="14">
        <v>0.0123</v>
      </c>
      <c r="F12" s="14">
        <v>3</v>
      </c>
    </row>
    <row r="13" ht="13.5" customHeight="1" spans="1:6">
      <c r="A13" s="13" t="s">
        <v>80</v>
      </c>
      <c r="B13" s="13" t="s">
        <v>80</v>
      </c>
      <c r="C13" s="13" t="s">
        <v>81</v>
      </c>
      <c r="D13" s="13" t="s">
        <v>82</v>
      </c>
      <c r="E13" s="14">
        <v>0.0085</v>
      </c>
      <c r="F13" s="14">
        <v>3.12</v>
      </c>
    </row>
    <row r="14" ht="13.5" customHeight="1" spans="1:6">
      <c r="A14" s="13" t="s">
        <v>52</v>
      </c>
      <c r="B14" s="13" t="s">
        <v>52</v>
      </c>
      <c r="C14" s="15" t="s">
        <v>83</v>
      </c>
      <c r="D14" s="16" t="s">
        <v>84</v>
      </c>
      <c r="E14" s="14">
        <v>0.0054</v>
      </c>
      <c r="F14" s="14">
        <v>3.23</v>
      </c>
    </row>
    <row r="15" ht="13.5" customHeight="1" spans="1:6">
      <c r="A15" s="13" t="s">
        <v>51</v>
      </c>
      <c r="B15" s="13" t="s">
        <v>51</v>
      </c>
      <c r="C15" s="15" t="s">
        <v>85</v>
      </c>
      <c r="D15" s="16" t="s">
        <v>86</v>
      </c>
      <c r="E15" s="14">
        <v>0.006</v>
      </c>
      <c r="F15" s="14">
        <v>3.22</v>
      </c>
    </row>
    <row r="16" ht="13.5" customHeight="1" spans="1:6">
      <c r="A16" s="13" t="s">
        <v>87</v>
      </c>
      <c r="B16" s="13" t="s">
        <v>87</v>
      </c>
      <c r="C16" s="15" t="s">
        <v>88</v>
      </c>
      <c r="D16" s="16" t="s">
        <v>89</v>
      </c>
      <c r="E16" s="14">
        <v>0.013</v>
      </c>
      <c r="F16" s="14">
        <v>2.96</v>
      </c>
    </row>
    <row r="17" ht="13.5" customHeight="1" spans="1:6">
      <c r="A17" s="13" t="s">
        <v>46</v>
      </c>
      <c r="B17" s="13" t="s">
        <v>46</v>
      </c>
      <c r="C17" s="15" t="s">
        <v>90</v>
      </c>
      <c r="D17" s="16" t="s">
        <v>91</v>
      </c>
      <c r="E17" s="14">
        <v>0.0125</v>
      </c>
      <c r="F17" s="14">
        <v>3</v>
      </c>
    </row>
    <row r="18" ht="13.5" customHeight="1" spans="1:6">
      <c r="A18" s="13" t="s">
        <v>92</v>
      </c>
      <c r="B18" s="13" t="s">
        <v>92</v>
      </c>
      <c r="C18" s="17" t="s">
        <v>93</v>
      </c>
      <c r="D18" s="17" t="s">
        <v>94</v>
      </c>
      <c r="E18" s="14">
        <v>0.0052</v>
      </c>
      <c r="F18" s="14">
        <v>3.23</v>
      </c>
    </row>
    <row r="19" ht="13.5" customHeight="1" spans="1:6">
      <c r="A19" s="13" t="s">
        <v>95</v>
      </c>
      <c r="B19" s="13" t="s">
        <v>95</v>
      </c>
      <c r="C19" s="17" t="s">
        <v>96</v>
      </c>
      <c r="D19" s="18" t="s">
        <v>97</v>
      </c>
      <c r="E19" s="14">
        <v>0.0096</v>
      </c>
      <c r="F19" s="14">
        <v>3.1</v>
      </c>
    </row>
    <row r="20" ht="13.5" customHeight="1" spans="1:6">
      <c r="A20" s="13" t="s">
        <v>32</v>
      </c>
      <c r="B20" s="13" t="s">
        <v>32</v>
      </c>
      <c r="C20" s="15" t="s">
        <v>98</v>
      </c>
      <c r="D20" s="16" t="s">
        <v>99</v>
      </c>
      <c r="E20" s="14">
        <v>0.0135</v>
      </c>
      <c r="F20" s="14">
        <v>2.94</v>
      </c>
    </row>
    <row r="21" ht="13.5" customHeight="1" spans="1:6">
      <c r="A21" s="13" t="s">
        <v>31</v>
      </c>
      <c r="B21" s="13" t="s">
        <v>31</v>
      </c>
      <c r="C21" s="15" t="s">
        <v>100</v>
      </c>
      <c r="D21" s="16" t="s">
        <v>101</v>
      </c>
      <c r="E21" s="14">
        <v>0.012</v>
      </c>
      <c r="F21" s="14">
        <v>3</v>
      </c>
    </row>
    <row r="22" ht="13.5" customHeight="1" spans="1:6">
      <c r="A22" s="13" t="s">
        <v>102</v>
      </c>
      <c r="B22" s="13" t="s">
        <v>102</v>
      </c>
      <c r="C22" s="15" t="s">
        <v>103</v>
      </c>
      <c r="D22" s="16" t="s">
        <v>104</v>
      </c>
      <c r="E22" s="14">
        <v>0.0118</v>
      </c>
      <c r="F22" s="14">
        <v>3.02</v>
      </c>
    </row>
    <row r="23" ht="13.5" customHeight="1" spans="1:6">
      <c r="A23" s="13" t="s">
        <v>105</v>
      </c>
      <c r="B23" s="13" t="s">
        <v>105</v>
      </c>
      <c r="C23" s="13" t="s">
        <v>106</v>
      </c>
      <c r="D23" s="13" t="s">
        <v>107</v>
      </c>
      <c r="E23" s="14">
        <v>0.0057</v>
      </c>
      <c r="F23" s="14">
        <v>3.27</v>
      </c>
    </row>
    <row r="24" ht="13.5" customHeight="1" spans="1:6">
      <c r="A24" s="13" t="s">
        <v>108</v>
      </c>
      <c r="B24" s="13" t="s">
        <v>108</v>
      </c>
      <c r="C24" s="13" t="s">
        <v>108</v>
      </c>
      <c r="D24" s="13" t="s">
        <v>109</v>
      </c>
      <c r="E24" s="14">
        <v>0.0048</v>
      </c>
      <c r="F24" s="14">
        <v>3.32</v>
      </c>
    </row>
    <row r="25" ht="13.5" customHeight="1" spans="1:6">
      <c r="A25" s="13" t="s">
        <v>54</v>
      </c>
      <c r="B25" s="13" t="s">
        <v>54</v>
      </c>
      <c r="C25" s="13" t="s">
        <v>54</v>
      </c>
      <c r="D25" s="13" t="s">
        <v>110</v>
      </c>
      <c r="E25" s="14">
        <v>0.0051</v>
      </c>
      <c r="F25" s="14">
        <v>3.27</v>
      </c>
    </row>
    <row r="26" ht="13.5" customHeight="1" spans="1:6">
      <c r="A26" s="13" t="s">
        <v>111</v>
      </c>
      <c r="B26" s="13" t="s">
        <v>111</v>
      </c>
      <c r="C26" s="13" t="s">
        <v>112</v>
      </c>
      <c r="D26" s="13" t="s">
        <v>113</v>
      </c>
      <c r="E26" s="14">
        <v>0.01</v>
      </c>
      <c r="F26" s="14">
        <v>3</v>
      </c>
    </row>
    <row r="27" ht="13.5" customHeight="1" spans="1:6">
      <c r="A27" s="13" t="s">
        <v>114</v>
      </c>
      <c r="B27" s="13" t="s">
        <v>114</v>
      </c>
      <c r="C27" s="13" t="s">
        <v>115</v>
      </c>
      <c r="D27" s="13" t="s">
        <v>116</v>
      </c>
      <c r="E27" s="14">
        <v>0.0098</v>
      </c>
      <c r="F27" s="14">
        <v>3.02</v>
      </c>
    </row>
    <row r="28" ht="13.5" customHeight="1" spans="1:6">
      <c r="A28" s="13" t="s">
        <v>33</v>
      </c>
      <c r="B28" s="13" t="s">
        <v>33</v>
      </c>
      <c r="C28" s="13" t="s">
        <v>117</v>
      </c>
      <c r="D28" s="13" t="s">
        <v>118</v>
      </c>
      <c r="E28" s="14">
        <v>0.0102</v>
      </c>
      <c r="F28" s="14">
        <v>3.16</v>
      </c>
    </row>
    <row r="29" ht="13.5" customHeight="1" spans="1:6">
      <c r="A29" s="13" t="s">
        <v>53</v>
      </c>
      <c r="B29" s="13" t="s">
        <v>53</v>
      </c>
      <c r="C29" s="13" t="s">
        <v>119</v>
      </c>
      <c r="D29" s="13" t="s">
        <v>120</v>
      </c>
      <c r="E29" s="14">
        <v>0.0009</v>
      </c>
      <c r="F29" s="14">
        <v>3.49</v>
      </c>
    </row>
    <row r="30" ht="13.5" customHeight="1" spans="1:6">
      <c r="A30" s="13" t="s">
        <v>30</v>
      </c>
      <c r="B30" s="13" t="s">
        <v>30</v>
      </c>
      <c r="C30" s="13" t="s">
        <v>121</v>
      </c>
      <c r="D30" s="13" t="s">
        <v>122</v>
      </c>
      <c r="E30" s="14">
        <v>0.0128</v>
      </c>
      <c r="F30" s="14">
        <v>3.11</v>
      </c>
    </row>
    <row r="31" ht="13.5" customHeight="1" spans="1:6">
      <c r="A31" s="13" t="s">
        <v>123</v>
      </c>
      <c r="B31" s="13" t="s">
        <v>123</v>
      </c>
      <c r="C31" s="13" t="s">
        <v>124</v>
      </c>
      <c r="D31" s="13" t="s">
        <v>125</v>
      </c>
      <c r="E31" s="14">
        <v>0.0132</v>
      </c>
      <c r="F31" s="14">
        <v>3.09</v>
      </c>
    </row>
    <row r="32" ht="13.5" customHeight="1" spans="1:6">
      <c r="A32" s="13" t="s">
        <v>126</v>
      </c>
      <c r="B32" s="13" t="s">
        <v>126</v>
      </c>
      <c r="C32" s="13" t="s">
        <v>127</v>
      </c>
      <c r="D32" s="13" t="s">
        <v>128</v>
      </c>
      <c r="E32" s="14">
        <v>0.008</v>
      </c>
      <c r="F32" s="14">
        <v>3.2</v>
      </c>
    </row>
    <row r="33" ht="13.5" customHeight="1" spans="1:6">
      <c r="A33" s="19" t="s">
        <v>41</v>
      </c>
      <c r="B33" s="19" t="str">
        <f t="shared" ref="B33:B40" si="0">SUBSTITUTE(C33," ","_")</f>
        <v>Tench</v>
      </c>
      <c r="C33" s="19" t="s">
        <v>41</v>
      </c>
      <c r="D33" s="13" t="s">
        <v>79</v>
      </c>
      <c r="E33" s="19">
        <v>0.0123</v>
      </c>
      <c r="F33" s="19">
        <v>3</v>
      </c>
    </row>
    <row r="34" ht="14.25" customHeight="1" spans="1:6">
      <c r="A34" s="20" t="s">
        <v>95</v>
      </c>
      <c r="B34" s="19" t="str">
        <f t="shared" si="0"/>
        <v>Black_Crappie</v>
      </c>
      <c r="C34" s="20" t="s">
        <v>96</v>
      </c>
      <c r="D34" s="21" t="s">
        <v>129</v>
      </c>
      <c r="E34" s="19">
        <v>0.0096</v>
      </c>
      <c r="F34" s="19">
        <v>3.1</v>
      </c>
    </row>
    <row r="35" ht="14.25" customHeight="1" spans="1:6">
      <c r="A35" s="22" t="s">
        <v>87</v>
      </c>
      <c r="B35" s="19" t="str">
        <f t="shared" si="0"/>
        <v>White_Crappie</v>
      </c>
      <c r="C35" s="22" t="s">
        <v>88</v>
      </c>
      <c r="D35" s="23" t="s">
        <v>130</v>
      </c>
      <c r="E35" s="19">
        <v>0.013</v>
      </c>
      <c r="F35" s="19">
        <v>2.96</v>
      </c>
    </row>
    <row r="36" ht="14.25" customHeight="1" spans="1:6">
      <c r="A36" s="19" t="s">
        <v>131</v>
      </c>
      <c r="B36" s="19" t="str">
        <f t="shared" si="0"/>
        <v>White_Channel_Catfish</v>
      </c>
      <c r="C36" s="24" t="s">
        <v>132</v>
      </c>
      <c r="D36" s="25" t="s">
        <v>133</v>
      </c>
      <c r="E36" s="26">
        <v>0.0081</v>
      </c>
      <c r="F36" s="26">
        <v>3.11</v>
      </c>
    </row>
    <row r="37" ht="14.25" customHeight="1" spans="1:6">
      <c r="A37" s="19" t="s">
        <v>36</v>
      </c>
      <c r="B37" s="19" t="str">
        <f t="shared" si="0"/>
        <v>Yaqui_Sucker</v>
      </c>
      <c r="C37" s="27" t="s">
        <v>134</v>
      </c>
      <c r="D37" s="23" t="s">
        <v>135</v>
      </c>
      <c r="E37" s="19">
        <v>0.00525</v>
      </c>
      <c r="F37" s="19">
        <v>3.09</v>
      </c>
    </row>
    <row r="38" ht="14.25" customHeight="1" spans="1:6">
      <c r="A38" s="19" t="s">
        <v>40</v>
      </c>
      <c r="B38" s="19" t="str">
        <f t="shared" si="0"/>
        <v>Bigmouth_Buffalo</v>
      </c>
      <c r="C38" s="27" t="s">
        <v>136</v>
      </c>
      <c r="D38" s="23" t="s">
        <v>137</v>
      </c>
      <c r="E38" s="19">
        <v>0.0162</v>
      </c>
      <c r="F38" s="19">
        <v>3</v>
      </c>
    </row>
    <row r="39" ht="14.25" customHeight="1" spans="1:6">
      <c r="A39" s="19" t="s">
        <v>45</v>
      </c>
      <c r="B39" s="19" t="str">
        <f t="shared" si="0"/>
        <v>American_Shad</v>
      </c>
      <c r="C39" s="27" t="s">
        <v>138</v>
      </c>
      <c r="D39" s="21" t="s">
        <v>139</v>
      </c>
      <c r="E39" s="19">
        <v>0.00646</v>
      </c>
      <c r="F39" s="19">
        <v>3.08</v>
      </c>
    </row>
    <row r="40" ht="14.25" customHeight="1" spans="1:6">
      <c r="A40" s="19" t="s">
        <v>50</v>
      </c>
      <c r="B40" s="19" t="str">
        <f t="shared" si="0"/>
        <v>Redfin_Pickerel</v>
      </c>
      <c r="C40" s="27" t="s">
        <v>140</v>
      </c>
      <c r="D40" s="23" t="s">
        <v>141</v>
      </c>
      <c r="E40" s="19">
        <v>0.00479</v>
      </c>
      <c r="F40" s="19">
        <v>3.06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9"/>
  <sheetViews>
    <sheetView workbookViewId="0">
      <selection activeCell="F12" sqref="F12"/>
    </sheetView>
  </sheetViews>
  <sheetFormatPr defaultColWidth="14" defaultRowHeight="12.75"/>
  <cols>
    <col min="3" max="3" width="22.5714285714286" style="3" customWidth="1"/>
  </cols>
  <sheetData>
    <row r="1" spans="1:6">
      <c r="A1" s="4" t="s">
        <v>0</v>
      </c>
      <c r="B1" s="5"/>
      <c r="C1" s="5"/>
      <c r="D1" s="5"/>
      <c r="E1" s="5" t="s">
        <v>1</v>
      </c>
      <c r="F1" s="5" t="s">
        <v>1</v>
      </c>
    </row>
    <row r="2" spans="1:6">
      <c r="A2" s="5" t="s">
        <v>142</v>
      </c>
      <c r="B2" s="5" t="s">
        <v>7</v>
      </c>
      <c r="C2" s="5" t="s">
        <v>8</v>
      </c>
      <c r="D2" s="5" t="s">
        <v>9</v>
      </c>
      <c r="E2" s="5" t="s">
        <v>11</v>
      </c>
      <c r="F2" s="5" t="s">
        <v>12</v>
      </c>
    </row>
    <row r="3" spans="1:6">
      <c r="A3" s="6"/>
      <c r="B3" s="6"/>
      <c r="C3" s="6"/>
      <c r="D3" s="6"/>
      <c r="E3" s="6"/>
      <c r="F3" s="6"/>
    </row>
    <row r="4" ht="13.5" customHeight="1" spans="1:11">
      <c r="A4" s="7">
        <f>鱼单价工具!A4</f>
        <v>1</v>
      </c>
      <c r="B4" s="8" t="str">
        <f>鱼单价工具!C4</f>
        <v>灰西鲱</v>
      </c>
      <c r="C4" s="9" t="str">
        <f>鱼单价工具!D4</f>
        <v>Alewife</v>
      </c>
      <c r="D4" s="9" t="str">
        <f>鱼单价工具!E4</f>
        <v>_Young</v>
      </c>
      <c r="E4" s="10">
        <f>鱼单价工具!G4</f>
        <v>18</v>
      </c>
      <c r="F4" s="10">
        <f>鱼单价工具!H4</f>
        <v>28</v>
      </c>
      <c r="G4" s="9"/>
      <c r="H4" s="9"/>
      <c r="I4" s="9"/>
      <c r="J4" s="9"/>
      <c r="K4" s="9"/>
    </row>
    <row r="5" ht="13.5" customHeight="1" spans="1:11">
      <c r="A5" s="7">
        <f>鱼单价工具!A5</f>
        <v>1</v>
      </c>
      <c r="B5" s="8" t="str">
        <f>鱼单价工具!C5</f>
        <v>灰西鲱</v>
      </c>
      <c r="C5" s="9" t="str">
        <f>鱼单价工具!D5</f>
        <v>Alewife</v>
      </c>
      <c r="D5" s="9" t="str">
        <f>鱼单价工具!E5</f>
        <v>_Common</v>
      </c>
      <c r="E5" s="10">
        <f>鱼单价工具!G5</f>
        <v>28</v>
      </c>
      <c r="F5" s="10">
        <f>鱼单价工具!H5</f>
        <v>40</v>
      </c>
      <c r="G5" s="9"/>
      <c r="H5" s="9"/>
      <c r="I5" s="9"/>
      <c r="J5" s="9"/>
      <c r="K5" s="9"/>
    </row>
    <row r="6" ht="13.5" customHeight="1" spans="1:11">
      <c r="A6" s="7">
        <f>鱼单价工具!A6</f>
        <v>1.2</v>
      </c>
      <c r="B6" s="8" t="str">
        <f>鱼单价工具!C6</f>
        <v>美鳊</v>
      </c>
      <c r="C6" s="9" t="str">
        <f>鱼单价工具!D6</f>
        <v>Common_Shiner</v>
      </c>
      <c r="D6" s="9" t="str">
        <f>鱼单价工具!E6</f>
        <v>_Young</v>
      </c>
      <c r="E6" s="10">
        <f>鱼单价工具!G6</f>
        <v>10</v>
      </c>
      <c r="F6" s="10">
        <f>鱼单价工具!H6</f>
        <v>16</v>
      </c>
      <c r="G6" s="9"/>
      <c r="H6" s="9"/>
      <c r="I6" s="9"/>
      <c r="J6" s="9"/>
      <c r="K6" s="9"/>
    </row>
    <row r="7" ht="13.5" customHeight="1" spans="1:11">
      <c r="A7" s="7">
        <f>鱼单价工具!A7</f>
        <v>1.2</v>
      </c>
      <c r="B7" s="8" t="str">
        <f>鱼单价工具!C7</f>
        <v>美鳊</v>
      </c>
      <c r="C7" s="9" t="str">
        <f>鱼单价工具!D7</f>
        <v>Common_Shiner</v>
      </c>
      <c r="D7" s="9" t="str">
        <f>鱼单价工具!E7</f>
        <v>_Common</v>
      </c>
      <c r="E7" s="10">
        <f>鱼单价工具!G7</f>
        <v>16</v>
      </c>
      <c r="F7" s="10">
        <f>鱼单价工具!H7</f>
        <v>20</v>
      </c>
      <c r="G7" s="9"/>
      <c r="H7" s="9"/>
      <c r="I7" s="9"/>
      <c r="J7" s="9"/>
      <c r="K7" s="9"/>
    </row>
    <row r="8" ht="13.5" customHeight="1" spans="1:11">
      <c r="A8" s="7">
        <f>鱼单价工具!A8</f>
        <v>1.7</v>
      </c>
      <c r="B8" s="8" t="str">
        <f>鱼单价工具!C8</f>
        <v>绿太阳鱼</v>
      </c>
      <c r="C8" s="9" t="str">
        <f>鱼单价工具!D8</f>
        <v>Green_Sunfish</v>
      </c>
      <c r="D8" s="9" t="str">
        <f>鱼单价工具!E8</f>
        <v>_Young</v>
      </c>
      <c r="E8" s="10">
        <f>鱼单价工具!G8</f>
        <v>15</v>
      </c>
      <c r="F8" s="10">
        <f>鱼单价工具!H8</f>
        <v>23</v>
      </c>
      <c r="G8" s="9"/>
      <c r="H8" s="9"/>
      <c r="I8" s="9"/>
      <c r="J8" s="9"/>
      <c r="K8" s="9"/>
    </row>
    <row r="9" ht="13.5" customHeight="1" spans="1:11">
      <c r="A9" s="7">
        <f>鱼单价工具!A9</f>
        <v>1.7</v>
      </c>
      <c r="B9" s="8" t="str">
        <f>鱼单价工具!C9</f>
        <v>绿太阳鱼</v>
      </c>
      <c r="C9" s="9" t="str">
        <f>鱼单价工具!D9</f>
        <v>Green_Sunfish</v>
      </c>
      <c r="D9" s="9" t="str">
        <f>鱼单价工具!E9</f>
        <v>_Common</v>
      </c>
      <c r="E9" s="10">
        <f>鱼单价工具!G9</f>
        <v>23</v>
      </c>
      <c r="F9" s="10">
        <f>鱼单价工具!H9</f>
        <v>31</v>
      </c>
      <c r="G9" s="9"/>
      <c r="H9" s="9"/>
      <c r="I9" s="9"/>
      <c r="J9" s="9"/>
      <c r="K9" s="9"/>
    </row>
    <row r="10" ht="13.5" customHeight="1" spans="1:11">
      <c r="A10" s="7">
        <f>鱼单价工具!A10</f>
        <v>1.5</v>
      </c>
      <c r="B10" s="8" t="str">
        <f>鱼单价工具!C10</f>
        <v>驼背太阳鱼</v>
      </c>
      <c r="C10" s="9" t="str">
        <f>鱼单价工具!D10</f>
        <v>Pumpkinseed_Sunfish</v>
      </c>
      <c r="D10" s="9" t="str">
        <f>鱼单价工具!E10</f>
        <v>_Young</v>
      </c>
      <c r="E10" s="10">
        <f>鱼单价工具!G10</f>
        <v>20</v>
      </c>
      <c r="F10" s="10">
        <f>鱼单价工具!H10</f>
        <v>28</v>
      </c>
      <c r="G10" s="9"/>
      <c r="H10" s="9"/>
      <c r="I10" s="9"/>
      <c r="J10" s="9"/>
      <c r="K10" s="9"/>
    </row>
    <row r="11" ht="13.5" customHeight="1" spans="1:11">
      <c r="A11" s="7">
        <f>鱼单价工具!A11</f>
        <v>1.5</v>
      </c>
      <c r="B11" s="8" t="str">
        <f>鱼单价工具!C11</f>
        <v>驼背太阳鱼</v>
      </c>
      <c r="C11" s="9" t="str">
        <f>鱼单价工具!D11</f>
        <v>Pumpkinseed_Sunfish</v>
      </c>
      <c r="D11" s="9" t="str">
        <f>鱼单价工具!E11</f>
        <v>_Common</v>
      </c>
      <c r="E11" s="10">
        <f>鱼单价工具!G11</f>
        <v>28</v>
      </c>
      <c r="F11" s="10">
        <f>鱼单价工具!H11</f>
        <v>40</v>
      </c>
      <c r="G11" s="9"/>
      <c r="H11" s="9"/>
      <c r="I11" s="9"/>
      <c r="J11" s="9"/>
      <c r="K11" s="9"/>
    </row>
    <row r="12" ht="13.5" customHeight="1" spans="1:11">
      <c r="A12" s="7">
        <f>鱼单价工具!A12</f>
        <v>2</v>
      </c>
      <c r="B12" s="8" t="str">
        <f>鱼单价工具!C12</f>
        <v>蓝鳃太阳鱼</v>
      </c>
      <c r="C12" s="9" t="str">
        <f>鱼单价工具!D12</f>
        <v>Bluegill_Sunfish</v>
      </c>
      <c r="D12" s="9" t="str">
        <f>鱼单价工具!E12</f>
        <v>_Young</v>
      </c>
      <c r="E12" s="10">
        <f>鱼单价工具!G12</f>
        <v>15</v>
      </c>
      <c r="F12" s="10">
        <f>鱼单价工具!H12</f>
        <v>22</v>
      </c>
      <c r="G12" s="9"/>
      <c r="H12" s="9"/>
      <c r="I12" s="9"/>
      <c r="J12" s="9"/>
      <c r="K12" s="9"/>
    </row>
    <row r="13" ht="13.5" customHeight="1" spans="1:11">
      <c r="A13" s="7">
        <f>鱼单价工具!A13</f>
        <v>2</v>
      </c>
      <c r="B13" s="8" t="str">
        <f>鱼单价工具!C13</f>
        <v>蓝鳃太阳鱼</v>
      </c>
      <c r="C13" s="9" t="str">
        <f>鱼单价工具!D13</f>
        <v>Bluegill_Sunfish</v>
      </c>
      <c r="D13" s="9" t="str">
        <f>鱼单价工具!E13</f>
        <v>_Common</v>
      </c>
      <c r="E13" s="10">
        <f>鱼单价工具!G13</f>
        <v>22</v>
      </c>
      <c r="F13" s="10">
        <f>鱼单价工具!H13</f>
        <v>33</v>
      </c>
      <c r="G13" s="9"/>
      <c r="H13" s="9"/>
      <c r="I13" s="9"/>
      <c r="J13" s="9"/>
      <c r="K13" s="9"/>
    </row>
    <row r="14" ht="13.5" customHeight="1" spans="1:11">
      <c r="A14" s="7">
        <f>鱼单价工具!A14</f>
        <v>2</v>
      </c>
      <c r="B14" s="8" t="str">
        <f>鱼单价工具!C14</f>
        <v>蓝鳃太阳鱼</v>
      </c>
      <c r="C14" s="9" t="str">
        <f>鱼单价工具!D14</f>
        <v>Bluegill_Sunfish</v>
      </c>
      <c r="D14" s="9" t="str">
        <f>鱼单价工具!E14</f>
        <v>_Trophy</v>
      </c>
      <c r="E14" s="10">
        <f>鱼单价工具!G14</f>
        <v>33</v>
      </c>
      <c r="F14" s="10">
        <f>鱼单价工具!H14</f>
        <v>41</v>
      </c>
      <c r="G14" s="9"/>
      <c r="H14" s="9"/>
      <c r="I14" s="9"/>
      <c r="J14" s="9"/>
      <c r="K14" s="9"/>
    </row>
    <row r="15" ht="13.5" customHeight="1" spans="1:11">
      <c r="A15" s="7">
        <f>鱼单价工具!A15</f>
        <v>2.3</v>
      </c>
      <c r="B15" s="8" t="str">
        <f>鱼单价工具!C15</f>
        <v>小冠太阳鱼</v>
      </c>
      <c r="C15" s="9" t="str">
        <f>鱼单价工具!D15</f>
        <v>Redear_Sunfish</v>
      </c>
      <c r="D15" s="9" t="str">
        <f>鱼单价工具!E15</f>
        <v>_Young</v>
      </c>
      <c r="E15" s="10">
        <f>鱼单价工具!G15</f>
        <v>14</v>
      </c>
      <c r="F15" s="10">
        <f>鱼单价工具!H15</f>
        <v>25</v>
      </c>
      <c r="G15" s="9"/>
      <c r="H15" s="9"/>
      <c r="I15" s="9"/>
      <c r="J15" s="9"/>
      <c r="K15" s="9"/>
    </row>
    <row r="16" ht="13.5" customHeight="1" spans="1:11">
      <c r="A16" s="7">
        <f>鱼单价工具!A16</f>
        <v>2.3</v>
      </c>
      <c r="B16" s="8" t="str">
        <f>鱼单价工具!C16</f>
        <v>小冠太阳鱼</v>
      </c>
      <c r="C16" s="9" t="str">
        <f>鱼单价工具!D16</f>
        <v>Redear_Sunfish</v>
      </c>
      <c r="D16" s="9" t="str">
        <f>鱼单价工具!E16</f>
        <v>_Common</v>
      </c>
      <c r="E16" s="10">
        <f>鱼单价工具!G16</f>
        <v>25</v>
      </c>
      <c r="F16" s="10">
        <f>鱼单价工具!H16</f>
        <v>38</v>
      </c>
      <c r="G16" s="9"/>
      <c r="H16" s="9"/>
      <c r="I16" s="9"/>
      <c r="J16" s="9"/>
      <c r="K16" s="9"/>
    </row>
    <row r="17" ht="13.5" customHeight="1" spans="1:11">
      <c r="A17" s="7">
        <f>鱼单价工具!A17</f>
        <v>2.3</v>
      </c>
      <c r="B17" s="8" t="str">
        <f>鱼单价工具!C17</f>
        <v>小冠太阳鱼</v>
      </c>
      <c r="C17" s="9" t="str">
        <f>鱼单价工具!D17</f>
        <v>Redear_Sunfish</v>
      </c>
      <c r="D17" s="9" t="str">
        <f>鱼单价工具!E17</f>
        <v>_Trophy</v>
      </c>
      <c r="E17" s="10">
        <f>鱼单价工具!G17</f>
        <v>38</v>
      </c>
      <c r="F17" s="10">
        <f>鱼单价工具!H17</f>
        <v>48</v>
      </c>
      <c r="G17" s="9"/>
      <c r="H17" s="9"/>
      <c r="I17" s="9"/>
      <c r="J17" s="9"/>
      <c r="K17" s="9"/>
    </row>
    <row r="18" ht="13.5" customHeight="1" spans="1:11">
      <c r="A18" s="7">
        <f>鱼单价工具!A18</f>
        <v>3</v>
      </c>
      <c r="B18" s="8" t="str">
        <f>鱼单价工具!C18</f>
        <v>白亚口鱼</v>
      </c>
      <c r="C18" s="9" t="str">
        <f>鱼单价工具!D18</f>
        <v>Yaqui_Sucker</v>
      </c>
      <c r="D18" s="9" t="str">
        <f>鱼单价工具!E18</f>
        <v>_Young</v>
      </c>
      <c r="E18" s="10">
        <f>鱼单价工具!G18</f>
        <v>16</v>
      </c>
      <c r="F18" s="10">
        <f>鱼单价工具!H18</f>
        <v>26</v>
      </c>
      <c r="G18" s="9"/>
      <c r="H18" s="9"/>
      <c r="I18" s="9"/>
      <c r="J18" s="9"/>
      <c r="K18" s="9"/>
    </row>
    <row r="19" ht="13.5" customHeight="1" spans="1:11">
      <c r="A19" s="7">
        <f>鱼单价工具!A19</f>
        <v>3</v>
      </c>
      <c r="B19" s="8" t="str">
        <f>鱼单价工具!C19</f>
        <v>白亚口鱼</v>
      </c>
      <c r="C19" s="9" t="str">
        <f>鱼单价工具!D19</f>
        <v>Yaqui_Sucker</v>
      </c>
      <c r="D19" s="9" t="str">
        <f>鱼单价工具!E19</f>
        <v>_Common</v>
      </c>
      <c r="E19" s="10">
        <f>鱼单价工具!G19</f>
        <v>26</v>
      </c>
      <c r="F19" s="10">
        <f>鱼单价工具!H19</f>
        <v>40</v>
      </c>
      <c r="G19" s="9"/>
      <c r="H19" s="9"/>
      <c r="I19" s="9"/>
      <c r="J19" s="9"/>
      <c r="K19" s="9"/>
    </row>
    <row r="20" ht="13.5" customHeight="1" spans="1:11">
      <c r="A20" s="7">
        <f>鱼单价工具!A20</f>
        <v>3</v>
      </c>
      <c r="B20" s="8" t="str">
        <f>鱼单价工具!C20</f>
        <v>白亚口鱼</v>
      </c>
      <c r="C20" s="9" t="str">
        <f>鱼单价工具!D20</f>
        <v>Yaqui_Sucker</v>
      </c>
      <c r="D20" s="9" t="str">
        <f>鱼单价工具!E20</f>
        <v>_Trophy</v>
      </c>
      <c r="E20" s="10">
        <f>鱼单价工具!G20</f>
        <v>40</v>
      </c>
      <c r="F20" s="10">
        <f>鱼单价工具!H20</f>
        <v>49</v>
      </c>
      <c r="G20" s="9"/>
      <c r="H20" s="9"/>
      <c r="I20" s="9"/>
      <c r="J20" s="9"/>
      <c r="K20" s="9"/>
    </row>
    <row r="21" ht="13.5" customHeight="1" spans="1:11">
      <c r="A21" s="7">
        <f>鱼单价工具!A21</f>
        <v>3</v>
      </c>
      <c r="B21" s="8" t="str">
        <f>鱼单价工具!C21</f>
        <v>白亚口鱼</v>
      </c>
      <c r="C21" s="9" t="str">
        <f>鱼单价工具!D21</f>
        <v>Yaqui_Sucker</v>
      </c>
      <c r="D21" s="9" t="str">
        <f>鱼单价工具!E21</f>
        <v>_Unique</v>
      </c>
      <c r="E21" s="10">
        <f>鱼单价工具!G21</f>
        <v>49</v>
      </c>
      <c r="F21" s="10">
        <f>鱼单价工具!H21</f>
        <v>56</v>
      </c>
      <c r="G21" s="9"/>
      <c r="H21" s="9"/>
      <c r="I21" s="9"/>
      <c r="J21" s="9"/>
      <c r="K21" s="9"/>
    </row>
    <row r="22" ht="13.5" customHeight="1" spans="1:11">
      <c r="A22" s="7">
        <f>鱼单价工具!A22</f>
        <v>3</v>
      </c>
      <c r="B22" s="8" t="str">
        <f>鱼单价工具!C22</f>
        <v>水牛鱼</v>
      </c>
      <c r="C22" s="9" t="str">
        <f>鱼单价工具!D22</f>
        <v>Buffalo</v>
      </c>
      <c r="D22" s="9" t="str">
        <f>鱼单价工具!E22</f>
        <v>_Young</v>
      </c>
      <c r="E22" s="10">
        <f>鱼单价工具!G22</f>
        <v>20</v>
      </c>
      <c r="F22" s="10">
        <f>鱼单价工具!H22</f>
        <v>53</v>
      </c>
      <c r="G22" s="9"/>
      <c r="H22" s="9"/>
      <c r="I22" s="9"/>
      <c r="J22" s="9"/>
      <c r="K22" s="9"/>
    </row>
    <row r="23" ht="13.5" customHeight="1" spans="1:11">
      <c r="A23" s="7">
        <f>鱼单价工具!A23</f>
        <v>3</v>
      </c>
      <c r="B23" s="8" t="str">
        <f>鱼单价工具!C23</f>
        <v>水牛鱼</v>
      </c>
      <c r="C23" s="9" t="str">
        <f>鱼单价工具!D23</f>
        <v>Buffalo</v>
      </c>
      <c r="D23" s="9" t="str">
        <f>鱼单价工具!E23</f>
        <v>_Common</v>
      </c>
      <c r="E23" s="10">
        <f>鱼单价工具!G23</f>
        <v>53</v>
      </c>
      <c r="F23" s="10">
        <f>鱼单价工具!H23</f>
        <v>81</v>
      </c>
      <c r="G23" s="9"/>
      <c r="H23" s="9"/>
      <c r="I23" s="9"/>
      <c r="J23" s="9"/>
      <c r="K23" s="9"/>
    </row>
    <row r="24" ht="13.5" customHeight="1" spans="1:11">
      <c r="A24" s="7">
        <f>鱼单价工具!A24</f>
        <v>3</v>
      </c>
      <c r="B24" s="8" t="str">
        <f>鱼单价工具!C24</f>
        <v>水牛鱼</v>
      </c>
      <c r="C24" s="9" t="str">
        <f>鱼单价工具!D24</f>
        <v>Buffalo</v>
      </c>
      <c r="D24" s="9" t="str">
        <f>鱼单价工具!E24</f>
        <v>_Trophy</v>
      </c>
      <c r="E24" s="10">
        <f>鱼单价工具!G24</f>
        <v>81</v>
      </c>
      <c r="F24" s="10">
        <f>鱼单价工具!H24</f>
        <v>100</v>
      </c>
      <c r="G24" s="9"/>
      <c r="H24" s="9"/>
      <c r="I24" s="9"/>
      <c r="J24" s="9"/>
      <c r="K24" s="9"/>
    </row>
    <row r="25" ht="13.5" customHeight="1" spans="1:11">
      <c r="A25" s="7">
        <f>鱼单价工具!A25</f>
        <v>3</v>
      </c>
      <c r="B25" s="8" t="str">
        <f>鱼单价工具!C25</f>
        <v>水牛鱼</v>
      </c>
      <c r="C25" s="9" t="str">
        <f>鱼单价工具!D25</f>
        <v>Buffalo</v>
      </c>
      <c r="D25" s="9" t="str">
        <f>鱼单价工具!E25</f>
        <v>_Unique</v>
      </c>
      <c r="E25" s="10">
        <f>鱼单价工具!G25</f>
        <v>100</v>
      </c>
      <c r="F25" s="10">
        <f>鱼单价工具!H25</f>
        <v>113</v>
      </c>
      <c r="G25" s="9"/>
      <c r="H25" s="9"/>
      <c r="I25" s="9"/>
      <c r="J25" s="9"/>
      <c r="K25" s="9"/>
    </row>
    <row r="26" ht="13.5" customHeight="1" spans="1:11">
      <c r="A26" s="7">
        <f>鱼单价工具!A26</f>
        <v>3.5</v>
      </c>
      <c r="B26" s="8" t="str">
        <f>鱼单价工具!C26</f>
        <v>大口牛胭脂鱼</v>
      </c>
      <c r="C26" s="9" t="str">
        <f>鱼单价工具!D26</f>
        <v>Bigmouth_Buffalo</v>
      </c>
      <c r="D26" s="9" t="str">
        <f>鱼单价工具!E26</f>
        <v>_Young</v>
      </c>
      <c r="E26" s="10">
        <f>鱼单价工具!G26</f>
        <v>25</v>
      </c>
      <c r="F26" s="10">
        <f>鱼单价工具!H26</f>
        <v>61</v>
      </c>
      <c r="G26" s="9"/>
      <c r="H26" s="9"/>
      <c r="I26" s="9"/>
      <c r="J26" s="9"/>
      <c r="K26" s="9"/>
    </row>
    <row r="27" ht="13.5" customHeight="1" spans="1:11">
      <c r="A27" s="7">
        <f>鱼单价工具!A27</f>
        <v>3.5</v>
      </c>
      <c r="B27" s="8" t="str">
        <f>鱼单价工具!C27</f>
        <v>大口牛胭脂鱼</v>
      </c>
      <c r="C27" s="9" t="str">
        <f>鱼单价工具!D27</f>
        <v>Bigmouth_Buffalo</v>
      </c>
      <c r="D27" s="9" t="str">
        <f>鱼单价工具!E27</f>
        <v>_Common</v>
      </c>
      <c r="E27" s="10">
        <f>鱼单价工具!G27</f>
        <v>61</v>
      </c>
      <c r="F27" s="10">
        <f>鱼单价工具!H27</f>
        <v>92</v>
      </c>
      <c r="G27" s="9"/>
      <c r="H27" s="9"/>
      <c r="I27" s="9"/>
      <c r="J27" s="9"/>
      <c r="K27" s="9"/>
    </row>
    <row r="28" ht="13.5" customHeight="1" spans="1:11">
      <c r="A28" s="7">
        <f>鱼单价工具!A28</f>
        <v>3.5</v>
      </c>
      <c r="B28" s="8" t="str">
        <f>鱼单价工具!C28</f>
        <v>大口牛胭脂鱼</v>
      </c>
      <c r="C28" s="9" t="str">
        <f>鱼单价工具!D28</f>
        <v>Bigmouth_Buffalo</v>
      </c>
      <c r="D28" s="9" t="str">
        <f>鱼单价工具!E28</f>
        <v>_Trophy</v>
      </c>
      <c r="E28" s="10">
        <f>鱼单价工具!G28</f>
        <v>92</v>
      </c>
      <c r="F28" s="10">
        <f>鱼单价工具!H28</f>
        <v>112</v>
      </c>
      <c r="G28" s="9"/>
      <c r="H28" s="9"/>
      <c r="I28" s="9"/>
      <c r="J28" s="9"/>
      <c r="K28" s="9"/>
    </row>
    <row r="29" ht="13.5" customHeight="1" spans="1:11">
      <c r="A29" s="7">
        <f>鱼单价工具!A29</f>
        <v>3.5</v>
      </c>
      <c r="B29" s="8" t="str">
        <f>鱼单价工具!C29</f>
        <v>大口牛胭脂鱼</v>
      </c>
      <c r="C29" s="9" t="str">
        <f>鱼单价工具!D29</f>
        <v>Bigmouth_Buffalo</v>
      </c>
      <c r="D29" s="9" t="str">
        <f>鱼单价工具!E29</f>
        <v>_Unique</v>
      </c>
      <c r="E29" s="10">
        <f>鱼单价工具!G29</f>
        <v>112</v>
      </c>
      <c r="F29" s="10">
        <f>鱼单价工具!H29</f>
        <v>127</v>
      </c>
      <c r="G29" s="9"/>
      <c r="H29" s="9"/>
      <c r="I29" s="9"/>
      <c r="J29" s="9"/>
      <c r="K29" s="9"/>
    </row>
    <row r="30" ht="13.5" customHeight="1" spans="1:11">
      <c r="A30" s="7">
        <f>鱼单价工具!A30</f>
        <v>4</v>
      </c>
      <c r="B30" s="8" t="str">
        <f>鱼单价工具!C30</f>
        <v>丁鱥</v>
      </c>
      <c r="C30" s="9" t="str">
        <f>鱼单价工具!D30</f>
        <v>Tench</v>
      </c>
      <c r="D30" s="9" t="str">
        <f>鱼单价工具!E30</f>
        <v>_Young</v>
      </c>
      <c r="E30" s="10">
        <f>鱼单价工具!G30</f>
        <v>18</v>
      </c>
      <c r="F30" s="10">
        <f>鱼单价工具!H30</f>
        <v>28</v>
      </c>
      <c r="G30" s="9"/>
      <c r="H30" s="9"/>
      <c r="I30" s="9"/>
      <c r="J30" s="9"/>
      <c r="K30" s="9"/>
    </row>
    <row r="31" ht="13.5" customHeight="1" spans="1:11">
      <c r="A31" s="7">
        <f>鱼单价工具!A31</f>
        <v>4</v>
      </c>
      <c r="B31" s="8" t="str">
        <f>鱼单价工具!C31</f>
        <v>丁鱥</v>
      </c>
      <c r="C31" s="9" t="str">
        <f>鱼单价工具!D31</f>
        <v>Tench</v>
      </c>
      <c r="D31" s="9" t="str">
        <f>鱼单价工具!E31</f>
        <v>_Common</v>
      </c>
      <c r="E31" s="10">
        <f>鱼单价工具!G31</f>
        <v>28</v>
      </c>
      <c r="F31" s="10">
        <f>鱼单价工具!H31</f>
        <v>43</v>
      </c>
      <c r="G31" s="9"/>
      <c r="H31" s="9"/>
      <c r="I31" s="9"/>
      <c r="J31" s="9"/>
      <c r="K31" s="9"/>
    </row>
    <row r="32" ht="13.5" customHeight="1" spans="1:11">
      <c r="A32" s="7">
        <f>鱼单价工具!A32</f>
        <v>4</v>
      </c>
      <c r="B32" s="8" t="str">
        <f>鱼单价工具!C32</f>
        <v>丁鱥</v>
      </c>
      <c r="C32" s="9" t="str">
        <f>鱼单价工具!D32</f>
        <v>Tench</v>
      </c>
      <c r="D32" s="9" t="str">
        <f>鱼单价工具!E32</f>
        <v>_Trophy</v>
      </c>
      <c r="E32" s="10">
        <f>鱼单价工具!G32</f>
        <v>43</v>
      </c>
      <c r="F32" s="10">
        <f>鱼单价工具!H32</f>
        <v>55</v>
      </c>
      <c r="G32" s="9"/>
      <c r="H32" s="9"/>
      <c r="I32" s="9"/>
      <c r="J32" s="9"/>
      <c r="K32" s="9"/>
    </row>
    <row r="33" ht="13.5" customHeight="1" spans="1:11">
      <c r="A33" s="7">
        <f>鱼单价工具!A33</f>
        <v>4</v>
      </c>
      <c r="B33" s="8" t="str">
        <f>鱼单价工具!C33</f>
        <v>丁鱥</v>
      </c>
      <c r="C33" s="9" t="str">
        <f>鱼单价工具!D33</f>
        <v>Tench</v>
      </c>
      <c r="D33" s="9" t="str">
        <f>鱼单价工具!E33</f>
        <v>_Unique</v>
      </c>
      <c r="E33" s="10">
        <f>鱼单价工具!G33</f>
        <v>55</v>
      </c>
      <c r="F33" s="10">
        <f>鱼单价工具!H33</f>
        <v>64</v>
      </c>
      <c r="G33" s="9"/>
      <c r="H33" s="9"/>
      <c r="I33" s="9"/>
      <c r="J33" s="9"/>
      <c r="K33" s="9"/>
    </row>
    <row r="34" ht="13.5" customHeight="1" spans="1:11">
      <c r="A34" s="7">
        <f>鱼单价工具!A34</f>
        <v>4</v>
      </c>
      <c r="B34" s="8" t="str">
        <f>鱼单价工具!C34</f>
        <v>丁鱥</v>
      </c>
      <c r="C34" s="9" t="str">
        <f>鱼单价工具!D34</f>
        <v>Tench</v>
      </c>
      <c r="D34" s="9" t="str">
        <f>鱼单价工具!E34</f>
        <v>_Apex</v>
      </c>
      <c r="E34" s="10">
        <f>鱼单价工具!G34</f>
        <v>64</v>
      </c>
      <c r="F34" s="10">
        <f>鱼单价工具!H34</f>
        <v>70</v>
      </c>
      <c r="G34" s="9"/>
      <c r="H34" s="9"/>
      <c r="I34" s="9"/>
      <c r="J34" s="9"/>
      <c r="K34" s="9"/>
    </row>
    <row r="35" ht="13.5" customHeight="1" spans="1:11">
      <c r="A35" s="7">
        <f>鱼单价工具!A35</f>
        <v>4.3</v>
      </c>
      <c r="B35" s="8" t="str">
        <f>鱼单价工具!C35</f>
        <v>斑点叉尾鮰</v>
      </c>
      <c r="C35" s="9" t="str">
        <f>鱼单价工具!D35</f>
        <v>Channel_Catfish</v>
      </c>
      <c r="D35" s="9" t="str">
        <f>鱼单价工具!E35</f>
        <v>_Young</v>
      </c>
      <c r="E35" s="10">
        <f>鱼单价工具!G35</f>
        <v>25</v>
      </c>
      <c r="F35" s="10">
        <f>鱼单价工具!H35</f>
        <v>47</v>
      </c>
      <c r="G35" s="9"/>
      <c r="H35" s="9"/>
      <c r="I35" s="9"/>
      <c r="J35" s="9"/>
      <c r="K35" s="9"/>
    </row>
    <row r="36" ht="13.5" customHeight="1" spans="1:11">
      <c r="A36" s="7">
        <f>鱼单价工具!A36</f>
        <v>4.3</v>
      </c>
      <c r="B36" s="8" t="str">
        <f>鱼单价工具!C36</f>
        <v>斑点叉尾鮰</v>
      </c>
      <c r="C36" s="9" t="str">
        <f>鱼单价工具!D36</f>
        <v>Channel_Catfish</v>
      </c>
      <c r="D36" s="9" t="str">
        <f>鱼单价工具!E36</f>
        <v>_Common</v>
      </c>
      <c r="E36" s="10">
        <f>鱼单价工具!G36</f>
        <v>47</v>
      </c>
      <c r="F36" s="10">
        <f>鱼单价工具!H36</f>
        <v>78</v>
      </c>
      <c r="G36" s="9"/>
      <c r="H36" s="9"/>
      <c r="I36" s="9"/>
      <c r="J36" s="9"/>
      <c r="K36" s="9"/>
    </row>
    <row r="37" ht="13.5" customHeight="1" spans="1:11">
      <c r="A37" s="7">
        <f>鱼单价工具!A37</f>
        <v>4.3</v>
      </c>
      <c r="B37" s="8" t="str">
        <f>鱼单价工具!C37</f>
        <v>斑点叉尾鮰</v>
      </c>
      <c r="C37" s="9" t="str">
        <f>鱼单价工具!D37</f>
        <v>Channel_Catfish</v>
      </c>
      <c r="D37" s="9" t="str">
        <f>鱼单价工具!E37</f>
        <v>_Trophy</v>
      </c>
      <c r="E37" s="10">
        <f>鱼单价工具!G37</f>
        <v>78</v>
      </c>
      <c r="F37" s="10">
        <f>鱼单价工具!H37</f>
        <v>102</v>
      </c>
      <c r="G37" s="9"/>
      <c r="H37" s="9"/>
      <c r="I37" s="9"/>
      <c r="J37" s="9"/>
      <c r="K37" s="9"/>
    </row>
    <row r="38" ht="13.5" customHeight="1" spans="1:11">
      <c r="A38" s="7">
        <f>鱼单价工具!A38</f>
        <v>4.3</v>
      </c>
      <c r="B38" s="8" t="str">
        <f>鱼单价工具!C38</f>
        <v>斑点叉尾鮰</v>
      </c>
      <c r="C38" s="9" t="str">
        <f>鱼单价工具!D38</f>
        <v>Channel_Catfish</v>
      </c>
      <c r="D38" s="9" t="str">
        <f>鱼单价工具!E38</f>
        <v>_Unique</v>
      </c>
      <c r="E38" s="10">
        <f>鱼单价工具!G38</f>
        <v>102</v>
      </c>
      <c r="F38" s="10">
        <f>鱼单价工具!H38</f>
        <v>120</v>
      </c>
      <c r="G38" s="9"/>
      <c r="H38" s="9"/>
      <c r="I38" s="9"/>
      <c r="J38" s="9"/>
      <c r="K38" s="9"/>
    </row>
    <row r="39" ht="13.5" customHeight="1" spans="1:11">
      <c r="A39" s="7">
        <f>鱼单价工具!A39</f>
        <v>4.3</v>
      </c>
      <c r="B39" s="8" t="str">
        <f>鱼单价工具!C39</f>
        <v>斑点叉尾鮰</v>
      </c>
      <c r="C39" s="9" t="str">
        <f>鱼单价工具!D39</f>
        <v>Channel_Catfish</v>
      </c>
      <c r="D39" s="9" t="str">
        <f>鱼单价工具!E39</f>
        <v>_Apex</v>
      </c>
      <c r="E39" s="10">
        <f>鱼单价工具!G39</f>
        <v>120</v>
      </c>
      <c r="F39" s="10">
        <f>鱼单价工具!H39</f>
        <v>132</v>
      </c>
      <c r="G39" s="9"/>
      <c r="H39" s="9"/>
      <c r="I39" s="9"/>
      <c r="J39" s="9"/>
      <c r="K39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2"/>
  <sheetViews>
    <sheetView topLeftCell="A28" workbookViewId="0">
      <selection activeCell="E2" sqref="E2:E82"/>
    </sheetView>
  </sheetViews>
  <sheetFormatPr defaultColWidth="14" defaultRowHeight="12.75" outlineLevelCol="6"/>
  <sheetData>
    <row r="1" spans="1:7">
      <c r="A1" s="1" t="s">
        <v>8</v>
      </c>
      <c r="B1" s="1" t="s">
        <v>143</v>
      </c>
      <c r="C1" s="1" t="s">
        <v>10</v>
      </c>
      <c r="D1" s="1" t="s">
        <v>5</v>
      </c>
      <c r="E1" s="1" t="s">
        <v>144</v>
      </c>
      <c r="F1" s="1" t="s">
        <v>11</v>
      </c>
      <c r="G1" s="1" t="s">
        <v>12</v>
      </c>
    </row>
    <row r="2" spans="1:5">
      <c r="A2" s="2" t="s">
        <v>27</v>
      </c>
      <c r="B2" s="2" t="s">
        <v>28</v>
      </c>
      <c r="C2" s="2">
        <v>1</v>
      </c>
      <c r="D2" s="2">
        <v>1</v>
      </c>
      <c r="E2" s="2">
        <v>1100</v>
      </c>
    </row>
    <row r="3" spans="1:5">
      <c r="A3" s="2" t="s">
        <v>27</v>
      </c>
      <c r="B3" s="2" t="s">
        <v>29</v>
      </c>
      <c r="C3" s="2">
        <v>1</v>
      </c>
      <c r="D3" s="2">
        <v>1</v>
      </c>
      <c r="E3" s="2">
        <v>1100</v>
      </c>
    </row>
    <row r="4" spans="1:5">
      <c r="A4" s="2" t="s">
        <v>30</v>
      </c>
      <c r="B4" s="2" t="s">
        <v>28</v>
      </c>
      <c r="C4" s="2">
        <v>1</v>
      </c>
      <c r="D4" s="2">
        <v>1</v>
      </c>
      <c r="E4" s="2">
        <v>900</v>
      </c>
    </row>
    <row r="5" spans="1:5">
      <c r="A5" s="2" t="s">
        <v>30</v>
      </c>
      <c r="B5" s="2" t="s">
        <v>29</v>
      </c>
      <c r="C5" s="2">
        <v>1</v>
      </c>
      <c r="D5" s="2">
        <v>1</v>
      </c>
      <c r="E5" s="2">
        <v>900</v>
      </c>
    </row>
    <row r="6" spans="1:5">
      <c r="A6" s="2" t="s">
        <v>31</v>
      </c>
      <c r="B6" s="2" t="s">
        <v>28</v>
      </c>
      <c r="C6" s="2">
        <v>1</v>
      </c>
      <c r="D6" s="2">
        <v>1</v>
      </c>
      <c r="E6" s="2">
        <v>600</v>
      </c>
    </row>
    <row r="7" spans="1:5">
      <c r="A7" s="2" t="s">
        <v>31</v>
      </c>
      <c r="B7" s="2" t="s">
        <v>29</v>
      </c>
      <c r="C7" s="2">
        <v>1</v>
      </c>
      <c r="D7" s="2">
        <v>1</v>
      </c>
      <c r="E7" s="2">
        <v>600</v>
      </c>
    </row>
    <row r="8" spans="1:5">
      <c r="A8" s="2" t="s">
        <v>32</v>
      </c>
      <c r="B8" s="2" t="s">
        <v>28</v>
      </c>
      <c r="C8" s="2">
        <v>1</v>
      </c>
      <c r="D8" s="2">
        <v>1</v>
      </c>
      <c r="E8" s="2">
        <v>500</v>
      </c>
    </row>
    <row r="9" spans="1:5">
      <c r="A9" s="2" t="s">
        <v>32</v>
      </c>
      <c r="B9" s="2" t="s">
        <v>29</v>
      </c>
      <c r="C9" s="2">
        <v>1</v>
      </c>
      <c r="D9" s="2">
        <v>1</v>
      </c>
      <c r="E9" s="2">
        <v>500</v>
      </c>
    </row>
    <row r="10" spans="1:5">
      <c r="A10" s="2" t="s">
        <v>33</v>
      </c>
      <c r="B10" s="2" t="s">
        <v>28</v>
      </c>
      <c r="C10" s="2">
        <v>1</v>
      </c>
      <c r="D10" s="2">
        <v>2</v>
      </c>
      <c r="E10" s="2">
        <v>400</v>
      </c>
    </row>
    <row r="11" spans="1:5">
      <c r="A11" s="2" t="s">
        <v>33</v>
      </c>
      <c r="B11" s="2" t="s">
        <v>29</v>
      </c>
      <c r="C11" s="2">
        <v>1</v>
      </c>
      <c r="D11" s="2">
        <v>2</v>
      </c>
      <c r="E11" s="2">
        <v>400</v>
      </c>
    </row>
    <row r="12" spans="1:5">
      <c r="A12" s="2" t="s">
        <v>33</v>
      </c>
      <c r="B12" s="2" t="s">
        <v>34</v>
      </c>
      <c r="C12" s="2">
        <v>1</v>
      </c>
      <c r="D12" s="2">
        <v>2</v>
      </c>
      <c r="E12" s="2">
        <v>200</v>
      </c>
    </row>
    <row r="13" spans="1:5">
      <c r="A13" s="2" t="s">
        <v>35</v>
      </c>
      <c r="B13" s="2" t="s">
        <v>28</v>
      </c>
      <c r="C13" s="2">
        <v>1</v>
      </c>
      <c r="D13" s="2">
        <v>2</v>
      </c>
      <c r="E13" s="2">
        <v>400</v>
      </c>
    </row>
    <row r="14" spans="1:5">
      <c r="A14" s="2" t="s">
        <v>35</v>
      </c>
      <c r="B14" s="2" t="s">
        <v>29</v>
      </c>
      <c r="C14" s="2">
        <v>1</v>
      </c>
      <c r="D14" s="2">
        <v>2</v>
      </c>
      <c r="E14" s="2">
        <v>400</v>
      </c>
    </row>
    <row r="15" spans="1:5">
      <c r="A15" s="2" t="s">
        <v>35</v>
      </c>
      <c r="B15" s="2" t="s">
        <v>34</v>
      </c>
      <c r="C15" s="2">
        <v>1</v>
      </c>
      <c r="D15" s="2">
        <v>2</v>
      </c>
      <c r="E15" s="2">
        <v>200</v>
      </c>
    </row>
    <row r="16" spans="1:5">
      <c r="A16" s="2" t="s">
        <v>36</v>
      </c>
      <c r="B16" s="2" t="s">
        <v>28</v>
      </c>
      <c r="C16" s="2">
        <v>1</v>
      </c>
      <c r="D16" s="2">
        <v>3</v>
      </c>
      <c r="E16" s="2">
        <v>363</v>
      </c>
    </row>
    <row r="17" spans="1:5">
      <c r="A17" s="2" t="s">
        <v>36</v>
      </c>
      <c r="B17" s="2" t="s">
        <v>29</v>
      </c>
      <c r="C17" s="2">
        <v>1</v>
      </c>
      <c r="D17" s="2">
        <v>3</v>
      </c>
      <c r="E17" s="2">
        <v>363</v>
      </c>
    </row>
    <row r="18" spans="1:5">
      <c r="A18" s="2" t="s">
        <v>36</v>
      </c>
      <c r="B18" s="2" t="s">
        <v>34</v>
      </c>
      <c r="C18" s="2">
        <v>1</v>
      </c>
      <c r="D18" s="2">
        <v>3</v>
      </c>
      <c r="E18" s="2">
        <v>181</v>
      </c>
    </row>
    <row r="19" spans="1:5">
      <c r="A19" s="2" t="s">
        <v>36</v>
      </c>
      <c r="B19" s="2" t="s">
        <v>37</v>
      </c>
      <c r="C19" s="2">
        <v>1</v>
      </c>
      <c r="D19" s="2">
        <v>3</v>
      </c>
      <c r="E19" s="2">
        <v>90</v>
      </c>
    </row>
    <row r="20" spans="1:5">
      <c r="A20" s="2" t="s">
        <v>38</v>
      </c>
      <c r="B20" s="2" t="s">
        <v>28</v>
      </c>
      <c r="C20" s="2">
        <v>1</v>
      </c>
      <c r="D20" s="2">
        <v>3</v>
      </c>
      <c r="E20" s="2">
        <v>363</v>
      </c>
    </row>
    <row r="21" spans="1:5">
      <c r="A21" s="2" t="s">
        <v>38</v>
      </c>
      <c r="B21" s="2" t="s">
        <v>29</v>
      </c>
      <c r="C21" s="2">
        <v>1</v>
      </c>
      <c r="D21" s="2">
        <v>3</v>
      </c>
      <c r="E21" s="2">
        <v>363</v>
      </c>
    </row>
    <row r="22" spans="1:5">
      <c r="A22" s="2" t="s">
        <v>38</v>
      </c>
      <c r="B22" s="2" t="s">
        <v>34</v>
      </c>
      <c r="C22" s="2">
        <v>1</v>
      </c>
      <c r="D22" s="2">
        <v>3</v>
      </c>
      <c r="E22" s="2">
        <v>181</v>
      </c>
    </row>
    <row r="23" spans="1:5">
      <c r="A23" s="2" t="s">
        <v>38</v>
      </c>
      <c r="B23" s="2" t="s">
        <v>37</v>
      </c>
      <c r="C23" s="2">
        <v>1</v>
      </c>
      <c r="D23" s="2">
        <v>3</v>
      </c>
      <c r="E23" s="2">
        <v>90</v>
      </c>
    </row>
    <row r="24" spans="1:5">
      <c r="A24" s="2" t="s">
        <v>40</v>
      </c>
      <c r="B24" s="2" t="s">
        <v>28</v>
      </c>
      <c r="C24" s="2">
        <v>1</v>
      </c>
      <c r="D24" s="2">
        <v>3</v>
      </c>
      <c r="E24" s="2">
        <v>363</v>
      </c>
    </row>
    <row r="25" spans="1:5">
      <c r="A25" s="2" t="s">
        <v>40</v>
      </c>
      <c r="B25" s="2" t="s">
        <v>29</v>
      </c>
      <c r="C25" s="2">
        <v>1</v>
      </c>
      <c r="D25" s="2">
        <v>3</v>
      </c>
      <c r="E25" s="2">
        <v>363</v>
      </c>
    </row>
    <row r="26" spans="1:5">
      <c r="A26" s="2" t="s">
        <v>40</v>
      </c>
      <c r="B26" s="2" t="s">
        <v>34</v>
      </c>
      <c r="C26" s="2">
        <v>1</v>
      </c>
      <c r="D26" s="2">
        <v>3</v>
      </c>
      <c r="E26" s="2">
        <v>181</v>
      </c>
    </row>
    <row r="27" spans="1:5">
      <c r="A27" s="2" t="s">
        <v>40</v>
      </c>
      <c r="B27" s="2" t="s">
        <v>37</v>
      </c>
      <c r="C27" s="2">
        <v>1</v>
      </c>
      <c r="D27" s="2">
        <v>3</v>
      </c>
      <c r="E27" s="2">
        <v>90</v>
      </c>
    </row>
    <row r="28" spans="1:5">
      <c r="A28" s="2" t="s">
        <v>41</v>
      </c>
      <c r="B28" s="2" t="s">
        <v>28</v>
      </c>
      <c r="C28" s="2">
        <v>1</v>
      </c>
      <c r="D28" s="2">
        <v>4</v>
      </c>
      <c r="E28" s="2">
        <v>350</v>
      </c>
    </row>
    <row r="29" spans="1:5">
      <c r="A29" s="2" t="s">
        <v>41</v>
      </c>
      <c r="B29" s="2" t="s">
        <v>29</v>
      </c>
      <c r="C29" s="2">
        <v>1</v>
      </c>
      <c r="D29" s="2">
        <v>4</v>
      </c>
      <c r="E29" s="2">
        <v>350</v>
      </c>
    </row>
    <row r="30" spans="1:5">
      <c r="A30" s="2" t="s">
        <v>41</v>
      </c>
      <c r="B30" s="2" t="s">
        <v>34</v>
      </c>
      <c r="C30" s="2">
        <v>1</v>
      </c>
      <c r="D30" s="2">
        <v>4</v>
      </c>
      <c r="E30" s="2">
        <v>175</v>
      </c>
    </row>
    <row r="31" spans="1:5">
      <c r="A31" s="2" t="s">
        <v>41</v>
      </c>
      <c r="B31" s="2" t="s">
        <v>37</v>
      </c>
      <c r="C31" s="2">
        <v>1</v>
      </c>
      <c r="D31" s="2">
        <v>4</v>
      </c>
      <c r="E31" s="2">
        <v>87</v>
      </c>
    </row>
    <row r="32" spans="1:5">
      <c r="A32" s="2" t="s">
        <v>41</v>
      </c>
      <c r="B32" s="2" t="s">
        <v>43</v>
      </c>
      <c r="C32" s="2">
        <v>1</v>
      </c>
      <c r="D32" s="2">
        <v>4</v>
      </c>
      <c r="E32" s="2">
        <v>35</v>
      </c>
    </row>
    <row r="33" spans="1:5">
      <c r="A33" s="2" t="s">
        <v>44</v>
      </c>
      <c r="B33" s="2" t="s">
        <v>28</v>
      </c>
      <c r="C33" s="2">
        <v>1</v>
      </c>
      <c r="D33" s="2">
        <v>4</v>
      </c>
      <c r="E33" s="2">
        <v>350</v>
      </c>
    </row>
    <row r="34" spans="1:5">
      <c r="A34" s="2" t="s">
        <v>44</v>
      </c>
      <c r="B34" s="2" t="s">
        <v>29</v>
      </c>
      <c r="C34" s="2">
        <v>1</v>
      </c>
      <c r="D34" s="2">
        <v>4</v>
      </c>
      <c r="E34" s="2">
        <v>350</v>
      </c>
    </row>
    <row r="35" spans="1:5">
      <c r="A35" s="2" t="s">
        <v>44</v>
      </c>
      <c r="B35" s="2" t="s">
        <v>34</v>
      </c>
      <c r="C35" s="2">
        <v>1</v>
      </c>
      <c r="D35" s="2">
        <v>4</v>
      </c>
      <c r="E35" s="2">
        <v>175</v>
      </c>
    </row>
    <row r="36" spans="1:5">
      <c r="A36" s="2" t="s">
        <v>44</v>
      </c>
      <c r="B36" s="2" t="s">
        <v>37</v>
      </c>
      <c r="C36" s="2">
        <v>1</v>
      </c>
      <c r="D36" s="2">
        <v>4</v>
      </c>
      <c r="E36" s="2">
        <v>87</v>
      </c>
    </row>
    <row r="37" spans="1:5">
      <c r="A37" s="2" t="s">
        <v>44</v>
      </c>
      <c r="B37" s="2" t="s">
        <v>43</v>
      </c>
      <c r="C37" s="2">
        <v>1</v>
      </c>
      <c r="D37" s="2">
        <v>4</v>
      </c>
      <c r="E37" s="2">
        <v>35</v>
      </c>
    </row>
    <row r="38" spans="1:5">
      <c r="A38" s="2" t="s">
        <v>27</v>
      </c>
      <c r="B38" s="2" t="s">
        <v>28</v>
      </c>
      <c r="C38" s="2">
        <v>2</v>
      </c>
      <c r="D38" s="2">
        <v>1</v>
      </c>
      <c r="E38" s="2">
        <v>1100</v>
      </c>
    </row>
    <row r="39" spans="1:5">
      <c r="A39" s="2" t="s">
        <v>27</v>
      </c>
      <c r="B39" s="2" t="s">
        <v>29</v>
      </c>
      <c r="C39" s="2">
        <v>2</v>
      </c>
      <c r="D39" s="2">
        <v>1</v>
      </c>
      <c r="E39" s="2">
        <v>1100</v>
      </c>
    </row>
    <row r="40" spans="1:5">
      <c r="A40" s="2" t="s">
        <v>30</v>
      </c>
      <c r="B40" s="2" t="s">
        <v>28</v>
      </c>
      <c r="C40" s="2">
        <v>2</v>
      </c>
      <c r="D40" s="2">
        <v>1</v>
      </c>
      <c r="E40" s="2">
        <v>900</v>
      </c>
    </row>
    <row r="41" spans="1:5">
      <c r="A41" s="2" t="s">
        <v>30</v>
      </c>
      <c r="B41" s="2" t="s">
        <v>29</v>
      </c>
      <c r="C41" s="2">
        <v>2</v>
      </c>
      <c r="D41" s="2">
        <v>1</v>
      </c>
      <c r="E41" s="2">
        <v>900</v>
      </c>
    </row>
    <row r="42" spans="1:5">
      <c r="A42" s="2" t="s">
        <v>31</v>
      </c>
      <c r="B42" s="2" t="s">
        <v>28</v>
      </c>
      <c r="C42" s="2">
        <v>2</v>
      </c>
      <c r="D42" s="2">
        <v>1</v>
      </c>
      <c r="E42" s="2">
        <v>600</v>
      </c>
    </row>
    <row r="43" spans="1:5">
      <c r="A43" s="2" t="s">
        <v>31</v>
      </c>
      <c r="B43" s="2" t="s">
        <v>29</v>
      </c>
      <c r="C43" s="2">
        <v>2</v>
      </c>
      <c r="D43" s="2">
        <v>1</v>
      </c>
      <c r="E43" s="2">
        <v>600</v>
      </c>
    </row>
    <row r="44" spans="1:5">
      <c r="A44" s="2" t="s">
        <v>32</v>
      </c>
      <c r="B44" s="2" t="s">
        <v>28</v>
      </c>
      <c r="C44" s="2">
        <v>2</v>
      </c>
      <c r="D44" s="2">
        <v>1</v>
      </c>
      <c r="E44" s="2">
        <v>500</v>
      </c>
    </row>
    <row r="45" spans="1:5">
      <c r="A45" s="2" t="s">
        <v>32</v>
      </c>
      <c r="B45" s="2" t="s">
        <v>29</v>
      </c>
      <c r="C45" s="2">
        <v>2</v>
      </c>
      <c r="D45" s="2">
        <v>1</v>
      </c>
      <c r="E45" s="2">
        <v>500</v>
      </c>
    </row>
    <row r="46" spans="1:5">
      <c r="A46" s="2" t="s">
        <v>33</v>
      </c>
      <c r="B46" s="2" t="s">
        <v>28</v>
      </c>
      <c r="C46" s="2">
        <v>2</v>
      </c>
      <c r="D46" s="2">
        <v>2</v>
      </c>
      <c r="E46" s="2">
        <v>600</v>
      </c>
    </row>
    <row r="47" spans="1:5">
      <c r="A47" s="2" t="s">
        <v>33</v>
      </c>
      <c r="B47" s="2" t="s">
        <v>29</v>
      </c>
      <c r="C47" s="2">
        <v>2</v>
      </c>
      <c r="D47" s="2">
        <v>2</v>
      </c>
      <c r="E47" s="2">
        <v>600</v>
      </c>
    </row>
    <row r="48" spans="1:5">
      <c r="A48" s="2" t="s">
        <v>33</v>
      </c>
      <c r="B48" s="2" t="s">
        <v>34</v>
      </c>
      <c r="C48" s="2">
        <v>2</v>
      </c>
      <c r="D48" s="2">
        <v>2</v>
      </c>
      <c r="E48" s="2">
        <v>300</v>
      </c>
    </row>
    <row r="49" spans="1:5">
      <c r="A49" s="2" t="s">
        <v>35</v>
      </c>
      <c r="B49" s="2" t="s">
        <v>28</v>
      </c>
      <c r="C49" s="2">
        <v>2</v>
      </c>
      <c r="D49" s="2">
        <v>2</v>
      </c>
      <c r="E49" s="2">
        <v>600</v>
      </c>
    </row>
    <row r="50" spans="1:5">
      <c r="A50" s="2" t="s">
        <v>35</v>
      </c>
      <c r="B50" s="2" t="s">
        <v>29</v>
      </c>
      <c r="C50" s="2">
        <v>2</v>
      </c>
      <c r="D50" s="2">
        <v>2</v>
      </c>
      <c r="E50" s="2">
        <v>600</v>
      </c>
    </row>
    <row r="51" spans="1:5">
      <c r="A51" s="2" t="s">
        <v>35</v>
      </c>
      <c r="B51" s="2" t="s">
        <v>34</v>
      </c>
      <c r="C51" s="2">
        <v>2</v>
      </c>
      <c r="D51" s="2">
        <v>2</v>
      </c>
      <c r="E51" s="2">
        <v>300</v>
      </c>
    </row>
    <row r="52" spans="1:5">
      <c r="A52" s="2" t="s">
        <v>45</v>
      </c>
      <c r="B52" s="2" t="s">
        <v>28</v>
      </c>
      <c r="C52" s="2">
        <v>2</v>
      </c>
      <c r="D52" s="2">
        <v>2</v>
      </c>
      <c r="E52" s="2">
        <v>500</v>
      </c>
    </row>
    <row r="53" spans="1:5">
      <c r="A53" s="2" t="s">
        <v>45</v>
      </c>
      <c r="B53" s="2" t="s">
        <v>29</v>
      </c>
      <c r="C53" s="2">
        <v>2</v>
      </c>
      <c r="D53" s="2">
        <v>2</v>
      </c>
      <c r="E53" s="2">
        <v>500</v>
      </c>
    </row>
    <row r="54" spans="1:5">
      <c r="A54" s="2" t="s">
        <v>46</v>
      </c>
      <c r="B54" s="2" t="s">
        <v>28</v>
      </c>
      <c r="C54" s="2">
        <v>2</v>
      </c>
      <c r="D54" s="2">
        <v>2</v>
      </c>
      <c r="E54" s="2">
        <v>500</v>
      </c>
    </row>
    <row r="55" spans="1:5">
      <c r="A55" s="2" t="s">
        <v>46</v>
      </c>
      <c r="B55" s="2" t="s">
        <v>29</v>
      </c>
      <c r="C55" s="2">
        <v>2</v>
      </c>
      <c r="D55" s="2">
        <v>2</v>
      </c>
      <c r="E55" s="2">
        <v>500</v>
      </c>
    </row>
    <row r="56" spans="1:5">
      <c r="A56" s="2" t="s">
        <v>47</v>
      </c>
      <c r="B56" s="2" t="s">
        <v>28</v>
      </c>
      <c r="C56" s="2">
        <v>2</v>
      </c>
      <c r="D56" s="2">
        <v>2</v>
      </c>
      <c r="E56" s="2">
        <v>500</v>
      </c>
    </row>
    <row r="57" spans="1:5">
      <c r="A57" s="2" t="s">
        <v>47</v>
      </c>
      <c r="B57" s="2" t="s">
        <v>29</v>
      </c>
      <c r="C57" s="2">
        <v>2</v>
      </c>
      <c r="D57" s="2">
        <v>2</v>
      </c>
      <c r="E57" s="2">
        <v>500</v>
      </c>
    </row>
    <row r="58" spans="1:5">
      <c r="A58" s="2" t="s">
        <v>48</v>
      </c>
      <c r="B58" s="2" t="s">
        <v>28</v>
      </c>
      <c r="C58" s="2">
        <v>2</v>
      </c>
      <c r="D58" s="2">
        <v>3</v>
      </c>
      <c r="E58" s="2">
        <v>400</v>
      </c>
    </row>
    <row r="59" spans="1:5">
      <c r="A59" s="2" t="s">
        <v>48</v>
      </c>
      <c r="B59" s="2" t="s">
        <v>29</v>
      </c>
      <c r="C59" s="2">
        <v>2</v>
      </c>
      <c r="D59" s="2">
        <v>3</v>
      </c>
      <c r="E59" s="2">
        <v>400</v>
      </c>
    </row>
    <row r="60" spans="1:5">
      <c r="A60" s="2" t="s">
        <v>48</v>
      </c>
      <c r="B60" s="2" t="s">
        <v>34</v>
      </c>
      <c r="C60" s="2">
        <v>2</v>
      </c>
      <c r="D60" s="2">
        <v>3</v>
      </c>
      <c r="E60" s="2">
        <v>200</v>
      </c>
    </row>
    <row r="61" spans="1:5">
      <c r="A61" s="2" t="s">
        <v>50</v>
      </c>
      <c r="B61" s="2" t="s">
        <v>28</v>
      </c>
      <c r="C61" s="2">
        <v>2</v>
      </c>
      <c r="D61" s="2">
        <v>3</v>
      </c>
      <c r="E61" s="2">
        <v>400</v>
      </c>
    </row>
    <row r="62" spans="1:5">
      <c r="A62" s="2" t="s">
        <v>50</v>
      </c>
      <c r="B62" s="2" t="s">
        <v>29</v>
      </c>
      <c r="C62" s="2">
        <v>2</v>
      </c>
      <c r="D62" s="2">
        <v>3</v>
      </c>
      <c r="E62" s="2">
        <v>400</v>
      </c>
    </row>
    <row r="63" spans="1:5">
      <c r="A63" s="2" t="s">
        <v>50</v>
      </c>
      <c r="B63" s="2" t="s">
        <v>34</v>
      </c>
      <c r="C63" s="2">
        <v>2</v>
      </c>
      <c r="D63" s="2">
        <v>3</v>
      </c>
      <c r="E63" s="2">
        <v>200</v>
      </c>
    </row>
    <row r="64" spans="1:5">
      <c r="A64" s="2" t="s">
        <v>51</v>
      </c>
      <c r="B64" s="2" t="s">
        <v>28</v>
      </c>
      <c r="C64" s="2">
        <v>2</v>
      </c>
      <c r="D64" s="2">
        <v>4</v>
      </c>
      <c r="E64" s="2">
        <v>363</v>
      </c>
    </row>
    <row r="65" spans="1:5">
      <c r="A65" s="2" t="s">
        <v>51</v>
      </c>
      <c r="B65" s="2" t="s">
        <v>29</v>
      </c>
      <c r="C65" s="2">
        <v>2</v>
      </c>
      <c r="D65" s="2">
        <v>4</v>
      </c>
      <c r="E65" s="2">
        <v>363</v>
      </c>
    </row>
    <row r="66" spans="1:5">
      <c r="A66" s="2" t="s">
        <v>51</v>
      </c>
      <c r="B66" s="2" t="s">
        <v>34</v>
      </c>
      <c r="C66" s="2">
        <v>2</v>
      </c>
      <c r="D66" s="2">
        <v>4</v>
      </c>
      <c r="E66" s="2">
        <v>181</v>
      </c>
    </row>
    <row r="67" spans="1:5">
      <c r="A67" s="2" t="s">
        <v>51</v>
      </c>
      <c r="B67" s="2" t="s">
        <v>37</v>
      </c>
      <c r="C67" s="2">
        <v>2</v>
      </c>
      <c r="D67" s="2">
        <v>4</v>
      </c>
      <c r="E67" s="2">
        <v>90</v>
      </c>
    </row>
    <row r="68" spans="1:5">
      <c r="A68" s="2" t="s">
        <v>52</v>
      </c>
      <c r="B68" s="2" t="s">
        <v>28</v>
      </c>
      <c r="C68" s="2">
        <v>2</v>
      </c>
      <c r="D68" s="2">
        <v>5</v>
      </c>
      <c r="E68" s="2">
        <v>350</v>
      </c>
    </row>
    <row r="69" spans="1:5">
      <c r="A69" s="2" t="s">
        <v>52</v>
      </c>
      <c r="B69" s="2" t="s">
        <v>29</v>
      </c>
      <c r="C69" s="2">
        <v>2</v>
      </c>
      <c r="D69" s="2">
        <v>5</v>
      </c>
      <c r="E69" s="2">
        <v>350</v>
      </c>
    </row>
    <row r="70" spans="1:5">
      <c r="A70" s="2" t="s">
        <v>52</v>
      </c>
      <c r="B70" s="2" t="s">
        <v>34</v>
      </c>
      <c r="C70" s="2">
        <v>2</v>
      </c>
      <c r="D70" s="2">
        <v>5</v>
      </c>
      <c r="E70" s="2">
        <v>175</v>
      </c>
    </row>
    <row r="71" spans="1:5">
      <c r="A71" s="2" t="s">
        <v>52</v>
      </c>
      <c r="B71" s="2" t="s">
        <v>37</v>
      </c>
      <c r="C71" s="2">
        <v>2</v>
      </c>
      <c r="D71" s="2">
        <v>5</v>
      </c>
      <c r="E71" s="2">
        <v>87</v>
      </c>
    </row>
    <row r="72" spans="1:5">
      <c r="A72" s="2" t="s">
        <v>52</v>
      </c>
      <c r="B72" s="2" t="s">
        <v>43</v>
      </c>
      <c r="C72" s="2">
        <v>2</v>
      </c>
      <c r="D72" s="2">
        <v>5</v>
      </c>
      <c r="E72" s="2">
        <v>35</v>
      </c>
    </row>
    <row r="73" spans="1:5">
      <c r="A73" s="2" t="s">
        <v>53</v>
      </c>
      <c r="B73" s="2" t="s">
        <v>28</v>
      </c>
      <c r="C73" s="2">
        <v>2</v>
      </c>
      <c r="D73" s="2">
        <v>5</v>
      </c>
      <c r="E73" s="2">
        <v>350</v>
      </c>
    </row>
    <row r="74" spans="1:5">
      <c r="A74" s="2" t="s">
        <v>53</v>
      </c>
      <c r="B74" s="2" t="s">
        <v>29</v>
      </c>
      <c r="C74" s="2">
        <v>2</v>
      </c>
      <c r="D74" s="2">
        <v>5</v>
      </c>
      <c r="E74" s="2">
        <v>350</v>
      </c>
    </row>
    <row r="75" spans="1:5">
      <c r="A75" s="2" t="s">
        <v>53</v>
      </c>
      <c r="B75" s="2" t="s">
        <v>34</v>
      </c>
      <c r="C75" s="2">
        <v>2</v>
      </c>
      <c r="D75" s="2">
        <v>5</v>
      </c>
      <c r="E75" s="2">
        <v>175</v>
      </c>
    </row>
    <row r="76" spans="1:5">
      <c r="A76" s="2" t="s">
        <v>53</v>
      </c>
      <c r="B76" s="2" t="s">
        <v>37</v>
      </c>
      <c r="C76" s="2">
        <v>2</v>
      </c>
      <c r="D76" s="2">
        <v>5</v>
      </c>
      <c r="E76" s="2">
        <v>87</v>
      </c>
    </row>
    <row r="77" spans="1:5">
      <c r="A77" s="2" t="s">
        <v>53</v>
      </c>
      <c r="B77" s="2" t="s">
        <v>43</v>
      </c>
      <c r="C77" s="2">
        <v>2</v>
      </c>
      <c r="D77" s="2">
        <v>5</v>
      </c>
      <c r="E77" s="2">
        <v>35</v>
      </c>
    </row>
    <row r="78" spans="1:5">
      <c r="A78" s="2" t="s">
        <v>54</v>
      </c>
      <c r="B78" s="2" t="s">
        <v>28</v>
      </c>
      <c r="C78" s="2">
        <v>2</v>
      </c>
      <c r="D78" s="2">
        <v>5</v>
      </c>
      <c r="E78" s="2">
        <v>350</v>
      </c>
    </row>
    <row r="79" spans="1:5">
      <c r="A79" s="2" t="s">
        <v>54</v>
      </c>
      <c r="B79" s="2" t="s">
        <v>29</v>
      </c>
      <c r="C79" s="2">
        <v>2</v>
      </c>
      <c r="D79" s="2">
        <v>5</v>
      </c>
      <c r="E79" s="2">
        <v>350</v>
      </c>
    </row>
    <row r="80" spans="1:5">
      <c r="A80" s="2" t="s">
        <v>54</v>
      </c>
      <c r="B80" s="2" t="s">
        <v>34</v>
      </c>
      <c r="C80" s="2">
        <v>2</v>
      </c>
      <c r="D80" s="2">
        <v>5</v>
      </c>
      <c r="E80" s="2">
        <v>175</v>
      </c>
    </row>
    <row r="81" spans="1:5">
      <c r="A81" s="2" t="s">
        <v>54</v>
      </c>
      <c r="B81" s="2" t="s">
        <v>37</v>
      </c>
      <c r="C81" s="2">
        <v>2</v>
      </c>
      <c r="D81" s="2">
        <v>5</v>
      </c>
      <c r="E81" s="2">
        <v>87</v>
      </c>
    </row>
    <row r="82" spans="1:5">
      <c r="A82" s="2" t="s">
        <v>54</v>
      </c>
      <c r="B82" s="2" t="s">
        <v>43</v>
      </c>
      <c r="C82" s="2">
        <v>2</v>
      </c>
      <c r="D82" s="2">
        <v>5</v>
      </c>
      <c r="E8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鱼单价工具</vt:lpstr>
      <vt:lpstr>鱼种重量参数</vt:lpstr>
      <vt:lpstr>饵长-鱼长工具</vt:lpstr>
      <vt:lpstr>钓场鱼品质列表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futou</cp:lastModifiedBy>
  <dcterms:created xsi:type="dcterms:W3CDTF">2025-04-24T10:22:00Z</dcterms:created>
  <dcterms:modified xsi:type="dcterms:W3CDTF">2025-05-30T08:14:04Z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B270AE6EE72F444585352000D57D7AD0_12</vt:lpwstr>
  </property>
  <property fmtid="{D5CDD505-2E9C-101B-9397-08002B2CF9AE}" pid="3" name="KSOProductBuildVer">
    <vt:lpwstr>2052-12.1.0.21171</vt:lpwstr>
  </property>
</Properties>
</file>