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utureway-my.sharepoint.com/personal/ymo_futurewei_com/Documents/YMPerformanceTestReport/"/>
    </mc:Choice>
  </mc:AlternateContent>
  <xr:revisionPtr revIDLastSave="2258" documentId="8_{F421CC8E-B60E-3040-82E2-0BC64535FAF1}" xr6:coauthVersionLast="47" xr6:coauthVersionMax="47" xr10:uidLastSave="{DEF06319-9890-F24D-AE46-6D14A76D3982}"/>
  <bookViews>
    <workbookView xWindow="30240" yWindow="-10680" windowWidth="38400" windowHeight="21600" activeTab="15" xr2:uid="{404C6931-5581-AE42-8B58-2A901CD9CC48}"/>
  </bookViews>
  <sheets>
    <sheet name="Port" sheetId="4" r:id="rId1"/>
    <sheet name="Sheet3" sheetId="12" r:id="rId2"/>
    <sheet name="Subnet" sheetId="1" r:id="rId3"/>
    <sheet name="VPC" sheetId="3" r:id="rId4"/>
    <sheet name="Sheet5" sheetId="5" r:id="rId5"/>
    <sheet name="p_test" sheetId="6" r:id="rId6"/>
    <sheet name="testcase4" sheetId="7" r:id="rId7"/>
    <sheet name="BaseLine" sheetId="8" r:id="rId8"/>
    <sheet name="1_30" sheetId="9" r:id="rId9"/>
    <sheet name="1-30-Test Scenarios" sheetId="10" r:id="rId10"/>
    <sheet name="1-30 Test Results" sheetId="11" r:id="rId11"/>
    <sheet name="Sheet4" sheetId="15" r:id="rId12"/>
    <sheet name="Sheet1" sheetId="13" r:id="rId13"/>
    <sheet name="subnet2" sheetId="14" r:id="rId14"/>
    <sheet name="e2e ts3" sheetId="16" r:id="rId15"/>
    <sheet name="e2e ts4" sheetId="17" r:id="rId16"/>
  </sheets>
  <definedNames>
    <definedName name="_xlchart.v1.0" hidden="1">'e2e ts3'!$A$20:$A$24</definedName>
    <definedName name="_xlchart.v1.1" hidden="1">'e2e ts3'!$B$19</definedName>
    <definedName name="_xlchart.v1.2" hidden="1">'e2e ts3'!$B$20:$B$24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7" l="1"/>
  <c r="B6" i="17"/>
  <c r="B5" i="17"/>
  <c r="B4" i="17"/>
  <c r="B3" i="17"/>
  <c r="B24" i="16"/>
  <c r="B23" i="16"/>
  <c r="B22" i="16"/>
  <c r="B21" i="16"/>
  <c r="B20" i="16"/>
  <c r="B8" i="16"/>
  <c r="B7" i="16"/>
  <c r="B6" i="16"/>
  <c r="B5" i="16"/>
  <c r="B4" i="16"/>
  <c r="B3" i="16"/>
  <c r="Z34" i="15"/>
  <c r="AA33" i="15"/>
  <c r="Z33" i="15"/>
  <c r="Y33" i="15"/>
  <c r="X33" i="15"/>
  <c r="AA32" i="15"/>
  <c r="Z32" i="15"/>
  <c r="Y32" i="15"/>
  <c r="X32" i="15"/>
  <c r="AA31" i="15"/>
  <c r="Z31" i="15"/>
  <c r="Y31" i="15"/>
  <c r="X31" i="15"/>
  <c r="AA30" i="15"/>
  <c r="Z30" i="15"/>
  <c r="Y30" i="15"/>
  <c r="Y34" i="15" s="1"/>
  <c r="X30" i="15"/>
  <c r="AA29" i="15"/>
  <c r="Z29" i="15"/>
  <c r="Y29" i="15"/>
  <c r="X29" i="15"/>
  <c r="AA28" i="15"/>
  <c r="AA35" i="15" s="1"/>
  <c r="Z28" i="15"/>
  <c r="Z35" i="15" s="1"/>
  <c r="Y28" i="15"/>
  <c r="Y35" i="15" s="1"/>
  <c r="X28" i="15"/>
  <c r="X34" i="15" s="1"/>
  <c r="Y13" i="15"/>
  <c r="Z13" i="15"/>
  <c r="AA13" i="15"/>
  <c r="AD13" i="15"/>
  <c r="AE13" i="15"/>
  <c r="AF13" i="15"/>
  <c r="AG13" i="15"/>
  <c r="X13" i="15"/>
  <c r="AD12" i="15"/>
  <c r="AE12" i="15"/>
  <c r="AF12" i="15"/>
  <c r="AG12" i="15"/>
  <c r="Y12" i="15"/>
  <c r="Z12" i="15"/>
  <c r="AA12" i="15"/>
  <c r="X12" i="15"/>
  <c r="AG11" i="15"/>
  <c r="AF11" i="15"/>
  <c r="AE11" i="15"/>
  <c r="AD11" i="15"/>
  <c r="AA11" i="15"/>
  <c r="Z11" i="15"/>
  <c r="Y11" i="15"/>
  <c r="X11" i="15"/>
  <c r="AG10" i="15"/>
  <c r="AF10" i="15"/>
  <c r="AE10" i="15"/>
  <c r="AD10" i="15"/>
  <c r="AA10" i="15"/>
  <c r="Z10" i="15"/>
  <c r="Y10" i="15"/>
  <c r="X10" i="15"/>
  <c r="AG9" i="15"/>
  <c r="AF9" i="15"/>
  <c r="AE9" i="15"/>
  <c r="AD9" i="15"/>
  <c r="AA9" i="15"/>
  <c r="Z9" i="15"/>
  <c r="Y9" i="15"/>
  <c r="X9" i="15"/>
  <c r="AG8" i="15"/>
  <c r="AF8" i="15"/>
  <c r="AE8" i="15"/>
  <c r="AD8" i="15"/>
  <c r="AA8" i="15"/>
  <c r="Z8" i="15"/>
  <c r="Y8" i="15"/>
  <c r="X8" i="15"/>
  <c r="AG7" i="15"/>
  <c r="AF7" i="15"/>
  <c r="AE7" i="15"/>
  <c r="AD7" i="15"/>
  <c r="AA7" i="15"/>
  <c r="Z7" i="15"/>
  <c r="Y7" i="15"/>
  <c r="X7" i="15"/>
  <c r="AG6" i="15"/>
  <c r="AF6" i="15"/>
  <c r="AE6" i="15"/>
  <c r="AD6" i="15"/>
  <c r="AA6" i="15"/>
  <c r="Z6" i="15"/>
  <c r="Y6" i="15"/>
  <c r="X6" i="15"/>
  <c r="L34" i="15"/>
  <c r="M34" i="15"/>
  <c r="K34" i="15"/>
  <c r="M32" i="15"/>
  <c r="L32" i="15"/>
  <c r="K32" i="15"/>
  <c r="M31" i="15"/>
  <c r="L31" i="15"/>
  <c r="K31" i="15"/>
  <c r="M30" i="15"/>
  <c r="M33" i="15" s="1"/>
  <c r="L30" i="15"/>
  <c r="L33" i="15" s="1"/>
  <c r="K30" i="15"/>
  <c r="K33" i="15" s="1"/>
  <c r="F66" i="15"/>
  <c r="B66" i="15"/>
  <c r="C66" i="15"/>
  <c r="D66" i="15"/>
  <c r="E66" i="15"/>
  <c r="A66" i="15"/>
  <c r="D10" i="13"/>
  <c r="E10" i="13"/>
  <c r="F10" i="13"/>
  <c r="G10" i="13"/>
  <c r="H10" i="13"/>
  <c r="P10" i="13"/>
  <c r="Q10" i="13"/>
  <c r="R10" i="13"/>
  <c r="S10" i="13"/>
  <c r="T10" i="13"/>
  <c r="K10" i="13"/>
  <c r="L10" i="13"/>
  <c r="M10" i="13"/>
  <c r="N10" i="13"/>
  <c r="J10" i="13"/>
  <c r="G57" i="14"/>
  <c r="G56" i="14"/>
  <c r="G55" i="14"/>
  <c r="G54" i="14"/>
  <c r="G53" i="14"/>
  <c r="G52" i="14"/>
  <c r="F57" i="14"/>
  <c r="F56" i="14"/>
  <c r="F55" i="14"/>
  <c r="F54" i="14"/>
  <c r="F53" i="14"/>
  <c r="F52" i="14"/>
  <c r="E57" i="14"/>
  <c r="E56" i="14"/>
  <c r="E55" i="14"/>
  <c r="E54" i="14"/>
  <c r="E53" i="14"/>
  <c r="E52" i="14"/>
  <c r="E59" i="14" s="1"/>
  <c r="D57" i="14"/>
  <c r="D56" i="14"/>
  <c r="D55" i="14"/>
  <c r="D54" i="14"/>
  <c r="D53" i="14"/>
  <c r="D52" i="14"/>
  <c r="C57" i="14"/>
  <c r="C56" i="14"/>
  <c r="C55" i="14"/>
  <c r="C54" i="14"/>
  <c r="C53" i="14"/>
  <c r="C52" i="14"/>
  <c r="G39" i="14"/>
  <c r="G38" i="14"/>
  <c r="G37" i="14"/>
  <c r="G36" i="14"/>
  <c r="G35" i="14"/>
  <c r="G34" i="14"/>
  <c r="F39" i="14"/>
  <c r="F38" i="14"/>
  <c r="F37" i="14"/>
  <c r="F36" i="14"/>
  <c r="F35" i="14"/>
  <c r="F34" i="14"/>
  <c r="E39" i="14"/>
  <c r="E38" i="14"/>
  <c r="E37" i="14"/>
  <c r="E36" i="14"/>
  <c r="E35" i="14"/>
  <c r="E34" i="14"/>
  <c r="E41" i="14" s="1"/>
  <c r="D39" i="14"/>
  <c r="D38" i="14"/>
  <c r="D37" i="14"/>
  <c r="D36" i="14"/>
  <c r="D35" i="14"/>
  <c r="D34" i="14"/>
  <c r="G23" i="14"/>
  <c r="G22" i="14"/>
  <c r="G21" i="14"/>
  <c r="G20" i="14"/>
  <c r="G19" i="14"/>
  <c r="G18" i="14"/>
  <c r="F18" i="14"/>
  <c r="F19" i="14"/>
  <c r="F20" i="14"/>
  <c r="F21" i="14"/>
  <c r="F23" i="14"/>
  <c r="F22" i="14"/>
  <c r="D23" i="14"/>
  <c r="D22" i="14"/>
  <c r="D21" i="14"/>
  <c r="D20" i="14"/>
  <c r="D19" i="14"/>
  <c r="D18" i="14"/>
  <c r="C23" i="14"/>
  <c r="C22" i="14"/>
  <c r="C21" i="14"/>
  <c r="C20" i="14"/>
  <c r="C19" i="14"/>
  <c r="C18" i="14"/>
  <c r="G8" i="14"/>
  <c r="G7" i="14"/>
  <c r="G6" i="14"/>
  <c r="G5" i="14"/>
  <c r="G4" i="14"/>
  <c r="G3" i="14"/>
  <c r="F8" i="14"/>
  <c r="F7" i="14"/>
  <c r="F6" i="14"/>
  <c r="F5" i="14"/>
  <c r="F4" i="14"/>
  <c r="F3" i="14"/>
  <c r="E8" i="14"/>
  <c r="E7" i="14"/>
  <c r="E6" i="14"/>
  <c r="E5" i="14"/>
  <c r="E4" i="14"/>
  <c r="E3" i="14"/>
  <c r="D8" i="14"/>
  <c r="D7" i="14"/>
  <c r="D6" i="14"/>
  <c r="D5" i="14"/>
  <c r="D4" i="14"/>
  <c r="D3" i="14"/>
  <c r="C8" i="14"/>
  <c r="C7" i="14"/>
  <c r="C6" i="14"/>
  <c r="C5" i="14"/>
  <c r="C4" i="14"/>
  <c r="C3" i="14"/>
  <c r="S9" i="13"/>
  <c r="S8" i="13"/>
  <c r="S7" i="13"/>
  <c r="S6" i="13"/>
  <c r="S5" i="13"/>
  <c r="S4" i="13"/>
  <c r="R9" i="13"/>
  <c r="R8" i="13"/>
  <c r="R7" i="13"/>
  <c r="R6" i="13"/>
  <c r="R5" i="13"/>
  <c r="R4" i="13"/>
  <c r="Q9" i="13"/>
  <c r="Q8" i="13"/>
  <c r="Q7" i="13"/>
  <c r="Q6" i="13"/>
  <c r="Q5" i="13"/>
  <c r="Q4" i="13"/>
  <c r="P9" i="13"/>
  <c r="P8" i="13"/>
  <c r="P7" i="13"/>
  <c r="P6" i="13"/>
  <c r="P5" i="13"/>
  <c r="P4" i="13"/>
  <c r="T5" i="13"/>
  <c r="T6" i="13"/>
  <c r="T7" i="13"/>
  <c r="T8" i="13"/>
  <c r="T9" i="13"/>
  <c r="T4" i="13"/>
  <c r="N9" i="13"/>
  <c r="N8" i="13"/>
  <c r="N7" i="13"/>
  <c r="N6" i="13"/>
  <c r="N5" i="13"/>
  <c r="N4" i="13"/>
  <c r="M9" i="13"/>
  <c r="M8" i="13"/>
  <c r="M7" i="13"/>
  <c r="M6" i="13"/>
  <c r="M5" i="13"/>
  <c r="M4" i="13"/>
  <c r="L9" i="13"/>
  <c r="L8" i="13"/>
  <c r="L7" i="13"/>
  <c r="L6" i="13"/>
  <c r="L5" i="13"/>
  <c r="L4" i="13"/>
  <c r="K9" i="13"/>
  <c r="K8" i="13"/>
  <c r="K7" i="13"/>
  <c r="K6" i="13"/>
  <c r="K5" i="13"/>
  <c r="K4" i="13"/>
  <c r="J9" i="13"/>
  <c r="J8" i="13"/>
  <c r="J7" i="13"/>
  <c r="J6" i="13"/>
  <c r="J5" i="13"/>
  <c r="J4" i="13"/>
  <c r="B28" i="13"/>
  <c r="B27" i="13"/>
  <c r="G28" i="13"/>
  <c r="F28" i="13"/>
  <c r="E28" i="13"/>
  <c r="D28" i="13"/>
  <c r="G27" i="13"/>
  <c r="F27" i="13"/>
  <c r="E27" i="13"/>
  <c r="D27" i="13"/>
  <c r="G26" i="13"/>
  <c r="F26" i="13"/>
  <c r="E26" i="13"/>
  <c r="D26" i="13"/>
  <c r="B16" i="13"/>
  <c r="B17" i="13"/>
  <c r="B18" i="13" s="1"/>
  <c r="B19" i="13" s="1"/>
  <c r="B15" i="13"/>
  <c r="H19" i="13"/>
  <c r="F19" i="13"/>
  <c r="D19" i="13"/>
  <c r="H18" i="13"/>
  <c r="F18" i="13"/>
  <c r="D18" i="13"/>
  <c r="H17" i="13"/>
  <c r="F17" i="13"/>
  <c r="D17" i="13"/>
  <c r="H16" i="13"/>
  <c r="F16" i="13"/>
  <c r="D16" i="13"/>
  <c r="H15" i="13"/>
  <c r="F15" i="13"/>
  <c r="D15" i="13"/>
  <c r="H14" i="13"/>
  <c r="F14" i="13"/>
  <c r="D14" i="13"/>
  <c r="B4" i="13"/>
  <c r="B5" i="13" s="1"/>
  <c r="B6" i="13" s="1"/>
  <c r="B7" i="13" s="1"/>
  <c r="B8" i="13" s="1"/>
  <c r="B9" i="13" s="1"/>
  <c r="D9" i="13"/>
  <c r="D8" i="13"/>
  <c r="D7" i="13"/>
  <c r="D6" i="13"/>
  <c r="D5" i="13"/>
  <c r="D4" i="13"/>
  <c r="E9" i="13"/>
  <c r="E8" i="13"/>
  <c r="E7" i="13"/>
  <c r="E6" i="13"/>
  <c r="E5" i="13"/>
  <c r="E4" i="13"/>
  <c r="F9" i="13"/>
  <c r="F8" i="13"/>
  <c r="F7" i="13"/>
  <c r="F6" i="13"/>
  <c r="F5" i="13"/>
  <c r="F4" i="13"/>
  <c r="G5" i="13"/>
  <c r="G6" i="13"/>
  <c r="G7" i="13"/>
  <c r="G8" i="13"/>
  <c r="G9" i="13"/>
  <c r="H9" i="13"/>
  <c r="H8" i="13"/>
  <c r="H7" i="13"/>
  <c r="H6" i="13"/>
  <c r="H5" i="13"/>
  <c r="H4" i="13"/>
  <c r="R32" i="11"/>
  <c r="R31" i="11"/>
  <c r="R30" i="11"/>
  <c r="R29" i="11"/>
  <c r="R28" i="11"/>
  <c r="R27" i="11"/>
  <c r="P32" i="11"/>
  <c r="P31" i="11"/>
  <c r="P30" i="11"/>
  <c r="P29" i="11"/>
  <c r="P28" i="11"/>
  <c r="P27" i="11"/>
  <c r="N32" i="11"/>
  <c r="N31" i="11"/>
  <c r="N30" i="11"/>
  <c r="N29" i="11"/>
  <c r="N28" i="11"/>
  <c r="N27" i="11"/>
  <c r="F33" i="11"/>
  <c r="G33" i="11"/>
  <c r="E33" i="11"/>
  <c r="G31" i="11"/>
  <c r="G30" i="11"/>
  <c r="G29" i="11"/>
  <c r="G32" i="11" s="1"/>
  <c r="F31" i="11"/>
  <c r="F30" i="11"/>
  <c r="F29" i="11"/>
  <c r="F32" i="11" s="1"/>
  <c r="E31" i="11"/>
  <c r="E30" i="11"/>
  <c r="E32" i="11" s="1"/>
  <c r="E29" i="11"/>
  <c r="G21" i="11"/>
  <c r="G20" i="11"/>
  <c r="G23" i="11" s="1"/>
  <c r="G19" i="11"/>
  <c r="F21" i="11"/>
  <c r="F20" i="11"/>
  <c r="F19" i="11"/>
  <c r="E21" i="11"/>
  <c r="E20" i="11"/>
  <c r="E19" i="11"/>
  <c r="D20" i="11"/>
  <c r="D21" i="11"/>
  <c r="D19" i="11"/>
  <c r="M5" i="4"/>
  <c r="N5" i="4"/>
  <c r="O5" i="4"/>
  <c r="P5" i="4"/>
  <c r="L5" i="4"/>
  <c r="C5" i="4"/>
  <c r="D5" i="4"/>
  <c r="E5" i="4"/>
  <c r="F5" i="4"/>
  <c r="G5" i="4"/>
  <c r="H5" i="4"/>
  <c r="B5" i="4"/>
  <c r="G2" i="3"/>
  <c r="H2" i="3" s="1"/>
  <c r="I2" i="3" s="1"/>
  <c r="C7" i="3"/>
  <c r="D7" i="3"/>
  <c r="E7" i="3"/>
  <c r="F7" i="3"/>
  <c r="B7" i="3"/>
  <c r="C2" i="3"/>
  <c r="D2" i="3" s="1"/>
  <c r="E2" i="3" s="1"/>
  <c r="F2" i="3" s="1"/>
  <c r="C9" i="1"/>
  <c r="B9" i="1"/>
  <c r="C2" i="1"/>
  <c r="D2" i="1" s="1"/>
  <c r="E2" i="1" s="1"/>
  <c r="F2" i="1" s="1"/>
  <c r="F9" i="1" s="1"/>
  <c r="L3" i="4"/>
  <c r="C3" i="4"/>
  <c r="M3" i="4" s="1"/>
  <c r="G59" i="14" l="1"/>
  <c r="C59" i="14"/>
  <c r="D41" i="14"/>
  <c r="D59" i="14"/>
  <c r="E40" i="14"/>
  <c r="G41" i="14"/>
  <c r="D40" i="14"/>
  <c r="D24" i="14"/>
  <c r="G40" i="14"/>
  <c r="F9" i="14"/>
  <c r="G58" i="14"/>
  <c r="E58" i="14"/>
  <c r="D10" i="14"/>
  <c r="F41" i="14"/>
  <c r="F58" i="14"/>
  <c r="G25" i="14"/>
  <c r="C58" i="14"/>
  <c r="F59" i="14"/>
  <c r="G9" i="14"/>
  <c r="G10" i="14"/>
  <c r="F25" i="14"/>
  <c r="F40" i="14"/>
  <c r="D58" i="14"/>
  <c r="D9" i="14"/>
  <c r="C10" i="14"/>
  <c r="C24" i="14"/>
  <c r="C9" i="14"/>
  <c r="C25" i="14"/>
  <c r="E9" i="14"/>
  <c r="F10" i="14"/>
  <c r="G24" i="14"/>
  <c r="AA34" i="15"/>
  <c r="X35" i="15"/>
  <c r="F24" i="14"/>
  <c r="E10" i="14"/>
  <c r="D25" i="14"/>
  <c r="F23" i="11"/>
  <c r="D23" i="11"/>
  <c r="E23" i="11"/>
  <c r="D22" i="11"/>
  <c r="G22" i="11"/>
  <c r="F22" i="11"/>
  <c r="E22" i="11"/>
  <c r="D9" i="1"/>
  <c r="G2" i="1"/>
  <c r="H2" i="1" s="1"/>
  <c r="I2" i="1" s="1"/>
  <c r="E9" i="1"/>
  <c r="D3" i="4"/>
  <c r="E3" i="4" l="1"/>
  <c r="N3" i="4"/>
  <c r="F3" i="4" l="1"/>
  <c r="O3" i="4"/>
  <c r="P3" i="4" l="1"/>
  <c r="G3" i="4"/>
  <c r="H3" i="4" s="1"/>
</calcChain>
</file>

<file path=xl/sharedStrings.xml><?xml version="1.0" encoding="utf-8"?>
<sst xmlns="http://schemas.openxmlformats.org/spreadsheetml/2006/main" count="875" uniqueCount="507">
  <si>
    <t>rps=times</t>
  </si>
  <si>
    <t>rps and 2 times</t>
  </si>
  <si>
    <t>http://10.213.43.169:8082/1.8/alcor-create-and-delete-ports_13579rps_2021-11-03_14-22-35.html#/</t>
  </si>
  <si>
    <t>http://10.213.43.169:8082/1.8/alcor-create-and-delete-ports_13579rps_2t_2021-11-03_20-22-23.html#/</t>
  </si>
  <si>
    <t>Creat/List Subnets</t>
  </si>
  <si>
    <t>http://10.213.43.169:8082/1.8/alcor-create-and-list-subnets_13579rps_2021-11-03_21-52-58.html#/</t>
  </si>
  <si>
    <t>http://10.213.43.169:8082/1.8/alcor-create-and-list-subnets_13579rps_2t_2021-11-03_22-38-36.html</t>
  </si>
  <si>
    <t>Creat/List VPC</t>
  </si>
  <si>
    <t>http://10.213.43.169:8082/1.8/ym_create-and-list-networks_13579rps_2021-11-03_23-16-54.html#/</t>
  </si>
  <si>
    <t>http://10.213.43.169:8082/1.8/ym_create-and-list-networks_13579rps_2t_2021-11-03_23-27-58.html#/</t>
  </si>
  <si>
    <t>Create/List ports x10</t>
  </si>
  <si>
    <t>192.168.10.158</t>
  </si>
  <si>
    <t>192.168.10.184</t>
  </si>
  <si>
    <t>192.168.10.125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</si>
  <si>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</si>
  <si>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</si>
  <si>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</si>
  <si>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</si>
  <si>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</si>
  <si>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</si>
  <si>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</si>
  <si>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192.168.10.20</t>
  </si>
  <si>
    <t>192.168.10.21</t>
  </si>
  <si>
    <t>192.168.10.22</t>
  </si>
  <si>
    <t>192.168.10.23</t>
  </si>
  <si>
    <t>192.168.10.24</t>
  </si>
  <si>
    <t>192.168.10.25</t>
  </si>
  <si>
    <t>192.168.10.26</t>
  </si>
  <si>
    <t>192.168.10.27</t>
  </si>
  <si>
    <t>192.168.10.28</t>
  </si>
  <si>
    <t>192.168.10.29</t>
  </si>
  <si>
    <t>192.168.10.30</t>
  </si>
  <si>
    <t>192.168.10.31</t>
  </si>
  <si>
    <t>192.168.10.132</t>
  </si>
  <si>
    <t>192.168.10.231</t>
  </si>
  <si>
    <t>192.168.10.72</t>
  </si>
  <si>
    <t>192.168.10.238</t>
  </si>
  <si>
    <t>192.168.10.58</t>
  </si>
  <si>
    <t>192.168.10.207</t>
  </si>
  <si>
    <t>192.168.10.10</t>
  </si>
  <si>
    <t>192.168.10.121</t>
  </si>
  <si>
    <t>192.168.10.89</t>
  </si>
  <si>
    <t>192.168.10.195</t>
  </si>
  <si>
    <t>192.168.10.202</t>
  </si>
  <si>
    <t>192.168.10.69</t>
  </si>
  <si>
    <t>192.168.10.73</t>
  </si>
  <si>
    <t>192.168.10.53</t>
  </si>
  <si>
    <t>192.168.10.11</t>
  </si>
  <si>
    <t>192.168.10.77</t>
  </si>
  <si>
    <t>192.168.10.12</t>
  </si>
  <si>
    <t>192.168.10.107</t>
  </si>
  <si>
    <t>192.168.10.206</t>
  </si>
  <si>
    <t>192.168.10.162</t>
  </si>
  <si>
    <t>192.168.10.131</t>
  </si>
  <si>
    <t>192.168.10.110</t>
  </si>
  <si>
    <t>192.168.10.137</t>
  </si>
  <si>
    <t>192.168.10.115</t>
  </si>
  <si>
    <t>192.168.10.149</t>
  </si>
  <si>
    <t>192.168.10.120</t>
  </si>
  <si>
    <t>192.168.10.57</t>
  </si>
  <si>
    <t>192.168.10.138</t>
  </si>
  <si>
    <t>192.168.10.134</t>
  </si>
  <si>
    <t>192.168.10.79</t>
  </si>
  <si>
    <t>192.168.10.228</t>
  </si>
  <si>
    <t>192.168.10.150</t>
  </si>
  <si>
    <t>192.168.10.133</t>
  </si>
  <si>
    <t>192.168.10.51</t>
  </si>
  <si>
    <t>192.168.10.178</t>
  </si>
  <si>
    <t>192.168.10.252</t>
  </si>
  <si>
    <t>192.168.10.205</t>
  </si>
  <si>
    <t>192.168.10.145</t>
  </si>
  <si>
    <t>192.168.10.96</t>
  </si>
  <si>
    <t>192.168.10.221</t>
  </si>
  <si>
    <t>192.168.10.169</t>
  </si>
  <si>
    <t>192.168.10.208</t>
  </si>
  <si>
    <t>192.168.10.88</t>
  </si>
  <si>
    <t>192.168.10.249</t>
  </si>
  <si>
    <t>192.168.10.60</t>
  </si>
  <si>
    <t>192.168.10.174</t>
  </si>
  <si>
    <t>192.168.10.68</t>
  </si>
  <si>
    <t>192.168.10.111</t>
  </si>
  <si>
    <t>192.168.10.99</t>
  </si>
  <si>
    <t>192.168.10.186</t>
  </si>
  <si>
    <t>192.168.10.154</t>
  </si>
  <si>
    <t>192.168.10.233</t>
  </si>
  <si>
    <t>192.168.10.104</t>
  </si>
  <si>
    <t>192.168.10.142</t>
  </si>
  <si>
    <t>192.168.10.105</t>
  </si>
  <si>
    <t>192.168.10.126</t>
  </si>
  <si>
    <t>192.168.10.81</t>
  </si>
  <si>
    <t>192.168.10.92</t>
  </si>
  <si>
    <t>192.168.10.74</t>
  </si>
  <si>
    <t>192.168.10.193</t>
  </si>
  <si>
    <t>192.168.10.140</t>
  </si>
  <si>
    <t>192.168.10.75</t>
  </si>
  <si>
    <t>192.168.10.185</t>
  </si>
  <si>
    <t>192.168.10.214</t>
  </si>
  <si>
    <t>192.168.10.146</t>
  </si>
  <si>
    <t>192.168.10.76</t>
  </si>
  <si>
    <t>192.168.10.246</t>
  </si>
  <si>
    <t>192.168.10.239</t>
  </si>
  <si>
    <t>192.168.10.94</t>
  </si>
  <si>
    <t>192.168.10.188</t>
  </si>
  <si>
    <t>192.168.10.127</t>
  </si>
  <si>
    <t>192.168.10.218</t>
  </si>
  <si>
    <t>192.168.10.70</t>
  </si>
  <si>
    <t>192.168.10.253</t>
  </si>
  <si>
    <t>192.168.10.210</t>
  </si>
  <si>
    <t>192.168.10.159</t>
  </si>
  <si>
    <t>192.168.10.156</t>
  </si>
  <si>
    <t>192.168.10.86</t>
  </si>
  <si>
    <t>192.168.10.109</t>
  </si>
  <si>
    <t>192.168.10.139</t>
  </si>
  <si>
    <t>192.168.10.114</t>
  </si>
  <si>
    <t>192.168.10.108</t>
  </si>
  <si>
    <t>192.168.10.164</t>
  </si>
  <si>
    <t>192.168.10.151</t>
  </si>
  <si>
    <t>192.168.10.90</t>
  </si>
  <si>
    <t>192.168.10.82</t>
  </si>
  <si>
    <t>192.168.10.84</t>
  </si>
  <si>
    <t>192.168.10.180</t>
  </si>
  <si>
    <t>192.168.10.66</t>
  </si>
  <si>
    <t>192.168.10.224</t>
  </si>
  <si>
    <t>192.168.10.124</t>
  </si>
  <si>
    <t>192.168.10.119</t>
  </si>
  <si>
    <t>192.168.10.216</t>
  </si>
  <si>
    <t>192.168.10.63</t>
  </si>
  <si>
    <t>192.168.10.167</t>
  </si>
  <si>
    <t>192.168.10.166</t>
  </si>
  <si>
    <t>192.168.10.248</t>
  </si>
  <si>
    <t>192.168.10.80</t>
  </si>
  <si>
    <t>192.168.10.56</t>
  </si>
  <si>
    <t>192.168.10.71</t>
  </si>
  <si>
    <t>192.168.10.101</t>
  </si>
  <si>
    <t>192.168.10.65</t>
  </si>
  <si>
    <t>192.168.10.173</t>
  </si>
  <si>
    <t>192.168.10.230</t>
  </si>
  <si>
    <t>192.168.10.83</t>
  </si>
  <si>
    <t>192.168.10.200</t>
  </si>
  <si>
    <t>192.168.10.209</t>
  </si>
  <si>
    <t>192.168.10.222</t>
  </si>
  <si>
    <t>192.168.10.170</t>
  </si>
  <si>
    <t>192.168.10.148</t>
  </si>
  <si>
    <t>192.168.10.220</t>
  </si>
  <si>
    <t>192.168.10.32</t>
  </si>
  <si>
    <t>192.168.10.33</t>
  </si>
  <si>
    <t>192.168.10.34</t>
  </si>
  <si>
    <t>192.168.10.35</t>
  </si>
  <si>
    <t>192.168.10.36</t>
  </si>
  <si>
    <t>192.168.10.37</t>
  </si>
  <si>
    <t>192.168.10.38</t>
  </si>
  <si>
    <t>192.168.10.39</t>
  </si>
  <si>
    <t>192.168.10.40</t>
  </si>
  <si>
    <t>192.168.10.41</t>
  </si>
  <si>
    <t>192.168.10.42</t>
  </si>
  <si>
    <t>192.168.10.44</t>
  </si>
  <si>
    <t>192.168.10.54</t>
  </si>
  <si>
    <t>192.168.10.43</t>
  </si>
  <si>
    <t>192.168.10.226</t>
  </si>
  <si>
    <t>192.168.10.251</t>
  </si>
  <si>
    <t>192.168.10.147</t>
  </si>
  <si>
    <t>192.168.10.78</t>
  </si>
  <si>
    <t>192.168.10.103</t>
  </si>
  <si>
    <t>192.168.10.244</t>
  </si>
  <si>
    <t>192.168.10.118</t>
  </si>
  <si>
    <t>192.168.10.168</t>
  </si>
  <si>
    <t>192.168.10.85</t>
  </si>
  <si>
    <t>192.168.10.203</t>
  </si>
  <si>
    <t>192.168.10.240</t>
  </si>
  <si>
    <t>192.168.10.192</t>
  </si>
  <si>
    <t>192.168.10.87</t>
  </si>
  <si>
    <t>192.168.10.241</t>
  </si>
  <si>
    <t>192.168.10.93</t>
  </si>
  <si>
    <t>192.168.10.152</t>
  </si>
  <si>
    <t>192.168.10.67</t>
  </si>
  <si>
    <t>192.168.10.135</t>
  </si>
  <si>
    <t>192.168.10.198</t>
  </si>
  <si>
    <t>192.168.10.182</t>
  </si>
  <si>
    <t>192.168.10.190</t>
  </si>
  <si>
    <t>192.168.10.59</t>
  </si>
  <si>
    <t>192.168.10.143</t>
  </si>
  <si>
    <t>192.168.10.175</t>
  </si>
  <si>
    <t>192.168.10.136</t>
  </si>
  <si>
    <t>192.168.10.95</t>
  </si>
  <si>
    <t>192.168.10.91</t>
  </si>
  <si>
    <t>192.168.10.229</t>
  </si>
  <si>
    <t>192.168.10.245</t>
  </si>
  <si>
    <t>192.168.10.243</t>
  </si>
  <si>
    <t>192.168.10.102</t>
  </si>
  <si>
    <t>192.168.10.197</t>
  </si>
  <si>
    <t>192.168.10.199</t>
  </si>
  <si>
    <t>192.168.10.117</t>
  </si>
  <si>
    <t>192.168.10.189</t>
  </si>
  <si>
    <t>192.168.10.144</t>
  </si>
  <si>
    <t>192.168.10.112</t>
  </si>
  <si>
    <t>192.168.10.223</t>
  </si>
  <si>
    <t>192.168.10.217</t>
  </si>
  <si>
    <t>192.168.10.212</t>
  </si>
  <si>
    <t>192.168.10.106</t>
  </si>
  <si>
    <t>192.168.10.122</t>
  </si>
  <si>
    <t>192.168.10.235</t>
  </si>
  <si>
    <t>192.168.10.116</t>
  </si>
  <si>
    <t>192.168.10.45</t>
  </si>
  <si>
    <t>192.168.10.49</t>
  </si>
  <si>
    <t>192.168.10.52</t>
  </si>
  <si>
    <t>192.168.10.55</t>
  </si>
  <si>
    <t>192.168.10.61</t>
  </si>
  <si>
    <t>192.168.10.62</t>
  </si>
  <si>
    <t>192.168.10.179</t>
  </si>
  <si>
    <t>192.168.10.236</t>
  </si>
  <si>
    <t>192.168.10.201</t>
  </si>
  <si>
    <t>192.168.10.254</t>
  </si>
  <si>
    <t>192.168.10.161</t>
  </si>
  <si>
    <t>192.168.10.183</t>
  </si>
  <si>
    <t>192.168.10.172</t>
  </si>
  <si>
    <t>192.168.10.215</t>
  </si>
  <si>
    <t>192.168.10.155</t>
  </si>
  <si>
    <t>192.168.10.247</t>
  </si>
  <si>
    <t>192.168.10.141</t>
  </si>
  <si>
    <t>192.168.10.128</t>
  </si>
  <si>
    <t>192.168.10.194</t>
  </si>
  <si>
    <t>192.168.10.64</t>
  </si>
  <si>
    <t>192.168.10.227</t>
  </si>
  <si>
    <t>192.168.10.213</t>
  </si>
  <si>
    <t>192.168.10.196</t>
  </si>
  <si>
    <t>192.168.10.250</t>
  </si>
  <si>
    <t>100/200</t>
  </si>
  <si>
    <t>300/600</t>
  </si>
  <si>
    <t>500/1000</t>
  </si>
  <si>
    <t>before</t>
  </si>
  <si>
    <t>after</t>
  </si>
  <si>
    <t>1000 error, need to find out why. May need to figure out how rally send out build request</t>
  </si>
  <si>
    <t>1t 1c 2nX100vm</t>
  </si>
  <si>
    <t>http://10.213.43.169:8082/1.8/ym_alcor-server-performance_2n-100s-1t-1c_2021-11-18_13-20-59.html#/NeutronPerformancePlugin.neutron_network_scalability/overview</t>
  </si>
  <si>
    <t>total</t>
  </si>
  <si>
    <t>Alcor-TestSuite3-network_100n-20t-10c.json</t>
  </si>
  <si>
    <t>Alcor-TestSuite3-network_30n-10t-5c.json</t>
  </si>
  <si>
    <t>Alcor-TestSuite4-server_10n-10s-100t-10c.json</t>
  </si>
  <si>
    <t>Alcor-TestSuite4-server_10n-10s-100t-20c.json</t>
  </si>
  <si>
    <t>Alcor-TestSuite4-server_10n-10s-100t-50c.json</t>
  </si>
  <si>
    <t>Alcor-TestSuite4-server_10n-10s-5t-5c.json</t>
  </si>
  <si>
    <t>Neutron-TestSuite3-Network_100n-20t-10c.json</t>
  </si>
  <si>
    <t>Neutron-TestSuite3-Network_100n-50t-20c.json</t>
  </si>
  <si>
    <t>Neutron-TestSuite3-Network_30n-10t-5c.json</t>
  </si>
  <si>
    <t>Neutron-TestSuite4-server_100n-10s-50t-20c.json</t>
  </si>
  <si>
    <t>Neutron-TestSuite4-server_10-5-10-2-u.json</t>
  </si>
  <si>
    <t>Neutron-TestSuite4-Server_10n-10s-10t-2c.json</t>
  </si>
  <si>
    <t>Neutron-TestSuite4-Server_20n-10s-10t-10c.json</t>
  </si>
  <si>
    <t>Neutron-TestSuite4-Server_20n-10s-10t-5c.json</t>
  </si>
  <si>
    <t>Neutron-TestSuite4-Server_50n-10s-20t-5c.json</t>
  </si>
  <si>
    <t>Neutron-TestSuite4-server-scalibility_5-5-6-2.json</t>
  </si>
  <si>
    <t>Old</t>
  </si>
  <si>
    <t>v2 Without Linkerd</t>
  </si>
  <si>
    <t>null</t>
  </si>
  <si>
    <t>Neutron-TestSuite5_1n-10s-10p-1t-1c.json</t>
  </si>
  <si>
    <t>Mainly vm stuck in build stage. Some aca are down</t>
  </si>
  <si>
    <t>With Linkerd</t>
  </si>
  <si>
    <t>error</t>
  </si>
  <si>
    <t>boot and delete server 50c 100t</t>
  </si>
  <si>
    <t>boot and delete server 1000c 2000t</t>
  </si>
  <si>
    <t>boot and delete server 50c 1000t</t>
  </si>
  <si>
    <t>boot and delete server 100c 1000t</t>
  </si>
  <si>
    <t>boot and delete server 500c 1000t</t>
  </si>
  <si>
    <t>With sql quary</t>
  </si>
  <si>
    <t>alcor-network-performance_5n-10t-5c_2022-01-26_14-42-22.html</t>
  </si>
  <si>
    <t>53K</t>
  </si>
  <si>
    <t>alcor-server-performance_10n-10s-4t-2c_2022-01-26_15-00-29.html</t>
  </si>
  <si>
    <t>54K</t>
  </si>
  <si>
    <t>ym_alcor-network-performance_2022-01-26_16-04-03.html</t>
  </si>
  <si>
    <t>50K</t>
  </si>
  <si>
    <t>alcor-port_5n-20s-10p-10t-50c_2022-01-26_16-17-41.html</t>
  </si>
  <si>
    <t>61K</t>
  </si>
  <si>
    <t>alcor-port_5n-20s-10p-10t-5c_2022-01-26_16-21-41.html</t>
  </si>
  <si>
    <t>60K</t>
  </si>
  <si>
    <t>alcor-port_5n-20s-10p-10t-5c_2022-01-26_16-25-32.html</t>
  </si>
  <si>
    <t>alcor-port_5n-20s-10p-10t-5c_2022-01-26_16-28-29.html</t>
  </si>
  <si>
    <t>76K</t>
  </si>
  <si>
    <t>alcor-port_5n-20s-10p-10t-5c_2022-01-26_16-42-19.html</t>
  </si>
  <si>
    <t>69K</t>
  </si>
  <si>
    <t>alcor-server-performance_2022-01-26_17-49-42.html</t>
  </si>
  <si>
    <t>42K</t>
  </si>
  <si>
    <t>alcor-create-and-list-ports_3000t_1500c_2022-01-27_10-56-09.html</t>
  </si>
  <si>
    <t>9.1M</t>
  </si>
  <si>
    <t>alcor-create-and-list-ports_3000t-1500rps_2022-01-27_11-03-53.html</t>
  </si>
  <si>
    <t>2.6M</t>
  </si>
  <si>
    <t>alcor-create-and-list-ports_1000t_500c_2022-01-27_11-47-09.html</t>
  </si>
  <si>
    <t>2.5M</t>
  </si>
  <si>
    <t>alcor-create-and-list-ports_1000t-500c_2022-01-27_11-49-51.html</t>
  </si>
  <si>
    <t>133K</t>
  </si>
  <si>
    <t>pass</t>
  </si>
  <si>
    <t>alcor-server-performance-vms_2022-01-26_16-07-08.html 1n-10s-10p-10t-5c</t>
  </si>
  <si>
    <t>fail</t>
  </si>
  <si>
    <t>ip range</t>
  </si>
  <si>
    <t>keystone</t>
  </si>
  <si>
    <t>no data</t>
  </si>
  <si>
    <t>Unable to establish connection to http://10.213.43.251:30009/v2.0/ports</t>
  </si>
  <si>
    <t>config issue</t>
  </si>
  <si>
    <t>oslo_messaging.exceptions.MessagingTimeout</t>
  </si>
  <si>
    <t>alcor-port_2n-10s-10p-10t-5c_2022-01-27_13-52-14.html</t>
  </si>
  <si>
    <t>68K</t>
  </si>
  <si>
    <t xml:space="preserve">wait for vm to become active </t>
  </si>
  <si>
    <t>a lot of aca are down</t>
  </si>
  <si>
    <t>alcor-port_2n-10s-10p-10t-5c_2022-01-27_16-17-54.html</t>
  </si>
  <si>
    <t>52K</t>
  </si>
  <si>
    <t>alcor-port_5n-10s-10p-10t-5c_2022-01-27_16-23-23.html</t>
  </si>
  <si>
    <t>when rps larger than 1300, alcor apigateway (port: 30009) will be unable to connect, keytone auth in api will time out. Can try turn off auth in apigateway</t>
  </si>
  <si>
    <t>alcor-port_5n-20s-10p-10t-5c_2022-01-27_16-29-24.html</t>
  </si>
  <si>
    <t>larger than 1500 rps will run into keystone issue:  Unable to establish connection to http://192.168.10.10:5000/v3/auth/tokens:</t>
  </si>
  <si>
    <t>larger than 1500rps will have IP manager I/O error</t>
  </si>
  <si>
    <t>Used time</t>
  </si>
  <si>
    <t>PM instance count = 20</t>
  </si>
  <si>
    <t>PM instance count = 25</t>
  </si>
  <si>
    <t>Scenario</t>
  </si>
  <si>
    <t>Setup\PM instance #</t>
  </si>
  <si>
    <t>Link1: report
Link2: json
Latency  &amp; QPS</t>
  </si>
  <si>
    <t>PM instance count = 30</t>
  </si>
  <si>
    <t>VPC # = 200, VPC size = 10, Concurrency=200</t>
  </si>
  <si>
    <t>No need to test</t>
  </si>
  <si>
    <t>Pending test</t>
  </si>
  <si>
    <t>VPC # = 200, VPC size = 50, Concurrency=200</t>
  </si>
  <si>
    <t>VPC # = 300, VPC size = 1000</t>
  </si>
  <si>
    <t>VPC # = 400, VPC size = 1000</t>
  </si>
  <si>
    <t>VPC # = 500, VPC size = 1000</t>
  </si>
  <si>
    <t>VPC # = 300, VPC size = 10000</t>
  </si>
  <si>
    <t>VPC # = 400, VPC size = 10000</t>
  </si>
  <si>
    <t>VPC # = 500, VPC size = 10000</t>
  </si>
  <si>
    <t>Report</t>
  </si>
  <si>
    <t>Json</t>
  </si>
  <si>
    <t>Ports_per_network = 10
networks_per_tenant = 1
tenants = 10,
user_per_tenant = 2,
times = 10,
concurrency = 10</t>
  </si>
  <si>
    <t>Ports_per_network = 10
networks_per_tenant = 1
tenants = 100,
user_per_tenant = 2,
times = 100,
concurrency = 100</t>
  </si>
  <si>
    <t>Ports_per_network = 10
networks_per_tenant = 1
tenants = 10,
user_per_tenant = 2,
times = 50,
concurrency = 10</t>
  </si>
  <si>
    <t>Ports_per_network = 10
networks_per_tenant = 1
tenants = 10,
user_per_tenant = 2,
times = 100,
concurrency = 10</t>
  </si>
  <si>
    <t>Ports_per_network = 10
networks_per_tenant = 1
tenants = 100,
user_per_tenant = 2,
times = 1,000,
concurrency = 200 +</t>
  </si>
  <si>
    <t>Ports_per_network = 10
networks_per_tenant = 1
tenants = 10,
user_per_tenant = 2,
times = 1000,
concurrency = 200+</t>
  </si>
  <si>
    <t>Ports_per_network = 10
networks_per_tenant = 1
tenants = 100,
user_per_tenant = 2,
times = 10,000,
concurrency = 200+</t>
  </si>
  <si>
    <t>Ports_per_network = 10
networks_per_tenant = 1
tenants = 10,
user_per_tenant = 2,
times = 10,000,
concurrency = 200+</t>
  </si>
  <si>
    <t>Ports_per_network = 10
networks_per_tenant = 1
tenants = 100,
user_per_tenant = 2,
times = 100,000,
concurrency = 200+</t>
  </si>
  <si>
    <t>Ports_per_network = 10
networks_per_tenant = 1
tenants = 300,
user_per_tenant = 2,
times = 300,
concurrency = 300</t>
  </si>
  <si>
    <t>Ports_per_network = 10
networks_per_tenant = 1
tenants = 300,
user_per_tenant = 2,
times = 1500,
concurrency = 300</t>
  </si>
  <si>
    <t>Ports_per_network = 10
networks_per_tenant = 1
tenants = 400,
user_per_tenant = 2,
times = 400,
concurrency = 400</t>
  </si>
  <si>
    <t>Ports_per_network = 10
networks_per_tenant = 1
tenants = 400,
user_per_tenant = 2,
times = 2000,
concurrency = 400</t>
  </si>
  <si>
    <t>Ports_per_network = 10
networks_per_tenant = 1
tenants = 500,
user_per_tenant = 2,
times = 500,
concurrency = 500</t>
  </si>
  <si>
    <t>Ports_per_network = 10
networks_per_tenant = 1
tenants = 500,
user_per_tenant = 2,
times = 2500,
concurrency = 500</t>
  </si>
  <si>
    <t>Ports_per_network = 10
networks_per_tenant = 1
tenants = 200,
user_per_tenant = 2,
times = 1000,
concurrency = 200</t>
  </si>
  <si>
    <t>Ports_per_network = 10
networks_per_tenant = 1
tenants = 200,
user_per_tenant = 2,
times = 200,
concurrency = 200</t>
  </si>
  <si>
    <t>VPC # = 100, VPC size = 100, Concurrency=200</t>
  </si>
  <si>
    <t>VPC # = 100, VPC size = 1000, Concurrency=200</t>
  </si>
  <si>
    <t>VPC # = 200, VPC size = 1000</t>
  </si>
  <si>
    <t>VPC # = 100, VPC size = 10000, Concurrency=200</t>
  </si>
  <si>
    <t>VPC # = 200, VPC size = 10000</t>
  </si>
  <si>
    <t>Subnet_per_network = 10
networks_per_tenant = 1
tenants = 200,
user_per_tenant = 2,
times = 1000,
concurrency = 200</t>
  </si>
  <si>
    <t>Subnet</t>
  </si>
  <si>
    <t>VPC # \ # of port per VPC</t>
  </si>
  <si>
    <t>Subnet_per_network = 10
networks_per_tenant = 1
tenants = 200,
user_per_tenant = 2,
times = 200,
concurrency = 200</t>
  </si>
  <si>
    <t>Subnet_per_network = 10
networks_per_tenant = 1
tenants = 300,
user_per_tenant = 2,
times = 300,
concurrency = 300</t>
  </si>
  <si>
    <t>Subnet_per_network = 10
networks_per_tenant = 1
tenants = 400,
user_per_tenant = 2,
times = 400,
concurrency = 400</t>
  </si>
  <si>
    <t>Subnet_per_network = 10
networks_per_tenant = 1
tenants = 500,
user_per_tenant = 2,
times = 500,
concurrency = 500</t>
  </si>
  <si>
    <t>Subnet_per_network = 10
networks_per_tenant = 1
tenants = 300,
user_per_tenant = 2,
times = 1500,
concurrency = 300</t>
  </si>
  <si>
    <t>VPC # \ # of subnet inVPC</t>
  </si>
  <si>
    <t>Subnet_per_network = 10
networks_per_tenant = 1
tenants = 400,
user_per_tenant = 2,
times = 2000,
concurrency = 400</t>
  </si>
  <si>
    <t>Subnet_per_network = 10
networks_per_tenant = 1
tenants = 500,
user_per_tenant = 2,
times = 2500,
concurrency = 500</t>
  </si>
  <si>
    <t>Ports_per_network = 10
networks_per_tenant = 1
tenants = 1000,
user_per_tenant = 2,
times = 1000,
concurrency = 1000</t>
  </si>
  <si>
    <t>Ports_per_network = 10
networks_per_tenant = 1
tenants = 1000,
user_per_tenant = 2,
times = 5000,
concurrency = 1000</t>
  </si>
  <si>
    <t>Ports_per_network = 100
networks_per_tenant = 1
tenants = 100,
user_per_tenant = 2,
times = 1,000,
concurrency = 200+</t>
  </si>
  <si>
    <t>Peak QPS</t>
  </si>
  <si>
    <t>Bonus</t>
  </si>
  <si>
    <t>VPC # = 300, VPC size = 10, Concurrency=300</t>
  </si>
  <si>
    <t>VPC # = 400, VPC size = 10, Concurrency=400</t>
  </si>
  <si>
    <t>VPC # = 500, VPC size = 10, Concurrency=500</t>
  </si>
  <si>
    <t>Error</t>
  </si>
  <si>
    <t>20pod</t>
  </si>
  <si>
    <t>10pod</t>
  </si>
  <si>
    <t>15pod</t>
  </si>
  <si>
    <t>5pod</t>
  </si>
  <si>
    <t>VPC # = 300, VPC size = 50, Concurrency=300</t>
  </si>
  <si>
    <t>VPC # = 400, VPC size = 50, Concurrency=400</t>
  </si>
  <si>
    <t>VPC # = 500, VPC size = 50, Concurrency=500</t>
  </si>
  <si>
    <t>Contexts: vpc # = tenant #, 1 vpc per tenant</t>
  </si>
  <si>
    <t>Contexts: vpc # x 5=  tenant #, 1 vpc per tenant</t>
  </si>
  <si>
    <t>20 port, route, subnet, ip</t>
  </si>
  <si>
    <t>6 per db, apart from ncm, dpm</t>
  </si>
  <si>
    <t>VPC # = 100, VPC size = 50</t>
  </si>
  <si>
    <t>VPC # = 500, VPC size = 20, Concurrency=500</t>
  </si>
  <si>
    <t>avg:</t>
  </si>
  <si>
    <t>VPC # = 500, VPC size = 20, Concurrency=1000</t>
  </si>
  <si>
    <t>avg: (last two)</t>
  </si>
  <si>
    <t>avg</t>
  </si>
  <si>
    <t>Changing vars: port, route, subnet, ip; 6 per db, apart from ncm, dpm</t>
  </si>
  <si>
    <t>ignite-alcor-dpm</t>
  </si>
  <si>
    <t>ignite-alcor-ip</t>
  </si>
  <si>
    <t>ignite-alcor-mac</t>
  </si>
  <si>
    <t>ignite-alcor-ncm</t>
  </si>
  <si>
    <t>ignite-alcor-port</t>
  </si>
  <si>
    <t>ignite-alcor</t>
  </si>
  <si>
    <t>DB Fixed Config</t>
  </si>
  <si>
    <t>api-gateway</t>
  </si>
  <si>
    <t>dpm_manager</t>
  </si>
  <si>
    <t>elastic_ip_manager</t>
  </si>
  <si>
    <t>gateway_manager</t>
  </si>
  <si>
    <t>mac_manager</t>
  </si>
  <si>
    <t>network_config_manager</t>
  </si>
  <si>
    <t>node_manager</t>
  </si>
  <si>
    <t>port_manager</t>
  </si>
  <si>
    <t>private_ip_manager</t>
  </si>
  <si>
    <t>quota_manager</t>
  </si>
  <si>
    <t>route_manager</t>
  </si>
  <si>
    <t>sg_manager</t>
  </si>
  <si>
    <t>subnet_manager</t>
  </si>
  <si>
    <t>vpc_manager</t>
  </si>
  <si>
    <r>
      <t>Service config (</t>
    </r>
    <r>
      <rPr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are changing)</t>
    </r>
  </si>
  <si>
    <t>Link</t>
  </si>
  <si>
    <t xml:space="preserve"> </t>
  </si>
  <si>
    <t>VPC # = 200, VPC size = 100, Concurrency=200</t>
  </si>
  <si>
    <t>VPC # = 300, VPC size = 100, Concurrency=200</t>
  </si>
  <si>
    <t>VPC # = 400, VPC size = 100, Concurrency=200</t>
  </si>
  <si>
    <t>VPC # = 500, VPC size = 100, Concurrency=200</t>
  </si>
  <si>
    <t>Ports_per_network = 10
networks_per_tenant = 1
tenants = 200,
user_per_tenant = 2,
times = 20000,
concurrency = 200</t>
  </si>
  <si>
    <t>Ports_per_network = 10
networks_per_tenant = 1
tenants = 300,
user_per_tenant = 2,
times = 30000,
concurrency = 300</t>
  </si>
  <si>
    <t>Ports_per_network = 10
networks_per_tenant = 1
tenants = 400,
user_per_tenant = 2,
times = 40000,
concurrency = 400</t>
  </si>
  <si>
    <t>Ports_per_network = 10
networks_per_tenant = 1
tenants = 500,
user_per_tenant = 2,
times = 50000,
concurrency = 500</t>
  </si>
  <si>
    <t>Ports_per_network = 10
networks_per_tenant = 1
tenants = 1000,
user_per_tenant = 2,
times = 100000,
concurrency = 1000</t>
  </si>
  <si>
    <t>http://10.213.43.169:8082/1_30/100p_vpc/alcor-create-and-list-ports_100_1000_200c/</t>
  </si>
  <si>
    <t>run 1</t>
  </si>
  <si>
    <t>run 2</t>
  </si>
  <si>
    <t>run 3</t>
  </si>
  <si>
    <t>run 4</t>
  </si>
  <si>
    <t>run 5</t>
  </si>
  <si>
    <t>run 6</t>
  </si>
  <si>
    <t>500vpc, 10port, 1000concurrent</t>
  </si>
  <si>
    <t xml:space="preserve">{
  "args": {
    "network_create_args": {},
    "port_create_args": {},
    "ports_per_network": 10
  },
  "runner": {
    "times": 20000,
    "concurrency": 200
  },
  "contexts": {
    "network": {
      "start_cidr": "10.2.0.0/16",
      "networks_per_tenant": 1
    },
    "users": {
      "tenants": 200,
      "users_per_tenant": 2
    }
</t>
  </si>
  <si>
    <t>Total port in db</t>
  </si>
  <si>
    <t xml:space="preserve">        "NeutronNetworks.create_and_list_ports": {
          "network_create_args": {},
          "port_create_args": {},
          "ports_per_network": 10
        }
      },
      "contexts": {
        "network": {
          "start_cidr": "10.2.0.0/16",
          "networks_per_tenant": 1
        },
        "users": {
          "tenants": 500,
          "users_per_tenant": 2
        }
      },
      "runner": {
        "constant": {
          "times": 1000,
          "concurrency": 1000
        }
      },
    </t>
  </si>
  <si>
    <t xml:space="preserve">scenario": {
        "NeutronNetworks.create_and_list_ports": {
          "ports_per_network": 10
        }
      },
      "contexts": {
        "network": {
          "start_cidr": "10.2.0.0/16",
          "networks_per_tenant": 1
        },
        "users": {
          "tenants": 500,
          "users_per_tenant": 2
        }
      },
      "runner": {
        "constant": {
          "times": 1000,
          "concurrency": 500
</t>
  </si>
  <si>
    <t>Without list port</t>
  </si>
  <si>
    <t>second run same</t>
  </si>
  <si>
    <t>http://10.213.43.169:8082/1_30/try3/alcor-create-and-list-subnets_200_10_200c/</t>
  </si>
  <si>
    <t>http://10.213.43.169:8082/1_30/try3/alcor-create-and-list-subnets_300_10_300c/</t>
  </si>
  <si>
    <t>http://10.213.43.169:8082/1_30/try3/alcor-create-and-list-subnets_400_10_400c/</t>
  </si>
  <si>
    <t>http://10.213.43.169:8082/1_30/try3/alcor-create-and-list-subnets_500_10_500c/</t>
  </si>
  <si>
    <t>VCPUs (total) </t>
  </si>
  <si>
    <t>RAM (total)</t>
  </si>
  <si>
    <t>Local Storage (total)</t>
  </si>
  <si>
    <t>755.5GB</t>
  </si>
  <si>
    <t>730GB</t>
  </si>
  <si>
    <t>503.7GB</t>
  </si>
  <si>
    <t>547GB</t>
  </si>
  <si>
    <t>503.5GB</t>
  </si>
  <si>
    <t>546GB</t>
  </si>
  <si>
    <t>440.5GB</t>
  </si>
  <si>
    <t>377.5GB</t>
  </si>
  <si>
    <t>1.4TB</t>
  </si>
  <si>
    <t>125.5GB</t>
  </si>
  <si>
    <t>1.1TB</t>
  </si>
  <si>
    <t>125.8GB</t>
  </si>
  <si>
    <t>1.8TB</t>
  </si>
  <si>
    <t>188.9GB</t>
  </si>
  <si>
    <t>272GB</t>
  </si>
  <si>
    <t>271GB</t>
  </si>
  <si>
    <t>363GB</t>
  </si>
  <si>
    <t>125.9GB</t>
  </si>
  <si>
    <t>31.3GB</t>
  </si>
  <si>
    <t>913GB</t>
  </si>
  <si>
    <t>15.6GB</t>
  </si>
  <si>
    <t>62.8GB</t>
  </si>
  <si>
    <t>ignite_alcor_dpm</t>
  </si>
  <si>
    <t>ignite_alcor_ip</t>
  </si>
  <si>
    <t>ignite_alcor_mac</t>
  </si>
  <si>
    <t>ignite_alcor_ncm</t>
  </si>
  <si>
    <t>ignite_alcor_port</t>
  </si>
  <si>
    <t>ignite_alcor</t>
  </si>
  <si>
    <t>5 pod</t>
  </si>
  <si>
    <t>10 pod</t>
  </si>
  <si>
    <t>15 pod</t>
  </si>
  <si>
    <t xml:space="preserve">20 pod </t>
  </si>
  <si>
    <t>25 pod</t>
  </si>
  <si>
    <t>Machine</t>
  </si>
  <si>
    <t>CPU</t>
  </si>
  <si>
    <t>Number of CPU</t>
  </si>
  <si>
    <t>total vCPU</t>
  </si>
  <si>
    <t>Control node 10.213.43.251</t>
  </si>
  <si>
    <t>Worker node 10.213.43.69</t>
  </si>
  <si>
    <t>Worker node 10.213.43.70</t>
  </si>
  <si>
    <t>Worker node 10.213.43.71</t>
  </si>
  <si>
    <t>Worker node 10.213.43.72</t>
  </si>
  <si>
    <t>Worker node 10.213.43.73</t>
  </si>
  <si>
    <t>Worker node 10.213.43.74</t>
  </si>
  <si>
    <t>Memory (GB)</t>
  </si>
  <si>
    <t>Intel(R) Xeon(R) CPU E7-4809 v3 @ 2.00GHz</t>
  </si>
  <si>
    <t xml:space="preserve">Intel(R) Xeon(R) CPU E5-2630 v3 @ 2.40GHz </t>
  </si>
  <si>
    <t>Intel(R) Xeon(R) CPU E5-2670 0 @ 2.60GHz</t>
  </si>
  <si>
    <t>Controller 1: 10.213.43.169</t>
  </si>
  <si>
    <t>Intel(R) Xeon(R) CPU E5-2680 v3 @ 2.50GHz</t>
  </si>
  <si>
    <t>Intel(R) Xeon(R) CPU E5-2620 v3 @ 2.40GHz</t>
  </si>
  <si>
    <t>Avg</t>
  </si>
  <si>
    <t>10 pods</t>
  </si>
  <si>
    <t>15 pods</t>
  </si>
  <si>
    <t>20 pods</t>
  </si>
  <si>
    <t>Max</t>
  </si>
  <si>
    <t>5 pods</t>
  </si>
  <si>
    <t>-</t>
  </si>
  <si>
    <t>25 pods</t>
  </si>
  <si>
    <t>http://10.213.43.169:8082/1_30/e2e/ts3/alcor-network-performance_10n-50t-50c/alcor-network-performance_10n-50t-50c_10/</t>
  </si>
  <si>
    <t>Controller 2: 10.213.43.170</t>
  </si>
  <si>
    <t>Controller 3: 10.213.43.171</t>
  </si>
  <si>
    <t>Controller 4: 10.213.43.91</t>
  </si>
  <si>
    <t>Controller 5: 10.213.43.94</t>
  </si>
  <si>
    <t>http://10.213.43.169:8082/1_30/e2e/ts3/alcor-network-performance_10n-30t-30c_5/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</si>
</sst>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</font>
    <font>
      <sz val="11"/>
      <color rgb="FF3F3F76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FFFFFF"/>
      <name val="Calibri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 (Body)"/>
    </font>
    <font>
      <sz val="11"/>
      <color rgb="FFFF0000"/>
      <name val="Calibri"/>
      <family val="2"/>
    </font>
    <font>
      <sz val="11"/>
      <color rgb="FFFFC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 (Body)"/>
    </font>
    <font>
      <sz val="8"/>
      <color theme="1"/>
      <name val="Calibri"/>
      <family val="2"/>
      <scheme val="minor"/>
    </font>
    <font>
      <sz val="18"/>
      <color rgb="FFD4D4D4"/>
      <name val="Menlo"/>
      <family val="2"/>
    </font>
    <font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1"/>
    <xf numFmtId="0" fontId="1" fillId="0" borderId="0" xfId="0" applyFont="1"/>
    <xf numFmtId="4" fontId="1" fillId="0" borderId="0" xfId="0" applyNumberFormat="1" applyFont="1"/>
    <xf numFmtId="4" fontId="5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4" fontId="4" fillId="0" borderId="0" xfId="1" applyNumberFormat="1"/>
    <xf numFmtId="22" fontId="0" fillId="0" borderId="0" xfId="0" applyNumberFormat="1"/>
    <xf numFmtId="0" fontId="7" fillId="2" borderId="0" xfId="0" applyFont="1" applyFill="1"/>
    <xf numFmtId="0" fontId="8" fillId="3" borderId="1" xfId="0" applyFont="1" applyFill="1" applyBorder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11" fillId="5" borderId="3" xfId="0" applyFont="1" applyFill="1" applyBorder="1" applyAlignment="1">
      <alignment wrapText="1"/>
    </xf>
    <xf numFmtId="0" fontId="9" fillId="6" borderId="0" xfId="0" applyFont="1" applyFill="1"/>
    <xf numFmtId="0" fontId="9" fillId="5" borderId="0" xfId="0" applyFont="1" applyFill="1"/>
    <xf numFmtId="0" fontId="9" fillId="8" borderId="0" xfId="0" applyFont="1" applyFill="1"/>
    <xf numFmtId="0" fontId="0" fillId="9" borderId="0" xfId="0" applyFill="1"/>
    <xf numFmtId="0" fontId="10" fillId="6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0" fontId="7" fillId="7" borderId="5" xfId="0" applyFont="1" applyFill="1" applyBorder="1"/>
    <xf numFmtId="0" fontId="8" fillId="7" borderId="5" xfId="0" applyFont="1" applyFill="1" applyBorder="1"/>
    <xf numFmtId="0" fontId="9" fillId="0" borderId="5" xfId="0" applyFont="1" applyBorder="1"/>
    <xf numFmtId="0" fontId="9" fillId="7" borderId="5" xfId="0" applyFont="1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0" fontId="11" fillId="12" borderId="1" xfId="0" applyFont="1" applyFill="1" applyBorder="1" applyAlignment="1">
      <alignment wrapText="1"/>
    </xf>
    <xf numFmtId="0" fontId="11" fillId="12" borderId="3" xfId="0" applyFont="1" applyFill="1" applyBorder="1" applyAlignment="1">
      <alignment wrapText="1"/>
    </xf>
    <xf numFmtId="0" fontId="11" fillId="12" borderId="2" xfId="0" applyFont="1" applyFill="1" applyBorder="1" applyAlignment="1">
      <alignment wrapText="1"/>
    </xf>
    <xf numFmtId="0" fontId="11" fillId="12" borderId="4" xfId="0" applyFont="1" applyFill="1" applyBorder="1" applyAlignment="1">
      <alignment wrapText="1"/>
    </xf>
    <xf numFmtId="0" fontId="11" fillId="13" borderId="4" xfId="0" applyFont="1" applyFill="1" applyBorder="1" applyAlignment="1">
      <alignment wrapText="1"/>
    </xf>
    <xf numFmtId="0" fontId="0" fillId="14" borderId="0" xfId="0" applyFill="1"/>
    <xf numFmtId="3" fontId="0" fillId="0" borderId="0" xfId="0" applyNumberFormat="1"/>
    <xf numFmtId="0" fontId="9" fillId="0" borderId="0" xfId="0" applyFont="1" applyBorder="1"/>
    <xf numFmtId="0" fontId="11" fillId="15" borderId="4" xfId="0" applyFont="1" applyFill="1" applyBorder="1" applyAlignment="1">
      <alignment wrapText="1"/>
    </xf>
    <xf numFmtId="0" fontId="11" fillId="17" borderId="3" xfId="0" applyFont="1" applyFill="1" applyBorder="1" applyAlignment="1">
      <alignment wrapText="1"/>
    </xf>
    <xf numFmtId="0" fontId="9" fillId="16" borderId="0" xfId="0" applyFont="1" applyFill="1"/>
    <xf numFmtId="3" fontId="9" fillId="0" borderId="0" xfId="0" applyNumberFormat="1" applyFont="1" applyAlignment="1">
      <alignment wrapText="1"/>
    </xf>
    <xf numFmtId="0" fontId="0" fillId="17" borderId="0" xfId="0" applyFill="1"/>
    <xf numFmtId="0" fontId="0" fillId="18" borderId="0" xfId="0" applyFill="1"/>
    <xf numFmtId="0" fontId="4" fillId="17" borderId="0" xfId="1" applyFill="1"/>
    <xf numFmtId="0" fontId="9" fillId="19" borderId="0" xfId="0" applyFont="1" applyFill="1"/>
    <xf numFmtId="0" fontId="4" fillId="19" borderId="0" xfId="1" applyFill="1"/>
    <xf numFmtId="0" fontId="0" fillId="19" borderId="0" xfId="0" applyFill="1"/>
    <xf numFmtId="0" fontId="11" fillId="19" borderId="1" xfId="0" applyFont="1" applyFill="1" applyBorder="1" applyAlignment="1">
      <alignment wrapText="1"/>
    </xf>
    <xf numFmtId="0" fontId="11" fillId="19" borderId="2" xfId="0" applyFont="1" applyFill="1" applyBorder="1" applyAlignment="1">
      <alignment wrapText="1"/>
    </xf>
    <xf numFmtId="0" fontId="11" fillId="19" borderId="4" xfId="0" applyFont="1" applyFill="1" applyBorder="1" applyAlignment="1">
      <alignment wrapText="1"/>
    </xf>
    <xf numFmtId="0" fontId="9" fillId="20" borderId="0" xfId="0" applyFont="1" applyFill="1"/>
    <xf numFmtId="0" fontId="0" fillId="21" borderId="0" xfId="0" applyFill="1"/>
    <xf numFmtId="0" fontId="0" fillId="23" borderId="0" xfId="0" applyFill="1"/>
    <xf numFmtId="0" fontId="14" fillId="22" borderId="0" xfId="0" applyFont="1" applyFill="1"/>
    <xf numFmtId="0" fontId="14" fillId="8" borderId="0" xfId="0" applyFont="1" applyFill="1"/>
    <xf numFmtId="0" fontId="0" fillId="24" borderId="0" xfId="0" applyFill="1"/>
    <xf numFmtId="0" fontId="13" fillId="0" borderId="0" xfId="0" applyFont="1"/>
    <xf numFmtId="0" fontId="16" fillId="0" borderId="0" xfId="0" applyFont="1"/>
    <xf numFmtId="0" fontId="14" fillId="0" borderId="0" xfId="0" applyFont="1"/>
    <xf numFmtId="0" fontId="17" fillId="0" borderId="0" xfId="0" applyFont="1"/>
    <xf numFmtId="0" fontId="18" fillId="12" borderId="3" xfId="0" applyFont="1" applyFill="1" applyBorder="1" applyAlignment="1">
      <alignment wrapText="1"/>
    </xf>
    <xf numFmtId="0" fontId="19" fillId="0" borderId="3" xfId="0" applyFont="1" applyFill="1" applyBorder="1" applyAlignment="1">
      <alignment wrapText="1"/>
    </xf>
    <xf numFmtId="164" fontId="0" fillId="0" borderId="0" xfId="2" applyNumberFormat="1" applyFont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0" applyNumberFormat="1"/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Create/List ports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379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Port!$A$2</c:f>
              <c:strCache>
                <c:ptCount val="1"/>
                <c:pt idx="0">
                  <c:v>rps=times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Port!$B$4:$H$4</c:f>
              <c:numCache>
                <c:formatCode>General</c:formatCode>
                <c:ptCount val="7"/>
                <c:pt idx="0">
                  <c:v>1.48</c:v>
                </c:pt>
                <c:pt idx="1">
                  <c:v>11.19</c:v>
                </c:pt>
                <c:pt idx="2">
                  <c:v>16.061</c:v>
                </c:pt>
                <c:pt idx="3">
                  <c:v>22.902999999999999</c:v>
                </c:pt>
                <c:pt idx="4">
                  <c:v>31.366</c:v>
                </c:pt>
                <c:pt idx="5">
                  <c:v>53.981000000000002</c:v>
                </c:pt>
                <c:pt idx="6">
                  <c:v>59.97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3949-BA4B-9110D19E50C1}"/>
            </c:ext>
          </c:extLst>
        </c:ser>
        <c:ser>
          <c:idx val="1"/>
          <c:order val="1"/>
          <c:tx>
            <c:strRef>
              <c:f>Port!$K$2</c:f>
              <c:strCache>
                <c:ptCount val="1"/>
                <c:pt idx="0">
                  <c:v>rps and 2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Port!$L$4:$P$4</c:f>
              <c:numCache>
                <c:formatCode>General</c:formatCode>
                <c:ptCount val="5"/>
                <c:pt idx="0">
                  <c:v>3.0710000000000002</c:v>
                </c:pt>
                <c:pt idx="1">
                  <c:v>20.190000000000001</c:v>
                </c:pt>
                <c:pt idx="2">
                  <c:v>36.340000000000003</c:v>
                </c:pt>
                <c:pt idx="3">
                  <c:v>63.826000000000001</c:v>
                </c:pt>
                <c:pt idx="4">
                  <c:v>85.382999999999996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3949-BA4B-9110D19E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44991"/>
        <c:axId val="1521253983"/>
        <c:axId val="1541368687"/>
      </c:line3DChart>
      <c:catAx>
        <c:axId val="1521244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53983"/>
        <c:crosses val="autoZero"/>
        <c:auto val="1"/>
        <c:lblAlgn val="ctr"/>
        <c:lblOffset val="100"/>
        <c:noMultiLvlLbl val="0"/>
      </c:catAx>
      <c:valAx>
        <c:axId val="15212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44991"/>
        <c:crosses val="autoZero"/>
        <c:crossBetween val="between"/>
      </c:valAx>
      <c:serAx>
        <c:axId val="1541368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53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Sheet4!$AC$6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Sheet4!$AD$6:$AG$6</c:f>
              <c:numCache>
                <c:formatCode>General</c:formatCode>
                <c:ptCount val="4"/>
                <c:pt idx="0">
                  <c:v>551.63327685421314</c:v>
                </c:pt>
                <c:pt idx="1">
                  <c:v>1144.8676999787251</c:v>
                </c:pt>
                <c:pt idx="2">
                  <c:v>1460.5068984943871</c:v>
                </c:pt>
                <c:pt idx="3">
                  <c:v>1476.5013408920752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5-3947-8335-E499D73376C6}"/>
            </c:ext>
          </c:extLst>
        </c:ser>
        <c:ser>
          <c:idx val="1"/>
          <c:order val="1"/>
          <c:tx>
            <c:strRef>
              <c:f>Sheet4!$AC$7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Sheet4!$AD$7:$AG$7</c:f>
              <c:numCache>
                <c:formatCode>General</c:formatCode>
                <c:ptCount val="4"/>
                <c:pt idx="0">
                  <c:v>695.67739832859525</c:v>
                </c:pt>
                <c:pt idx="1">
                  <c:v>1245.0126605866587</c:v>
                </c:pt>
                <c:pt idx="2">
                  <c:v>1467.4824532719506</c:v>
                </c:pt>
                <c:pt idx="3">
                  <c:v>1724.2534679082357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5-3947-8335-E499D73376C6}"/>
            </c:ext>
          </c:extLst>
        </c:ser>
        <c:ser>
          <c:idx val="2"/>
          <c:order val="2"/>
          <c:tx>
            <c:strRef>
              <c:f>Sheet4!$AC$8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Sheet4!$AD$8:$AG$8</c:f>
              <c:numCache>
                <c:formatCode>General</c:formatCode>
                <c:ptCount val="4"/>
                <c:pt idx="0">
                  <c:v>587.08839811057476</c:v>
                </c:pt>
                <c:pt idx="1">
                  <c:v>1293.0931093833481</c:v>
                </c:pt>
                <c:pt idx="2">
                  <c:v>1537.5129911103143</c:v>
                </c:pt>
                <c:pt idx="3">
                  <c:v>1673.3209369367692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5-3947-8335-E499D73376C6}"/>
            </c:ext>
          </c:extLst>
        </c:ser>
        <c:ser>
          <c:idx val="3"/>
          <c:order val="3"/>
          <c:tx>
            <c:strRef>
              <c:f>Sheet4!$AC$9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Sheet4!$AD$9:$AG$9</c:f>
              <c:numCache>
                <c:formatCode>General</c:formatCode>
                <c:ptCount val="4"/>
                <c:pt idx="0">
                  <c:v>629.01121256171211</c:v>
                </c:pt>
                <c:pt idx="1">
                  <c:v>1028.6954995356275</c:v>
                </c:pt>
                <c:pt idx="2">
                  <c:v>1524.6403616185919</c:v>
                </c:pt>
                <c:pt idx="3">
                  <c:v>1341.9162979655466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5-3947-8335-E499D73376C6}"/>
            </c:ext>
          </c:extLst>
        </c:ser>
        <c:ser>
          <c:idx val="4"/>
          <c:order val="4"/>
          <c:tx>
            <c:strRef>
              <c:f>Sheet4!$AC$10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Sheet4!$AD$10:$AG$10</c:f>
              <c:numCache>
                <c:formatCode>General</c:formatCode>
                <c:ptCount val="4"/>
                <c:pt idx="0">
                  <c:v>560.73628815110987</c:v>
                </c:pt>
                <c:pt idx="1">
                  <c:v>1121.5236104608455</c:v>
                </c:pt>
                <c:pt idx="2">
                  <c:v>1332.6409535069477</c:v>
                </c:pt>
                <c:pt idx="3">
                  <c:v>1465.5050255105662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5-3947-8335-E499D73376C6}"/>
            </c:ext>
          </c:extLst>
        </c:ser>
        <c:ser>
          <c:idx val="5"/>
          <c:order val="5"/>
          <c:tx>
            <c:strRef>
              <c:f>Sheet4!$AC$11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Sheet4!$AD$11:$AG$11</c:f>
              <c:numCache>
                <c:formatCode>General</c:formatCode>
                <c:ptCount val="4"/>
                <c:pt idx="0">
                  <c:v>618.33111879485909</c:v>
                </c:pt>
                <c:pt idx="1">
                  <c:v>1137.3483163475746</c:v>
                </c:pt>
                <c:pt idx="2">
                  <c:v>1312.1670698771275</c:v>
                </c:pt>
                <c:pt idx="3">
                  <c:v>1410.6930524914694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5-3947-8335-E499D73376C6}"/>
            </c:ext>
          </c:extLst>
        </c:ser>
        <c:ser>
          <c:idx val="6"/>
          <c:order val="6"/>
          <c:tx>
            <c:strRef>
              <c:f>Sheet4!$AC$12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Sheet4!$AD$12:$AG$12</c:f>
              <c:numCache>
                <c:formatCode>0.00</c:formatCode>
                <c:ptCount val="4"/>
                <c:pt idx="0">
                  <c:v>607.07961546684407</c:v>
                </c:pt>
                <c:pt idx="1">
                  <c:v>1161.7568160487965</c:v>
                </c:pt>
                <c:pt idx="2">
                  <c:v>1439.1584546465531</c:v>
                </c:pt>
                <c:pt idx="3">
                  <c:v>1515.3650202841102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5-3947-8335-E499D73376C6}"/>
            </c:ext>
          </c:extLst>
        </c:ser>
        <c:ser>
          <c:idx val="7"/>
          <c:order val="7"/>
          <c:tx>
            <c:strRef>
              <c:f>Sheet4!$AC$13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Sheet4!$AD$5:$AG$5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Sheet4!$AD$13:$AG$13</c:f>
              <c:numCache>
                <c:formatCode>0.00</c:formatCode>
                <c:ptCount val="4"/>
                <c:pt idx="0">
                  <c:v>695.67739832859525</c:v>
                </c:pt>
                <c:pt idx="1">
                  <c:v>1293.0931093833481</c:v>
                </c:pt>
                <c:pt idx="2">
                  <c:v>1537.5129911103143</c:v>
                </c:pt>
                <c:pt idx="3">
                  <c:v>1724.2534679082357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E5-3947-8335-E499D733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86991"/>
        <c:axId val="271209407"/>
        <c:axId val="274256223"/>
      </c:area3DChart>
      <c:catAx>
        <c:axId val="271386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9407"/>
        <c:crosses val="autoZero"/>
        <c:auto val="1"/>
        <c:lblAlgn val="ctr"/>
        <c:lblOffset val="100"/>
        <c:noMultiLvlLbl val="0"/>
      </c:catAx>
      <c:valAx>
        <c:axId val="2712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86991"/>
        <c:crosses val="autoZero"/>
        <c:crossBetween val="midCat"/>
      </c:valAx>
      <c:serAx>
        <c:axId val="274256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9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Sheet4!$W$28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Sheet4!$X$28:$AA$28</c:f>
              <c:numCache>
                <c:formatCode>General</c:formatCode>
                <c:ptCount val="4"/>
                <c:pt idx="0">
                  <c:v>230.72541994318976</c:v>
                </c:pt>
                <c:pt idx="1">
                  <c:v>239.91477862392813</c:v>
                </c:pt>
                <c:pt idx="2">
                  <c:v>212.82175472617374</c:v>
                </c:pt>
                <c:pt idx="3">
                  <c:v>204.04776283778199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6244-A266-23617A05B015}"/>
            </c:ext>
          </c:extLst>
        </c:ser>
        <c:ser>
          <c:idx val="1"/>
          <c:order val="1"/>
          <c:tx>
            <c:strRef>
              <c:f>Sheet4!$W$29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Sheet4!$X$29:$AA$29</c:f>
              <c:numCache>
                <c:formatCode>General</c:formatCode>
                <c:ptCount val="4"/>
                <c:pt idx="0">
                  <c:v>113.39007095415241</c:v>
                </c:pt>
                <c:pt idx="1">
                  <c:v>140.16399438516945</c:v>
                </c:pt>
                <c:pt idx="2">
                  <c:v>143.90734185425069</c:v>
                </c:pt>
                <c:pt idx="3">
                  <c:v>132.52861520834398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9-6244-A266-23617A05B015}"/>
            </c:ext>
          </c:extLst>
        </c:ser>
        <c:ser>
          <c:idx val="2"/>
          <c:order val="2"/>
          <c:tx>
            <c:strRef>
              <c:f>Sheet4!$W$30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Sheet4!$X$30:$AA$30</c:f>
              <c:numCache>
                <c:formatCode>General</c:formatCode>
                <c:ptCount val="4"/>
                <c:pt idx="0">
                  <c:v>64.945403737271832</c:v>
                </c:pt>
                <c:pt idx="1">
                  <c:v>84.844890364108977</c:v>
                </c:pt>
                <c:pt idx="2">
                  <c:v>90.797329322493866</c:v>
                </c:pt>
                <c:pt idx="3">
                  <c:v>84.79956489533204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9-6244-A266-23617A05B015}"/>
            </c:ext>
          </c:extLst>
        </c:ser>
        <c:ser>
          <c:idx val="3"/>
          <c:order val="3"/>
          <c:tx>
            <c:strRef>
              <c:f>Sheet4!$W$31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Sheet4!$X$31:$AA$31</c:f>
              <c:numCache>
                <c:formatCode>General</c:formatCode>
                <c:ptCount val="4"/>
                <c:pt idx="0">
                  <c:v>48.55271571098455</c:v>
                </c:pt>
                <c:pt idx="1">
                  <c:v>63.957872377004975</c:v>
                </c:pt>
                <c:pt idx="2">
                  <c:v>67.394912544968406</c:v>
                </c:pt>
                <c:pt idx="3">
                  <c:v>61.991603567773979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9-6244-A266-23617A05B015}"/>
            </c:ext>
          </c:extLst>
        </c:ser>
        <c:ser>
          <c:idx val="4"/>
          <c:order val="4"/>
          <c:tx>
            <c:strRef>
              <c:f>Sheet4!$W$32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Sheet4!$X$32:$AA$32</c:f>
              <c:numCache>
                <c:formatCode>General</c:formatCode>
                <c:ptCount val="4"/>
                <c:pt idx="0">
                  <c:v>45.010655511843559</c:v>
                </c:pt>
                <c:pt idx="1">
                  <c:v>49.449576720114386</c:v>
                </c:pt>
                <c:pt idx="2">
                  <c:v>50.988483382821585</c:v>
                </c:pt>
                <c:pt idx="3">
                  <c:v>49.958568771904275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6-C24C-A202-AA9688C3EBE6}"/>
            </c:ext>
          </c:extLst>
        </c:ser>
        <c:ser>
          <c:idx val="5"/>
          <c:order val="5"/>
          <c:tx>
            <c:strRef>
              <c:f>Sheet4!$W$33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Sheet4!$X$33:$AA$33</c:f>
              <c:numCache>
                <c:formatCode>General</c:formatCode>
                <c:ptCount val="4"/>
                <c:pt idx="0">
                  <c:v>49.197090910784027</c:v>
                </c:pt>
                <c:pt idx="1">
                  <c:v>39.27568924360434</c:v>
                </c:pt>
                <c:pt idx="2">
                  <c:v>39.047824377414635</c:v>
                </c:pt>
                <c:pt idx="3">
                  <c:v>43.052819614883347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6-C24C-A202-AA9688C3EBE6}"/>
            </c:ext>
          </c:extLst>
        </c:ser>
        <c:ser>
          <c:idx val="6"/>
          <c:order val="6"/>
          <c:tx>
            <c:strRef>
              <c:f>Sheet4!$W$34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Sheet4!$X$34:$AA$34</c:f>
              <c:numCache>
                <c:formatCode>General</c:formatCode>
                <c:ptCount val="4"/>
                <c:pt idx="0">
                  <c:v>91.97022612803768</c:v>
                </c:pt>
                <c:pt idx="1">
                  <c:v>102.9344669523217</c:v>
                </c:pt>
                <c:pt idx="2">
                  <c:v>100.82627436802049</c:v>
                </c:pt>
                <c:pt idx="3">
                  <c:v>96.06315581600326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6-C24C-A202-AA9688C3EBE6}"/>
            </c:ext>
          </c:extLst>
        </c:ser>
        <c:ser>
          <c:idx val="7"/>
          <c:order val="7"/>
          <c:tx>
            <c:strRef>
              <c:f>Sheet4!$W$35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Sheet4!$X$27:$AA$27</c:f>
              <c:strCache>
                <c:ptCount val="4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  <c:pt idx="3">
                  <c:v>25 pods</c:v>
                </c:pt>
              </c:strCache>
            </c:strRef>
          </c:cat>
          <c:val>
            <c:numRef>
              <c:f>Sheet4!$X$35:$AA$35</c:f>
              <c:numCache>
                <c:formatCode>General</c:formatCode>
                <c:ptCount val="4"/>
                <c:pt idx="0">
                  <c:v>230.72541994318976</c:v>
                </c:pt>
                <c:pt idx="1">
                  <c:v>239.91477862392813</c:v>
                </c:pt>
                <c:pt idx="2">
                  <c:v>212.82175472617374</c:v>
                </c:pt>
                <c:pt idx="3">
                  <c:v>204.04776283778199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6-C24C-A202-AA9688C3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89263"/>
        <c:axId val="277679407"/>
        <c:axId val="296391487"/>
      </c:area3DChart>
      <c:catAx>
        <c:axId val="2768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9407"/>
        <c:crosses val="autoZero"/>
        <c:auto val="1"/>
        <c:lblAlgn val="ctr"/>
        <c:lblOffset val="100"/>
        <c:noMultiLvlLbl val="0"/>
      </c:catAx>
      <c:valAx>
        <c:axId val="2776794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9263"/>
        <c:crosses val="autoZero"/>
        <c:crossBetween val="midCat"/>
      </c:valAx>
      <c:serAx>
        <c:axId val="29639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9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Sheet4!$J$30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Sheet4!$K$30:$M$30</c:f>
              <c:numCache>
                <c:formatCode>General</c:formatCode>
                <c:ptCount val="3"/>
                <c:pt idx="0">
                  <c:v>1425.263449116567</c:v>
                </c:pt>
                <c:pt idx="1">
                  <c:v>1486.1198647926303</c:v>
                </c:pt>
                <c:pt idx="2">
                  <c:v>1616.491606954198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B-1D4A-9285-E21AD7326BD2}"/>
            </c:ext>
          </c:extLst>
        </c:ser>
        <c:ser>
          <c:idx val="1"/>
          <c:order val="1"/>
          <c:tx>
            <c:strRef>
              <c:f>Sheet4!$J$31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Sheet4!$K$31:$M$31</c:f>
              <c:numCache>
                <c:formatCode>General</c:formatCode>
                <c:ptCount val="3"/>
                <c:pt idx="0">
                  <c:v>2655.3516517601543</c:v>
                </c:pt>
                <c:pt idx="1">
                  <c:v>2848.5979415004072</c:v>
                </c:pt>
                <c:pt idx="2">
                  <c:v>3559.6282981028075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B-1D4A-9285-E21AD7326BD2}"/>
            </c:ext>
          </c:extLst>
        </c:ser>
        <c:ser>
          <c:idx val="2"/>
          <c:order val="2"/>
          <c:tx>
            <c:strRef>
              <c:f>Sheet4!$J$32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Sheet4!$K$32:$M$32</c:f>
              <c:numCache>
                <c:formatCode>General</c:formatCode>
                <c:ptCount val="3"/>
                <c:pt idx="0">
                  <c:v>3460.686519979929</c:v>
                </c:pt>
                <c:pt idx="1">
                  <c:v>1972.1121743912763</c:v>
                </c:pt>
                <c:pt idx="2">
                  <c:v>2453.710311466054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B-1D4A-9285-E21AD732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18704"/>
        <c:axId val="1420409775"/>
        <c:axId val="1897412079"/>
      </c:area3DChart>
      <c:catAx>
        <c:axId val="176531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09775"/>
        <c:crosses val="autoZero"/>
        <c:auto val="1"/>
        <c:lblAlgn val="ctr"/>
        <c:lblOffset val="100"/>
        <c:noMultiLvlLbl val="0"/>
      </c:catAx>
      <c:valAx>
        <c:axId val="14204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18704"/>
        <c:crosses val="autoZero"/>
        <c:crossBetween val="midCat"/>
      </c:valAx>
      <c:serAx>
        <c:axId val="1897412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097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Sheet4!$X$27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Sheet4!$W$28:$W$33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Sheet4!$X$28:$X$33</c:f>
              <c:numCache>
                <c:formatCode>General</c:formatCode>
                <c:ptCount val="6"/>
                <c:pt idx="0">
                  <c:v>230.72541994318976</c:v>
                </c:pt>
                <c:pt idx="1">
                  <c:v>113.39007095415241</c:v>
                </c:pt>
                <c:pt idx="2">
                  <c:v>64.945403737271832</c:v>
                </c:pt>
                <c:pt idx="3">
                  <c:v>48.55271571098455</c:v>
                </c:pt>
                <c:pt idx="4">
                  <c:v>45.010655511843559</c:v>
                </c:pt>
                <c:pt idx="5">
                  <c:v>49.197090910784027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0-634E-9EFC-47E6DE3AE09C}"/>
            </c:ext>
          </c:extLst>
        </c:ser>
        <c:ser>
          <c:idx val="1"/>
          <c:order val="1"/>
          <c:tx>
            <c:strRef>
              <c:f>Sheet4!$Y$27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Sheet4!$W$28:$W$33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Sheet4!$Y$28:$Y$33</c:f>
              <c:numCache>
                <c:formatCode>General</c:formatCode>
                <c:ptCount val="6"/>
                <c:pt idx="0">
                  <c:v>239.91477862392813</c:v>
                </c:pt>
                <c:pt idx="1">
                  <c:v>140.16399438516945</c:v>
                </c:pt>
                <c:pt idx="2">
                  <c:v>84.844890364108977</c:v>
                </c:pt>
                <c:pt idx="3">
                  <c:v>63.957872377004975</c:v>
                </c:pt>
                <c:pt idx="4">
                  <c:v>49.449576720114386</c:v>
                </c:pt>
                <c:pt idx="5">
                  <c:v>39.27568924360434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0-634E-9EFC-47E6DE3AE09C}"/>
            </c:ext>
          </c:extLst>
        </c:ser>
        <c:ser>
          <c:idx val="2"/>
          <c:order val="2"/>
          <c:tx>
            <c:strRef>
              <c:f>Sheet4!$Z$27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Sheet4!$W$28:$W$33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Sheet4!$Z$28:$Z$33</c:f>
              <c:numCache>
                <c:formatCode>General</c:formatCode>
                <c:ptCount val="6"/>
                <c:pt idx="0">
                  <c:v>212.82175472617374</c:v>
                </c:pt>
                <c:pt idx="1">
                  <c:v>143.90734185425069</c:v>
                </c:pt>
                <c:pt idx="2">
                  <c:v>90.797329322493866</c:v>
                </c:pt>
                <c:pt idx="3">
                  <c:v>67.394912544968406</c:v>
                </c:pt>
                <c:pt idx="4">
                  <c:v>50.988483382821585</c:v>
                </c:pt>
                <c:pt idx="5">
                  <c:v>39.047824377414635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0-634E-9EFC-47E6DE3AE09C}"/>
            </c:ext>
          </c:extLst>
        </c:ser>
        <c:ser>
          <c:idx val="3"/>
          <c:order val="3"/>
          <c:tx>
            <c:strRef>
              <c:f>Sheet4!$AA$27</c:f>
              <c:strCache>
                <c:ptCount val="1"/>
                <c:pt idx="0">
                  <c:v>25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Sheet4!$W$28:$W$33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Sheet4!$AA$28:$AA$33</c:f>
              <c:numCache>
                <c:formatCode>General</c:formatCode>
                <c:ptCount val="6"/>
                <c:pt idx="0">
                  <c:v>204.04776283778199</c:v>
                </c:pt>
                <c:pt idx="1">
                  <c:v>132.52861520834398</c:v>
                </c:pt>
                <c:pt idx="2">
                  <c:v>84.79956489533204</c:v>
                </c:pt>
                <c:pt idx="3">
                  <c:v>61.991603567773979</c:v>
                </c:pt>
                <c:pt idx="4">
                  <c:v>49.958568771904275</c:v>
                </c:pt>
                <c:pt idx="5">
                  <c:v>43.052819614883347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0-634E-9EFC-47E6DE3A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60544"/>
        <c:axId val="1761128799"/>
        <c:axId val="1897783023"/>
      </c:area3DChart>
      <c:catAx>
        <c:axId val="17654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8799"/>
        <c:crosses val="autoZero"/>
        <c:auto val="1"/>
        <c:lblAlgn val="ctr"/>
        <c:lblOffset val="100"/>
        <c:noMultiLvlLbl val="0"/>
      </c:catAx>
      <c:valAx>
        <c:axId val="17611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0544"/>
        <c:crosses val="autoZero"/>
        <c:crossBetween val="midCat"/>
      </c:valAx>
      <c:serAx>
        <c:axId val="189778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87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Sheet4!$X$5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Sheet4!$W$6:$W$11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Sheet4!$X$6:$X$11</c:f>
              <c:numCache>
                <c:formatCode>0.00</c:formatCode>
                <c:ptCount val="6"/>
                <c:pt idx="0">
                  <c:v>577.971785554191</c:v>
                </c:pt>
                <c:pt idx="1">
                  <c:v>628.20753086939635</c:v>
                </c:pt>
                <c:pt idx="2">
                  <c:v>658.89570345181232</c:v>
                </c:pt>
                <c:pt idx="3">
                  <c:v>598.73506601731128</c:v>
                </c:pt>
                <c:pt idx="4">
                  <c:v>516.99173269343646</c:v>
                </c:pt>
                <c:pt idx="5">
                  <c:v>539.58548968219816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7841-9518-3719C5D513CD}"/>
            </c:ext>
          </c:extLst>
        </c:ser>
        <c:ser>
          <c:idx val="1"/>
          <c:order val="1"/>
          <c:tx>
            <c:strRef>
              <c:f>Sheet4!$Y$5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Sheet4!$W$6:$W$11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Sheet4!$Y$6:$Y$11</c:f>
              <c:numCache>
                <c:formatCode>0.00</c:formatCode>
                <c:ptCount val="6"/>
                <c:pt idx="0">
                  <c:v>1205.4333742484744</c:v>
                </c:pt>
                <c:pt idx="1">
                  <c:v>1282.0999517160519</c:v>
                </c:pt>
                <c:pt idx="2">
                  <c:v>1301.53113417648</c:v>
                </c:pt>
                <c:pt idx="3">
                  <c:v>1155.6277166481918</c:v>
                </c:pt>
                <c:pt idx="4">
                  <c:v>1175.8908131947469</c:v>
                </c:pt>
                <c:pt idx="5">
                  <c:v>1149.9836533273631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7-7841-9518-3719C5D513CD}"/>
            </c:ext>
          </c:extLst>
        </c:ser>
        <c:ser>
          <c:idx val="2"/>
          <c:order val="2"/>
          <c:tx>
            <c:strRef>
              <c:f>Sheet4!$Z$5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Sheet4!$W$6:$W$11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Sheet4!$Z$6:$Z$11</c:f>
              <c:numCache>
                <c:formatCode>0.00</c:formatCode>
                <c:ptCount val="6"/>
                <c:pt idx="0">
                  <c:v>1442.5609435908846</c:v>
                </c:pt>
                <c:pt idx="1">
                  <c:v>1435.1473392867761</c:v>
                </c:pt>
                <c:pt idx="2">
                  <c:v>1530.056920496681</c:v>
                </c:pt>
                <c:pt idx="3">
                  <c:v>1300.5978719007642</c:v>
                </c:pt>
                <c:pt idx="4">
                  <c:v>1262.0977870651907</c:v>
                </c:pt>
                <c:pt idx="5">
                  <c:v>1209.3000814016768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7-7841-9518-3719C5D513CD}"/>
            </c:ext>
          </c:extLst>
        </c:ser>
        <c:ser>
          <c:idx val="3"/>
          <c:order val="3"/>
          <c:tx>
            <c:strRef>
              <c:f>Sheet4!$AA$5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Sheet4!$W$6:$W$11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Sheet4!$AA$6:$AA$11</c:f>
              <c:numCache>
                <c:formatCode>0.00</c:formatCode>
                <c:ptCount val="6"/>
                <c:pt idx="0">
                  <c:v>1450.7830012956986</c:v>
                </c:pt>
                <c:pt idx="1">
                  <c:v>1577.7021698897606</c:v>
                </c:pt>
                <c:pt idx="2">
                  <c:v>1622.1885572314832</c:v>
                </c:pt>
                <c:pt idx="3">
                  <c:v>1308.1092561472165</c:v>
                </c:pt>
                <c:pt idx="4">
                  <c:v>1321.0716247404207</c:v>
                </c:pt>
                <c:pt idx="5">
                  <c:v>1331.1024482253858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7-7841-9518-3719C5D5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2159"/>
        <c:axId val="2033266527"/>
        <c:axId val="1363022959"/>
      </c:area3DChart>
      <c:catAx>
        <c:axId val="176093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6527"/>
        <c:crosses val="autoZero"/>
        <c:auto val="1"/>
        <c:lblAlgn val="ctr"/>
        <c:lblOffset val="100"/>
        <c:noMultiLvlLbl val="0"/>
      </c:catAx>
      <c:valAx>
        <c:axId val="20332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2159"/>
        <c:crosses val="autoZero"/>
        <c:crossBetween val="midCat"/>
      </c:valAx>
      <c:serAx>
        <c:axId val="1363022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6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Sheet4!$AD$5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Sheet4!$AC$6:$AC$11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Sheet4!$AD$6:$AD$11</c:f>
              <c:numCache>
                <c:formatCode>General</c:formatCode>
                <c:ptCount val="6"/>
                <c:pt idx="0">
                  <c:v>551.63327685421314</c:v>
                </c:pt>
                <c:pt idx="1">
                  <c:v>695.67739832859525</c:v>
                </c:pt>
                <c:pt idx="2">
                  <c:v>587.08839811057476</c:v>
                </c:pt>
                <c:pt idx="3">
                  <c:v>629.01121256171211</c:v>
                </c:pt>
                <c:pt idx="4">
                  <c:v>560.73628815110987</c:v>
                </c:pt>
                <c:pt idx="5">
                  <c:v>618.33111879485909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D-8247-9037-7F3EB7BC5A4D}"/>
            </c:ext>
          </c:extLst>
        </c:ser>
        <c:ser>
          <c:idx val="1"/>
          <c:order val="1"/>
          <c:tx>
            <c:strRef>
              <c:f>Sheet4!$AE$5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Sheet4!$AC$6:$AC$11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Sheet4!$AE$6:$AE$11</c:f>
              <c:numCache>
                <c:formatCode>General</c:formatCode>
                <c:ptCount val="6"/>
                <c:pt idx="0">
                  <c:v>1144.8676999787251</c:v>
                </c:pt>
                <c:pt idx="1">
                  <c:v>1245.0126605866587</c:v>
                </c:pt>
                <c:pt idx="2">
                  <c:v>1293.0931093833481</c:v>
                </c:pt>
                <c:pt idx="3">
                  <c:v>1028.6954995356275</c:v>
                </c:pt>
                <c:pt idx="4">
                  <c:v>1121.5236104608455</c:v>
                </c:pt>
                <c:pt idx="5">
                  <c:v>1137.3483163475746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D-8247-9037-7F3EB7BC5A4D}"/>
            </c:ext>
          </c:extLst>
        </c:ser>
        <c:ser>
          <c:idx val="2"/>
          <c:order val="2"/>
          <c:tx>
            <c:strRef>
              <c:f>Sheet4!$AF$5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Sheet4!$AC$6:$AC$11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Sheet4!$AF$6:$AF$11</c:f>
              <c:numCache>
                <c:formatCode>General</c:formatCode>
                <c:ptCount val="6"/>
                <c:pt idx="0">
                  <c:v>1460.5068984943871</c:v>
                </c:pt>
                <c:pt idx="1">
                  <c:v>1467.4824532719506</c:v>
                </c:pt>
                <c:pt idx="2">
                  <c:v>1537.5129911103143</c:v>
                </c:pt>
                <c:pt idx="3">
                  <c:v>1524.6403616185919</c:v>
                </c:pt>
                <c:pt idx="4">
                  <c:v>1332.6409535069477</c:v>
                </c:pt>
                <c:pt idx="5">
                  <c:v>1312.1670698771275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D-8247-9037-7F3EB7BC5A4D}"/>
            </c:ext>
          </c:extLst>
        </c:ser>
        <c:ser>
          <c:idx val="3"/>
          <c:order val="3"/>
          <c:tx>
            <c:strRef>
              <c:f>Sheet4!$AG$5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Sheet4!$AC$6:$AC$11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Sheet4!$AG$6:$AG$11</c:f>
              <c:numCache>
                <c:formatCode>General</c:formatCode>
                <c:ptCount val="6"/>
                <c:pt idx="0">
                  <c:v>1476.5013408920752</c:v>
                </c:pt>
                <c:pt idx="1">
                  <c:v>1724.2534679082357</c:v>
                </c:pt>
                <c:pt idx="2">
                  <c:v>1673.3209369367692</c:v>
                </c:pt>
                <c:pt idx="3">
                  <c:v>1341.9162979655466</c:v>
                </c:pt>
                <c:pt idx="4">
                  <c:v>1465.5050255105662</c:v>
                </c:pt>
                <c:pt idx="5">
                  <c:v>1410.6930524914694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D-8247-9037-7F3EB7BC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88015"/>
        <c:axId val="253659552"/>
        <c:axId val="1199929887"/>
      </c:area3DChart>
      <c:catAx>
        <c:axId val="203348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552"/>
        <c:crosses val="autoZero"/>
        <c:auto val="1"/>
        <c:lblAlgn val="ctr"/>
        <c:lblOffset val="100"/>
        <c:noMultiLvlLbl val="0"/>
      </c:catAx>
      <c:valAx>
        <c:axId val="2536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88015"/>
        <c:crosses val="autoZero"/>
        <c:crossBetween val="midCat"/>
      </c:valAx>
      <c:serAx>
        <c:axId val="1199929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5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VPC # = 500, VPC size = 20, Concurrency=500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'1-30 Test Results'!$D$24:$G$24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'1-30 Test Results'!$D$23:$G$23</c:f>
              <c:numCache>
                <c:formatCode>General</c:formatCode>
                <c:ptCount val="4"/>
                <c:pt idx="0">
                  <c:v>953.17053539185679</c:v>
                </c:pt>
                <c:pt idx="1">
                  <c:v>1430.0235975296657</c:v>
                </c:pt>
                <c:pt idx="2">
                  <c:v>1519.4485263893657</c:v>
                </c:pt>
                <c:pt idx="3">
                  <c:v>1630.6452490495494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D-364C-91BE-DE46F3F1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17391"/>
        <c:axId val="420778719"/>
      </c:lineChart>
      <c:catAx>
        <c:axId val="4211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8719"/>
        <c:crosses val="autoZero"/>
        <c:auto val="1"/>
        <c:lblAlgn val="ctr"/>
        <c:lblOffset val="100"/>
        <c:noMultiLvlLbl val="0"/>
      </c:catAx>
      <c:valAx>
        <c:axId val="420778719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Sheet1!$J$4:$J$9</c:f>
              <c:numCache>
                <c:formatCode>0.00</c:formatCode>
                <c:ptCount val="6"/>
                <c:pt idx="0">
                  <c:v>577.971785554191</c:v>
                </c:pt>
                <c:pt idx="1">
                  <c:v>628.20753086939635</c:v>
                </c:pt>
                <c:pt idx="2">
                  <c:v>658.89570345181232</c:v>
                </c:pt>
                <c:pt idx="3">
                  <c:v>598.73506601731128</c:v>
                </c:pt>
                <c:pt idx="4">
                  <c:v>516.99173269343646</c:v>
                </c:pt>
                <c:pt idx="5">
                  <c:v>539.58548968219816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0744-9040-25DF1B03C2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Sheet1!$K$4:$K$9</c:f>
              <c:numCache>
                <c:formatCode>0.00</c:formatCode>
                <c:ptCount val="6"/>
                <c:pt idx="0">
                  <c:v>1205.4333742484744</c:v>
                </c:pt>
                <c:pt idx="1">
                  <c:v>1282.0999517160519</c:v>
                </c:pt>
                <c:pt idx="2">
                  <c:v>1301.53113417648</c:v>
                </c:pt>
                <c:pt idx="3">
                  <c:v>1155.6277166481918</c:v>
                </c:pt>
                <c:pt idx="4">
                  <c:v>1175.8908131947469</c:v>
                </c:pt>
                <c:pt idx="5">
                  <c:v>1149.9836533273631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7-0744-9040-25DF1B03C2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Sheet1!$L$4:$L$9</c:f>
              <c:numCache>
                <c:formatCode>0.00</c:formatCode>
                <c:ptCount val="6"/>
                <c:pt idx="0">
                  <c:v>1442.5609435908846</c:v>
                </c:pt>
                <c:pt idx="1">
                  <c:v>1435.1473392867761</c:v>
                </c:pt>
                <c:pt idx="2">
                  <c:v>1530.056920496681</c:v>
                </c:pt>
                <c:pt idx="3">
                  <c:v>1300.5978719007642</c:v>
                </c:pt>
                <c:pt idx="4">
                  <c:v>1262.0977870651907</c:v>
                </c:pt>
                <c:pt idx="5">
                  <c:v>1209.3000814016768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7-0744-9040-25DF1B03C2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Sheet1!$M$4:$M$9</c:f>
              <c:numCache>
                <c:formatCode>0.00</c:formatCode>
                <c:ptCount val="6"/>
                <c:pt idx="0">
                  <c:v>1450.7830012956986</c:v>
                </c:pt>
                <c:pt idx="1">
                  <c:v>1577.7021698897606</c:v>
                </c:pt>
                <c:pt idx="2">
                  <c:v>1622.1885572314832</c:v>
                </c:pt>
                <c:pt idx="3">
                  <c:v>1308.1092561472165</c:v>
                </c:pt>
                <c:pt idx="4">
                  <c:v>1321.0716247404207</c:v>
                </c:pt>
                <c:pt idx="5">
                  <c:v>1331.1024482253858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7-0744-9040-25DF1B03C2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Sheet1!$N$4:$N$9</c:f>
              <c:numCache>
                <c:formatCode>0.00</c:formatCode>
                <c:ptCount val="6"/>
                <c:pt idx="0">
                  <c:v>1480.4859237870776</c:v>
                </c:pt>
                <c:pt idx="1">
                  <c:v>1648.7165075029825</c:v>
                </c:pt>
                <c:pt idx="2">
                  <c:v>1604.9446289689408</c:v>
                </c:pt>
                <c:pt idx="3">
                  <c:v>1433.2203901203543</c:v>
                </c:pt>
                <c:pt idx="4">
                  <c:v>1442.186032475435</c:v>
                </c:pt>
                <c:pt idx="5">
                  <c:v>1365.189265805677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7-0744-9040-25DF1B03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83167"/>
        <c:axId val="751684815"/>
        <c:axId val="751695407"/>
      </c:area3DChart>
      <c:catAx>
        <c:axId val="751683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4815"/>
        <c:crosses val="autoZero"/>
        <c:auto val="1"/>
        <c:lblAlgn val="ctr"/>
        <c:lblOffset val="100"/>
        <c:noMultiLvlLbl val="0"/>
      </c:catAx>
      <c:valAx>
        <c:axId val="7516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3167"/>
        <c:crosses val="autoZero"/>
        <c:crossBetween val="midCat"/>
      </c:valAx>
      <c:serAx>
        <c:axId val="75169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4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Sheet1!$P$4:$P$9</c:f>
              <c:numCache>
                <c:formatCode>General</c:formatCode>
                <c:ptCount val="6"/>
                <c:pt idx="0">
                  <c:v>551.63327685421314</c:v>
                </c:pt>
                <c:pt idx="1">
                  <c:v>695.67739832859525</c:v>
                </c:pt>
                <c:pt idx="2">
                  <c:v>587.08839811057476</c:v>
                </c:pt>
                <c:pt idx="3">
                  <c:v>629.01121256171211</c:v>
                </c:pt>
                <c:pt idx="4">
                  <c:v>560.73628815110987</c:v>
                </c:pt>
                <c:pt idx="5">
                  <c:v>618.33111879485909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9E42-8E8F-4C8D6BDC5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Sheet1!$Q$4:$Q$9</c:f>
              <c:numCache>
                <c:formatCode>General</c:formatCode>
                <c:ptCount val="6"/>
                <c:pt idx="0">
                  <c:v>1144.8676999787251</c:v>
                </c:pt>
                <c:pt idx="1">
                  <c:v>1245.0126605866587</c:v>
                </c:pt>
                <c:pt idx="2">
                  <c:v>1293.0931093833481</c:v>
                </c:pt>
                <c:pt idx="3">
                  <c:v>1028.6954995356275</c:v>
                </c:pt>
                <c:pt idx="4">
                  <c:v>1121.5236104608455</c:v>
                </c:pt>
                <c:pt idx="5">
                  <c:v>1137.3483163475746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1-9E42-8E8F-4C8D6BDC5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Sheet1!$R$4:$R$9</c:f>
              <c:numCache>
                <c:formatCode>General</c:formatCode>
                <c:ptCount val="6"/>
                <c:pt idx="0">
                  <c:v>1460.5068984943871</c:v>
                </c:pt>
                <c:pt idx="1">
                  <c:v>1467.4824532719506</c:v>
                </c:pt>
                <c:pt idx="2">
                  <c:v>1537.5129911103143</c:v>
                </c:pt>
                <c:pt idx="3">
                  <c:v>1524.6403616185919</c:v>
                </c:pt>
                <c:pt idx="4">
                  <c:v>1332.6409535069477</c:v>
                </c:pt>
                <c:pt idx="5">
                  <c:v>1312.1670698771275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1-9E42-8E8F-4C8D6BDC57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Sheet1!$S$4:$S$9</c:f>
              <c:numCache>
                <c:formatCode>General</c:formatCode>
                <c:ptCount val="6"/>
                <c:pt idx="0">
                  <c:v>1476.5013408920752</c:v>
                </c:pt>
                <c:pt idx="1">
                  <c:v>1724.2534679082357</c:v>
                </c:pt>
                <c:pt idx="2">
                  <c:v>1673.3209369367692</c:v>
                </c:pt>
                <c:pt idx="3">
                  <c:v>1341.9162979655466</c:v>
                </c:pt>
                <c:pt idx="4">
                  <c:v>1465.5050255105662</c:v>
                </c:pt>
                <c:pt idx="5">
                  <c:v>1410.6930524914694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1-9E42-8E8F-4C8D6BDC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28159"/>
        <c:axId val="751136591"/>
        <c:axId val="754449327"/>
      </c:area3DChart>
      <c:catAx>
        <c:axId val="751128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36591"/>
        <c:crosses val="autoZero"/>
        <c:auto val="1"/>
        <c:lblAlgn val="ctr"/>
        <c:lblOffset val="100"/>
        <c:noMultiLvlLbl val="0"/>
      </c:catAx>
      <c:valAx>
        <c:axId val="7511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28159"/>
        <c:crosses val="autoZero"/>
        <c:crossBetween val="midCat"/>
      </c:valAx>
      <c:serAx>
        <c:axId val="754449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36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subnet2!$B$3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subnet2!$C$3:$G$3</c:f>
              <c:numCache>
                <c:formatCode>General</c:formatCode>
                <c:ptCount val="5"/>
                <c:pt idx="0">
                  <c:v>122.1719427562397</c:v>
                </c:pt>
                <c:pt idx="1">
                  <c:v>192.23464378999563</c:v>
                </c:pt>
                <c:pt idx="2">
                  <c:v>165.97163237921092</c:v>
                </c:pt>
                <c:pt idx="3">
                  <c:v>189.46114975003638</c:v>
                </c:pt>
                <c:pt idx="4">
                  <c:v>170.64904301644242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7042-953E-468CA2559FDA}"/>
            </c:ext>
          </c:extLst>
        </c:ser>
        <c:ser>
          <c:idx val="1"/>
          <c:order val="1"/>
          <c:tx>
            <c:strRef>
              <c:f>subnet2!$B$4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subnet2!$C$4:$G$4</c:f>
              <c:numCache>
                <c:formatCode>General</c:formatCode>
                <c:ptCount val="5"/>
                <c:pt idx="0">
                  <c:v>213.15649870201014</c:v>
                </c:pt>
                <c:pt idx="1">
                  <c:v>207.86323860214111</c:v>
                </c:pt>
                <c:pt idx="2">
                  <c:v>208.11299099431352</c:v>
                </c:pt>
                <c:pt idx="3">
                  <c:v>237.87049281481225</c:v>
                </c:pt>
                <c:pt idx="4">
                  <c:v>204.96109929286908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A-7042-953E-468CA2559FDA}"/>
            </c:ext>
          </c:extLst>
        </c:ser>
        <c:ser>
          <c:idx val="2"/>
          <c:order val="2"/>
          <c:tx>
            <c:strRef>
              <c:f>subnet2!$B$5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subnet2!$C$5:$G$5</c:f>
              <c:numCache>
                <c:formatCode>General</c:formatCode>
                <c:ptCount val="5"/>
                <c:pt idx="0">
                  <c:v>158.11532771753832</c:v>
                </c:pt>
                <c:pt idx="1">
                  <c:v>123.51604324734785</c:v>
                </c:pt>
                <c:pt idx="2">
                  <c:v>131.56586465791941</c:v>
                </c:pt>
                <c:pt idx="3">
                  <c:v>181.89713153966966</c:v>
                </c:pt>
                <c:pt idx="4">
                  <c:v>140.86705719090673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A-7042-953E-468CA2559FDA}"/>
            </c:ext>
          </c:extLst>
        </c:ser>
        <c:ser>
          <c:idx val="3"/>
          <c:order val="3"/>
          <c:tx>
            <c:strRef>
              <c:f>subnet2!$B$6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subnet2!$C$6:$G$6</c:f>
              <c:numCache>
                <c:formatCode>General</c:formatCode>
                <c:ptCount val="5"/>
                <c:pt idx="0">
                  <c:v>109.3658013748815</c:v>
                </c:pt>
                <c:pt idx="1">
                  <c:v>108.49675989385567</c:v>
                </c:pt>
                <c:pt idx="2">
                  <c:v>95.699848075988768</c:v>
                </c:pt>
                <c:pt idx="3">
                  <c:v>117.86618912504376</c:v>
                </c:pt>
                <c:pt idx="4">
                  <c:v>96.23211348983412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A-7042-953E-468CA2559FDA}"/>
            </c:ext>
          </c:extLst>
        </c:ser>
        <c:ser>
          <c:idx val="4"/>
          <c:order val="4"/>
          <c:tx>
            <c:strRef>
              <c:f>subnet2!$B$7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subnet2!$C$7:$G$7</c:f>
              <c:numCache>
                <c:formatCode>General</c:formatCode>
                <c:ptCount val="5"/>
                <c:pt idx="0">
                  <c:v>94.228289051144259</c:v>
                </c:pt>
                <c:pt idx="1">
                  <c:v>91.576268082746338</c:v>
                </c:pt>
                <c:pt idx="2">
                  <c:v>85.339042720104999</c:v>
                </c:pt>
                <c:pt idx="3">
                  <c:v>103.22578958918069</c:v>
                </c:pt>
                <c:pt idx="4">
                  <c:v>83.053185232702404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A-7042-953E-468CA2559FDA}"/>
            </c:ext>
          </c:extLst>
        </c:ser>
        <c:ser>
          <c:idx val="5"/>
          <c:order val="5"/>
          <c:tx>
            <c:strRef>
              <c:f>subnet2!$B$8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  <a:sp3d contourW="9525">
              <a:contourClr>
                <a:schemeClr val="accent6"/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subnet2!$C$8:$G$8</c:f>
              <c:numCache>
                <c:formatCode>General</c:formatCode>
                <c:ptCount val="5"/>
                <c:pt idx="0">
                  <c:v>66.536477004352463</c:v>
                </c:pt>
                <c:pt idx="1">
                  <c:v>71.804850437608806</c:v>
                </c:pt>
                <c:pt idx="2">
                  <c:v>71.039169838534519</c:v>
                </c:pt>
                <c:pt idx="3">
                  <c:v>89.014947347231384</c:v>
                </c:pt>
                <c:pt idx="4">
                  <c:v>70.393646563425051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4A-7042-953E-468CA2559FDA}"/>
            </c:ext>
          </c:extLst>
        </c:ser>
        <c:ser>
          <c:idx val="6"/>
          <c:order val="6"/>
          <c:tx>
            <c:strRef>
              <c:f>subnet2!$B$9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  <a:alpha val="35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  <a:sp3d contourW="9525">
              <a:contourClr>
                <a:schemeClr val="accent1">
                  <a:lumMod val="60000"/>
                </a:schemeClr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subnet2!$C$9:$G$9</c:f>
              <c:numCache>
                <c:formatCode>General</c:formatCode>
                <c:ptCount val="5"/>
                <c:pt idx="0">
                  <c:v>127.26238943436105</c:v>
                </c:pt>
                <c:pt idx="1">
                  <c:v>132.58196734228258</c:v>
                </c:pt>
                <c:pt idx="2">
                  <c:v>126.28809144434535</c:v>
                </c:pt>
                <c:pt idx="3">
                  <c:v>153.22261669432899</c:v>
                </c:pt>
                <c:pt idx="4">
                  <c:v>127.69269079769663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4A-7042-953E-468CA2559FDA}"/>
            </c:ext>
          </c:extLst>
        </c:ser>
        <c:ser>
          <c:idx val="7"/>
          <c:order val="7"/>
          <c:tx>
            <c:strRef>
              <c:f>subnet2!$B$10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  <a:alpha val="35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  <a:sp3d contourW="9525">
              <a:contourClr>
                <a:schemeClr val="accent2">
                  <a:lumMod val="60000"/>
                </a:schemeClr>
              </a:contourClr>
            </a:sp3d>
          </c:spPr>
          <c:cat>
            <c:strRef>
              <c:f>subnet2!$C$2:$G$2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subnet2!$C$10:$G$10</c:f>
              <c:numCache>
                <c:formatCode>General</c:formatCode>
                <c:ptCount val="5"/>
                <c:pt idx="0">
                  <c:v>213.15649870201014</c:v>
                </c:pt>
                <c:pt idx="1">
                  <c:v>207.86323860214111</c:v>
                </c:pt>
                <c:pt idx="2">
                  <c:v>208.11299099431352</c:v>
                </c:pt>
                <c:pt idx="3">
                  <c:v>237.87049281481225</c:v>
                </c:pt>
                <c:pt idx="4">
                  <c:v>204.96109929286908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4A-7042-953E-468CA255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26335"/>
        <c:axId val="1251988479"/>
        <c:axId val="1385912159"/>
      </c:area3DChart>
      <c:catAx>
        <c:axId val="142022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8479"/>
        <c:crosses val="autoZero"/>
        <c:auto val="1"/>
        <c:lblAlgn val="ctr"/>
        <c:lblOffset val="100"/>
        <c:noMultiLvlLbl val="0"/>
      </c:catAx>
      <c:valAx>
        <c:axId val="1251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26335"/>
        <c:crosses val="autoZero"/>
        <c:crossBetween val="midCat"/>
      </c:valAx>
      <c:serAx>
        <c:axId val="138591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84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Sheet3!$C$8:$E$8</c:f>
              <c:numCache>
                <c:formatCode>General</c:formatCode>
                <c:ptCount val="3"/>
                <c:pt idx="0">
                  <c:v>100</c:v>
                </c:pt>
                <c:pt idx="1">
                  <c:v>3000</c:v>
                </c:pt>
                <c:pt idx="2">
                  <c:v>15000</c:v>
                </c:pt>
              </c:numCache>
            </c:numRef>
          </c:cat>
          <c:val>
            <c:numRef>
              <c:f>Sheet3!$C$9:$E$9</c:f>
              <c:numCache>
                <c:formatCode>General</c:formatCode>
                <c:ptCount val="3"/>
                <c:pt idx="0">
                  <c:v>101</c:v>
                </c:pt>
                <c:pt idx="1">
                  <c:v>106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A541-ABEB-CA659668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43487"/>
        <c:axId val="1086136895"/>
      </c:lineChart>
      <c:catAx>
        <c:axId val="10861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6895"/>
        <c:crosses val="autoZero"/>
        <c:auto val="1"/>
        <c:lblAlgn val="ctr"/>
        <c:lblOffset val="100"/>
        <c:noMultiLvlLbl val="0"/>
      </c:catAx>
      <c:valAx>
        <c:axId val="10861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subnet2!$C$2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subnet2!$B$3:$B$8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subnet2!$C$3:$C$8</c:f>
              <c:numCache>
                <c:formatCode>General</c:formatCode>
                <c:ptCount val="6"/>
                <c:pt idx="0">
                  <c:v>122.1719427562397</c:v>
                </c:pt>
                <c:pt idx="1">
                  <c:v>213.15649870201014</c:v>
                </c:pt>
                <c:pt idx="2">
                  <c:v>158.11532771753832</c:v>
                </c:pt>
                <c:pt idx="3">
                  <c:v>109.3658013748815</c:v>
                </c:pt>
                <c:pt idx="4">
                  <c:v>94.228289051144259</c:v>
                </c:pt>
                <c:pt idx="5">
                  <c:v>66.536477004352463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242-8AB2-FB69C01EA4EF}"/>
            </c:ext>
          </c:extLst>
        </c:ser>
        <c:ser>
          <c:idx val="1"/>
          <c:order val="1"/>
          <c:tx>
            <c:strRef>
              <c:f>subnet2!$D$2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subnet2!$B$3:$B$8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subnet2!$D$3:$D$8</c:f>
              <c:numCache>
                <c:formatCode>General</c:formatCode>
                <c:ptCount val="6"/>
                <c:pt idx="0">
                  <c:v>192.23464378999563</c:v>
                </c:pt>
                <c:pt idx="1">
                  <c:v>207.86323860214111</c:v>
                </c:pt>
                <c:pt idx="2">
                  <c:v>123.51604324734785</c:v>
                </c:pt>
                <c:pt idx="3">
                  <c:v>108.49675989385567</c:v>
                </c:pt>
                <c:pt idx="4">
                  <c:v>91.576268082746338</c:v>
                </c:pt>
                <c:pt idx="5">
                  <c:v>71.804850437608806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242-8AB2-FB69C01EA4EF}"/>
            </c:ext>
          </c:extLst>
        </c:ser>
        <c:ser>
          <c:idx val="2"/>
          <c:order val="2"/>
          <c:tx>
            <c:strRef>
              <c:f>subnet2!$E$2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subnet2!$B$3:$B$8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subnet2!$E$3:$E$8</c:f>
              <c:numCache>
                <c:formatCode>General</c:formatCode>
                <c:ptCount val="6"/>
                <c:pt idx="0">
                  <c:v>165.97163237921092</c:v>
                </c:pt>
                <c:pt idx="1">
                  <c:v>208.11299099431352</c:v>
                </c:pt>
                <c:pt idx="2">
                  <c:v>131.56586465791941</c:v>
                </c:pt>
                <c:pt idx="3">
                  <c:v>95.699848075988768</c:v>
                </c:pt>
                <c:pt idx="4">
                  <c:v>85.339042720104999</c:v>
                </c:pt>
                <c:pt idx="5">
                  <c:v>71.039169838534519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6-A242-8AB2-FB69C01EA4EF}"/>
            </c:ext>
          </c:extLst>
        </c:ser>
        <c:ser>
          <c:idx val="3"/>
          <c:order val="3"/>
          <c:tx>
            <c:strRef>
              <c:f>subnet2!$F$2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subnet2!$B$3:$B$8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subnet2!$F$3:$F$8</c:f>
              <c:numCache>
                <c:formatCode>General</c:formatCode>
                <c:ptCount val="6"/>
                <c:pt idx="0">
                  <c:v>189.46114975003638</c:v>
                </c:pt>
                <c:pt idx="1">
                  <c:v>237.87049281481225</c:v>
                </c:pt>
                <c:pt idx="2">
                  <c:v>181.89713153966966</c:v>
                </c:pt>
                <c:pt idx="3">
                  <c:v>117.86618912504376</c:v>
                </c:pt>
                <c:pt idx="4">
                  <c:v>103.22578958918069</c:v>
                </c:pt>
                <c:pt idx="5">
                  <c:v>89.014947347231384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6-A242-8AB2-FB69C01EA4EF}"/>
            </c:ext>
          </c:extLst>
        </c:ser>
        <c:ser>
          <c:idx val="4"/>
          <c:order val="4"/>
          <c:tx>
            <c:strRef>
              <c:f>subnet2!$G$2</c:f>
              <c:strCache>
                <c:ptCount val="1"/>
                <c:pt idx="0">
                  <c:v>25 pods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subnet2!$B$3:$B$8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subnet2!$G$3:$G$8</c:f>
              <c:numCache>
                <c:formatCode>General</c:formatCode>
                <c:ptCount val="6"/>
                <c:pt idx="0">
                  <c:v>170.64904301644242</c:v>
                </c:pt>
                <c:pt idx="1">
                  <c:v>204.96109929286908</c:v>
                </c:pt>
                <c:pt idx="2">
                  <c:v>140.86705719090673</c:v>
                </c:pt>
                <c:pt idx="3">
                  <c:v>96.23211348983412</c:v>
                </c:pt>
                <c:pt idx="4">
                  <c:v>83.053185232702404</c:v>
                </c:pt>
                <c:pt idx="5">
                  <c:v>70.393646563425051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6-A242-8AB2-FB69C0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33807"/>
        <c:axId val="1385836767"/>
        <c:axId val="1684182511"/>
      </c:area3DChart>
      <c:catAx>
        <c:axId val="1363733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36767"/>
        <c:crosses val="autoZero"/>
        <c:auto val="1"/>
        <c:lblAlgn val="ctr"/>
        <c:lblOffset val="100"/>
        <c:noMultiLvlLbl val="0"/>
      </c:catAx>
      <c:valAx>
        <c:axId val="1385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33807"/>
        <c:crosses val="autoZero"/>
        <c:crossBetween val="midCat"/>
      </c:valAx>
      <c:serAx>
        <c:axId val="168418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3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subnet2!$B$18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subnet2!$C$18:$G$18</c:f>
              <c:numCache>
                <c:formatCode>General</c:formatCode>
                <c:ptCount val="5"/>
                <c:pt idx="0">
                  <c:v>168.86433282923861</c:v>
                </c:pt>
                <c:pt idx="1">
                  <c:v>196.30594483042591</c:v>
                </c:pt>
                <c:pt idx="3">
                  <c:v>202.22271860859291</c:v>
                </c:pt>
                <c:pt idx="4">
                  <c:v>194.40302011110458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8248-9D03-2B798A8B5A70}"/>
            </c:ext>
          </c:extLst>
        </c:ser>
        <c:ser>
          <c:idx val="1"/>
          <c:order val="1"/>
          <c:tx>
            <c:strRef>
              <c:f>subnet2!$B$19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subnet2!$C$19:$G$19</c:f>
              <c:numCache>
                <c:formatCode>General</c:formatCode>
                <c:ptCount val="5"/>
                <c:pt idx="0">
                  <c:v>119.86092579929442</c:v>
                </c:pt>
                <c:pt idx="1">
                  <c:v>148.72623696927513</c:v>
                </c:pt>
                <c:pt idx="3">
                  <c:v>115.14197472172802</c:v>
                </c:pt>
                <c:pt idx="4">
                  <c:v>175.55660916530766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6-8248-9D03-2B798A8B5A70}"/>
            </c:ext>
          </c:extLst>
        </c:ser>
        <c:ser>
          <c:idx val="2"/>
          <c:order val="2"/>
          <c:tx>
            <c:strRef>
              <c:f>subnet2!$B$20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subnet2!$C$20:$G$20</c:f>
              <c:numCache>
                <c:formatCode>General</c:formatCode>
                <c:ptCount val="5"/>
                <c:pt idx="0">
                  <c:v>73.419320758272548</c:v>
                </c:pt>
                <c:pt idx="1">
                  <c:v>91.395140004139208</c:v>
                </c:pt>
                <c:pt idx="3">
                  <c:v>67.23130682039735</c:v>
                </c:pt>
                <c:pt idx="4">
                  <c:v>102.94837642720645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6-8248-9D03-2B798A8B5A70}"/>
            </c:ext>
          </c:extLst>
        </c:ser>
        <c:ser>
          <c:idx val="3"/>
          <c:order val="3"/>
          <c:tx>
            <c:strRef>
              <c:f>subnet2!$B$21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subnet2!$C$21:$G$21</c:f>
              <c:numCache>
                <c:formatCode>General</c:formatCode>
                <c:ptCount val="5"/>
                <c:pt idx="0">
                  <c:v>49.988367404475355</c:v>
                </c:pt>
                <c:pt idx="1">
                  <c:v>66.254577158786915</c:v>
                </c:pt>
                <c:pt idx="3">
                  <c:v>47.227826678840614</c:v>
                </c:pt>
                <c:pt idx="4">
                  <c:v>76.670355521197337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6-8248-9D03-2B798A8B5A70}"/>
            </c:ext>
          </c:extLst>
        </c:ser>
        <c:ser>
          <c:idx val="4"/>
          <c:order val="4"/>
          <c:tx>
            <c:strRef>
              <c:f>subnet2!$B$22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subnet2!$C$22:$G$22</c:f>
              <c:numCache>
                <c:formatCode>General</c:formatCode>
                <c:ptCount val="5"/>
                <c:pt idx="0">
                  <c:v>37.487349678298798</c:v>
                </c:pt>
                <c:pt idx="1">
                  <c:v>49.040503793461639</c:v>
                </c:pt>
                <c:pt idx="3">
                  <c:v>41.323479808289122</c:v>
                </c:pt>
                <c:pt idx="4">
                  <c:v>64.276293791405479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6-8248-9D03-2B798A8B5A70}"/>
            </c:ext>
          </c:extLst>
        </c:ser>
        <c:ser>
          <c:idx val="5"/>
          <c:order val="5"/>
          <c:tx>
            <c:strRef>
              <c:f>subnet2!$B$23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  <a:sp3d contourW="9525">
              <a:contourClr>
                <a:schemeClr val="accent6"/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subnet2!$C$23:$G$23</c:f>
              <c:numCache>
                <c:formatCode>General</c:formatCode>
                <c:ptCount val="5"/>
                <c:pt idx="0">
                  <c:v>29.793154922398642</c:v>
                </c:pt>
                <c:pt idx="1">
                  <c:v>40.045638128960874</c:v>
                </c:pt>
                <c:pt idx="3">
                  <c:v>35.674400262373979</c:v>
                </c:pt>
                <c:pt idx="4">
                  <c:v>51.438147045564421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6-8248-9D03-2B798A8B5A70}"/>
            </c:ext>
          </c:extLst>
        </c:ser>
        <c:ser>
          <c:idx val="6"/>
          <c:order val="6"/>
          <c:tx>
            <c:strRef>
              <c:f>subnet2!$B$24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  <a:alpha val="35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  <a:sp3d contourW="9525">
              <a:contourClr>
                <a:schemeClr val="accent1">
                  <a:lumMod val="60000"/>
                </a:schemeClr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subnet2!$C$24:$G$24</c:f>
              <c:numCache>
                <c:formatCode>General</c:formatCode>
                <c:ptCount val="5"/>
                <c:pt idx="0">
                  <c:v>79.902241898663064</c:v>
                </c:pt>
                <c:pt idx="1">
                  <c:v>98.628006814174924</c:v>
                </c:pt>
                <c:pt idx="3">
                  <c:v>84.803617816703664</c:v>
                </c:pt>
                <c:pt idx="4">
                  <c:v>110.88213367696432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6-8248-9D03-2B798A8B5A70}"/>
            </c:ext>
          </c:extLst>
        </c:ser>
        <c:ser>
          <c:idx val="7"/>
          <c:order val="7"/>
          <c:tx>
            <c:strRef>
              <c:f>subnet2!$B$25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  <a:alpha val="35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  <a:sp3d contourW="9525">
              <a:contourClr>
                <a:schemeClr val="accent2">
                  <a:lumMod val="60000"/>
                </a:schemeClr>
              </a:contourClr>
            </a:sp3d>
          </c:spPr>
          <c:cat>
            <c:strRef>
              <c:f>subnet2!$C$17:$G$17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subnet2!$C$25:$G$25</c:f>
              <c:numCache>
                <c:formatCode>General</c:formatCode>
                <c:ptCount val="5"/>
                <c:pt idx="0">
                  <c:v>168.86433282923861</c:v>
                </c:pt>
                <c:pt idx="1">
                  <c:v>196.30594483042591</c:v>
                </c:pt>
                <c:pt idx="3">
                  <c:v>202.22271860859291</c:v>
                </c:pt>
                <c:pt idx="4">
                  <c:v>194.40302011110458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6-8248-9D03-2B798A8B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9968"/>
        <c:axId val="280481616"/>
        <c:axId val="1082511871"/>
      </c:area3DChart>
      <c:catAx>
        <c:axId val="2804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1616"/>
        <c:crosses val="autoZero"/>
        <c:auto val="1"/>
        <c:lblAlgn val="ctr"/>
        <c:lblOffset val="100"/>
        <c:noMultiLvlLbl val="0"/>
      </c:catAx>
      <c:valAx>
        <c:axId val="2804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79968"/>
        <c:crosses val="autoZero"/>
        <c:crossBetween val="midCat"/>
      </c:valAx>
      <c:serAx>
        <c:axId val="108251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1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subnet2!$C$17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subnet2!$B$18:$B$23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subnet2!$C$18:$C$23</c:f>
              <c:numCache>
                <c:formatCode>General</c:formatCode>
                <c:ptCount val="6"/>
                <c:pt idx="0">
                  <c:v>168.86433282923861</c:v>
                </c:pt>
                <c:pt idx="1">
                  <c:v>119.86092579929442</c:v>
                </c:pt>
                <c:pt idx="2">
                  <c:v>73.419320758272548</c:v>
                </c:pt>
                <c:pt idx="3">
                  <c:v>49.988367404475355</c:v>
                </c:pt>
                <c:pt idx="4">
                  <c:v>37.487349678298798</c:v>
                </c:pt>
                <c:pt idx="5">
                  <c:v>29.793154922398642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8-9E48-8635-B3124D4D1F80}"/>
            </c:ext>
          </c:extLst>
        </c:ser>
        <c:ser>
          <c:idx val="1"/>
          <c:order val="1"/>
          <c:tx>
            <c:strRef>
              <c:f>subnet2!$D$17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subnet2!$B$18:$B$23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subnet2!$D$18:$D$23</c:f>
              <c:numCache>
                <c:formatCode>General</c:formatCode>
                <c:ptCount val="6"/>
                <c:pt idx="0">
                  <c:v>196.30594483042591</c:v>
                </c:pt>
                <c:pt idx="1">
                  <c:v>148.72623696927513</c:v>
                </c:pt>
                <c:pt idx="2">
                  <c:v>91.395140004139208</c:v>
                </c:pt>
                <c:pt idx="3">
                  <c:v>66.254577158786915</c:v>
                </c:pt>
                <c:pt idx="4">
                  <c:v>49.040503793461639</c:v>
                </c:pt>
                <c:pt idx="5">
                  <c:v>40.045638128960874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8-9E48-8635-B3124D4D1F80}"/>
            </c:ext>
          </c:extLst>
        </c:ser>
        <c:ser>
          <c:idx val="2"/>
          <c:order val="2"/>
          <c:tx>
            <c:strRef>
              <c:f>subnet2!$E$17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subnet2!$B$18:$B$23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subnet2!$E$18:$E$23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1F8-9E48-8635-B3124D4D1F80}"/>
            </c:ext>
          </c:extLst>
        </c:ser>
        <c:ser>
          <c:idx val="3"/>
          <c:order val="3"/>
          <c:tx>
            <c:strRef>
              <c:f>subnet2!$F$17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subnet2!$B$18:$B$23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subnet2!$F$18:$F$23</c:f>
              <c:numCache>
                <c:formatCode>General</c:formatCode>
                <c:ptCount val="6"/>
                <c:pt idx="0">
                  <c:v>202.22271860859291</c:v>
                </c:pt>
                <c:pt idx="1">
                  <c:v>115.14197472172802</c:v>
                </c:pt>
                <c:pt idx="2">
                  <c:v>67.23130682039735</c:v>
                </c:pt>
                <c:pt idx="3">
                  <c:v>47.227826678840614</c:v>
                </c:pt>
                <c:pt idx="4">
                  <c:v>41.323479808289122</c:v>
                </c:pt>
                <c:pt idx="5">
                  <c:v>35.674400262373979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8-9E48-8635-B3124D4D1F80}"/>
            </c:ext>
          </c:extLst>
        </c:ser>
        <c:ser>
          <c:idx val="4"/>
          <c:order val="4"/>
          <c:tx>
            <c:strRef>
              <c:f>subnet2!$G$17</c:f>
              <c:strCache>
                <c:ptCount val="1"/>
                <c:pt idx="0">
                  <c:v>25 pods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subnet2!$B$18:$B$23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subnet2!$G$18:$G$23</c:f>
              <c:numCache>
                <c:formatCode>General</c:formatCode>
                <c:ptCount val="6"/>
                <c:pt idx="0">
                  <c:v>194.40302011110458</c:v>
                </c:pt>
                <c:pt idx="1">
                  <c:v>175.55660916530766</c:v>
                </c:pt>
                <c:pt idx="2">
                  <c:v>102.94837642720645</c:v>
                </c:pt>
                <c:pt idx="3">
                  <c:v>76.670355521197337</c:v>
                </c:pt>
                <c:pt idx="4">
                  <c:v>64.276293791405479</c:v>
                </c:pt>
                <c:pt idx="5">
                  <c:v>51.438147045564421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8-9E48-8635-B3124D4D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51616"/>
        <c:axId val="1082201647"/>
        <c:axId val="1437739919"/>
      </c:area3DChart>
      <c:catAx>
        <c:axId val="4358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01647"/>
        <c:crosses val="autoZero"/>
        <c:auto val="1"/>
        <c:lblAlgn val="ctr"/>
        <c:lblOffset val="100"/>
        <c:noMultiLvlLbl val="0"/>
      </c:catAx>
      <c:valAx>
        <c:axId val="10822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1616"/>
        <c:crosses val="autoZero"/>
        <c:crossBetween val="midCat"/>
      </c:valAx>
      <c:serAx>
        <c:axId val="1437739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016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subnet2!$B$34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subnet2!$C$34:$G$34</c:f>
              <c:numCache>
                <c:formatCode>General</c:formatCode>
                <c:ptCount val="5"/>
                <c:pt idx="1">
                  <c:v>230.72541994318976</c:v>
                </c:pt>
                <c:pt idx="2">
                  <c:v>239.91477862392813</c:v>
                </c:pt>
                <c:pt idx="3">
                  <c:v>212.82175472617374</c:v>
                </c:pt>
                <c:pt idx="4">
                  <c:v>204.04776283778199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8241-A455-90BE717D6AF4}"/>
            </c:ext>
          </c:extLst>
        </c:ser>
        <c:ser>
          <c:idx val="1"/>
          <c:order val="1"/>
          <c:tx>
            <c:strRef>
              <c:f>subnet2!$B$35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subnet2!$C$35:$G$35</c:f>
              <c:numCache>
                <c:formatCode>General</c:formatCode>
                <c:ptCount val="5"/>
                <c:pt idx="1">
                  <c:v>113.39007095415241</c:v>
                </c:pt>
                <c:pt idx="2">
                  <c:v>140.16399438516945</c:v>
                </c:pt>
                <c:pt idx="3">
                  <c:v>143.90734185425069</c:v>
                </c:pt>
                <c:pt idx="4">
                  <c:v>132.52861520834398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C-8241-A455-90BE717D6AF4}"/>
            </c:ext>
          </c:extLst>
        </c:ser>
        <c:ser>
          <c:idx val="2"/>
          <c:order val="2"/>
          <c:tx>
            <c:strRef>
              <c:f>subnet2!$B$36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subnet2!$C$36:$G$36</c:f>
              <c:numCache>
                <c:formatCode>General</c:formatCode>
                <c:ptCount val="5"/>
                <c:pt idx="1">
                  <c:v>64.945403737271832</c:v>
                </c:pt>
                <c:pt idx="2">
                  <c:v>84.844890364108977</c:v>
                </c:pt>
                <c:pt idx="3">
                  <c:v>90.797329322493866</c:v>
                </c:pt>
                <c:pt idx="4">
                  <c:v>84.79956489533204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C-8241-A455-90BE717D6AF4}"/>
            </c:ext>
          </c:extLst>
        </c:ser>
        <c:ser>
          <c:idx val="3"/>
          <c:order val="3"/>
          <c:tx>
            <c:strRef>
              <c:f>subnet2!$B$37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subnet2!$C$37:$G$37</c:f>
              <c:numCache>
                <c:formatCode>General</c:formatCode>
                <c:ptCount val="5"/>
                <c:pt idx="1">
                  <c:v>48.55271571098455</c:v>
                </c:pt>
                <c:pt idx="2">
                  <c:v>63.957872377004975</c:v>
                </c:pt>
                <c:pt idx="3">
                  <c:v>67.394912544968406</c:v>
                </c:pt>
                <c:pt idx="4">
                  <c:v>61.991603567773979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C-8241-A455-90BE717D6AF4}"/>
            </c:ext>
          </c:extLst>
        </c:ser>
        <c:ser>
          <c:idx val="4"/>
          <c:order val="4"/>
          <c:tx>
            <c:strRef>
              <c:f>subnet2!$B$38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subnet2!$C$38:$G$38</c:f>
              <c:numCache>
                <c:formatCode>General</c:formatCode>
                <c:ptCount val="5"/>
                <c:pt idx="1">
                  <c:v>45.010655511843559</c:v>
                </c:pt>
                <c:pt idx="2">
                  <c:v>49.449576720114386</c:v>
                </c:pt>
                <c:pt idx="3">
                  <c:v>50.988483382821585</c:v>
                </c:pt>
                <c:pt idx="4">
                  <c:v>49.958568771904275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C-8241-A455-90BE717D6AF4}"/>
            </c:ext>
          </c:extLst>
        </c:ser>
        <c:ser>
          <c:idx val="5"/>
          <c:order val="5"/>
          <c:tx>
            <c:strRef>
              <c:f>subnet2!$B$39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  <a:sp3d contourW="9525">
              <a:contourClr>
                <a:schemeClr val="accent6"/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subnet2!$C$39:$G$39</c:f>
              <c:numCache>
                <c:formatCode>General</c:formatCode>
                <c:ptCount val="5"/>
                <c:pt idx="1">
                  <c:v>49.197090910784027</c:v>
                </c:pt>
                <c:pt idx="2">
                  <c:v>39.27568924360434</c:v>
                </c:pt>
                <c:pt idx="3">
                  <c:v>39.047824377414635</c:v>
                </c:pt>
                <c:pt idx="4">
                  <c:v>43.052819614883347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BC-8241-A455-90BE717D6AF4}"/>
            </c:ext>
          </c:extLst>
        </c:ser>
        <c:ser>
          <c:idx val="6"/>
          <c:order val="6"/>
          <c:tx>
            <c:strRef>
              <c:f>subnet2!$B$40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  <a:alpha val="35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  <a:sp3d contourW="9525">
              <a:contourClr>
                <a:schemeClr val="accent1">
                  <a:lumMod val="60000"/>
                </a:schemeClr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subnet2!$C$40:$G$40</c:f>
              <c:numCache>
                <c:formatCode>General</c:formatCode>
                <c:ptCount val="5"/>
                <c:pt idx="1">
                  <c:v>91.97022612803768</c:v>
                </c:pt>
                <c:pt idx="2">
                  <c:v>102.9344669523217</c:v>
                </c:pt>
                <c:pt idx="3">
                  <c:v>100.82627436802049</c:v>
                </c:pt>
                <c:pt idx="4">
                  <c:v>96.06315581600326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BC-8241-A455-90BE717D6AF4}"/>
            </c:ext>
          </c:extLst>
        </c:ser>
        <c:ser>
          <c:idx val="7"/>
          <c:order val="7"/>
          <c:tx>
            <c:strRef>
              <c:f>subnet2!$B$41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  <a:alpha val="35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  <a:sp3d contourW="9525">
              <a:contourClr>
                <a:schemeClr val="accent2">
                  <a:lumMod val="60000"/>
                </a:schemeClr>
              </a:contourClr>
            </a:sp3d>
          </c:spPr>
          <c:cat>
            <c:strRef>
              <c:f>subnet2!$C$33:$G$33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subnet2!$C$41:$G$41</c:f>
              <c:numCache>
                <c:formatCode>General</c:formatCode>
                <c:ptCount val="5"/>
                <c:pt idx="1">
                  <c:v>230.72541994318976</c:v>
                </c:pt>
                <c:pt idx="2">
                  <c:v>239.91477862392813</c:v>
                </c:pt>
                <c:pt idx="3">
                  <c:v>212.82175472617374</c:v>
                </c:pt>
                <c:pt idx="4">
                  <c:v>204.04776283778199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BC-8241-A455-90BE717D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5311"/>
        <c:axId val="1924448335"/>
        <c:axId val="1684079743"/>
      </c:area3DChart>
      <c:catAx>
        <c:axId val="125160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48335"/>
        <c:crosses val="autoZero"/>
        <c:auto val="1"/>
        <c:lblAlgn val="ctr"/>
        <c:lblOffset val="100"/>
        <c:noMultiLvlLbl val="0"/>
      </c:catAx>
      <c:valAx>
        <c:axId val="1924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05311"/>
        <c:crosses val="autoZero"/>
        <c:crossBetween val="midCat"/>
      </c:valAx>
      <c:serAx>
        <c:axId val="168407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483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subnet2!$C$33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subnet2!$B$34:$B$39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subnet2!$C$34:$C$39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6EB-FD49-AD74-B841B740611F}"/>
            </c:ext>
          </c:extLst>
        </c:ser>
        <c:ser>
          <c:idx val="1"/>
          <c:order val="1"/>
          <c:tx>
            <c:strRef>
              <c:f>subnet2!$D$33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subnet2!$B$34:$B$39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subnet2!$D$34:$D$39</c:f>
              <c:numCache>
                <c:formatCode>General</c:formatCode>
                <c:ptCount val="6"/>
                <c:pt idx="0">
                  <c:v>230.72541994318976</c:v>
                </c:pt>
                <c:pt idx="1">
                  <c:v>113.39007095415241</c:v>
                </c:pt>
                <c:pt idx="2">
                  <c:v>64.945403737271832</c:v>
                </c:pt>
                <c:pt idx="3">
                  <c:v>48.55271571098455</c:v>
                </c:pt>
                <c:pt idx="4">
                  <c:v>45.010655511843559</c:v>
                </c:pt>
                <c:pt idx="5">
                  <c:v>49.197090910784027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B-FD49-AD74-B841B740611F}"/>
            </c:ext>
          </c:extLst>
        </c:ser>
        <c:ser>
          <c:idx val="2"/>
          <c:order val="2"/>
          <c:tx>
            <c:strRef>
              <c:f>subnet2!$E$33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subnet2!$B$34:$B$39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subnet2!$E$34:$E$39</c:f>
              <c:numCache>
                <c:formatCode>General</c:formatCode>
                <c:ptCount val="6"/>
                <c:pt idx="0">
                  <c:v>239.91477862392813</c:v>
                </c:pt>
                <c:pt idx="1">
                  <c:v>140.16399438516945</c:v>
                </c:pt>
                <c:pt idx="2">
                  <c:v>84.844890364108977</c:v>
                </c:pt>
                <c:pt idx="3">
                  <c:v>63.957872377004975</c:v>
                </c:pt>
                <c:pt idx="4">
                  <c:v>49.449576720114386</c:v>
                </c:pt>
                <c:pt idx="5">
                  <c:v>39.27568924360434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B-FD49-AD74-B841B740611F}"/>
            </c:ext>
          </c:extLst>
        </c:ser>
        <c:ser>
          <c:idx val="3"/>
          <c:order val="3"/>
          <c:tx>
            <c:strRef>
              <c:f>subnet2!$F$33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subnet2!$B$34:$B$39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subnet2!$F$34:$F$39</c:f>
              <c:numCache>
                <c:formatCode>General</c:formatCode>
                <c:ptCount val="6"/>
                <c:pt idx="0">
                  <c:v>212.82175472617374</c:v>
                </c:pt>
                <c:pt idx="1">
                  <c:v>143.90734185425069</c:v>
                </c:pt>
                <c:pt idx="2">
                  <c:v>90.797329322493866</c:v>
                </c:pt>
                <c:pt idx="3">
                  <c:v>67.394912544968406</c:v>
                </c:pt>
                <c:pt idx="4">
                  <c:v>50.988483382821585</c:v>
                </c:pt>
                <c:pt idx="5">
                  <c:v>39.047824377414635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B-FD49-AD74-B841B740611F}"/>
            </c:ext>
          </c:extLst>
        </c:ser>
        <c:ser>
          <c:idx val="4"/>
          <c:order val="4"/>
          <c:tx>
            <c:strRef>
              <c:f>subnet2!$G$33</c:f>
              <c:strCache>
                <c:ptCount val="1"/>
                <c:pt idx="0">
                  <c:v>25 pods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subnet2!$B$34:$B$39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subnet2!$G$34:$G$39</c:f>
              <c:numCache>
                <c:formatCode>General</c:formatCode>
                <c:ptCount val="6"/>
                <c:pt idx="0">
                  <c:v>204.04776283778199</c:v>
                </c:pt>
                <c:pt idx="1">
                  <c:v>132.52861520834398</c:v>
                </c:pt>
                <c:pt idx="2">
                  <c:v>84.79956489533204</c:v>
                </c:pt>
                <c:pt idx="3">
                  <c:v>61.991603567773979</c:v>
                </c:pt>
                <c:pt idx="4">
                  <c:v>49.958568771904275</c:v>
                </c:pt>
                <c:pt idx="5">
                  <c:v>43.052819614883347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B-FD49-AD74-B841B740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96271"/>
        <c:axId val="1200093839"/>
        <c:axId val="1200111151"/>
      </c:area3DChart>
      <c:catAx>
        <c:axId val="120059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93839"/>
        <c:crosses val="autoZero"/>
        <c:auto val="1"/>
        <c:lblAlgn val="ctr"/>
        <c:lblOffset val="100"/>
        <c:noMultiLvlLbl val="0"/>
      </c:catAx>
      <c:valAx>
        <c:axId val="1200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96271"/>
        <c:crosses val="autoZero"/>
        <c:crossBetween val="midCat"/>
      </c:valAx>
      <c:serAx>
        <c:axId val="1200111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93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subnet2!$B$52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subnet2!$C$52:$G$52</c:f>
              <c:numCache>
                <c:formatCode>General</c:formatCode>
                <c:ptCount val="5"/>
                <c:pt idx="0">
                  <c:v>180.99765363691708</c:v>
                </c:pt>
                <c:pt idx="1">
                  <c:v>190.30322389773875</c:v>
                </c:pt>
                <c:pt idx="2">
                  <c:v>211.52013417142442</c:v>
                </c:pt>
                <c:pt idx="3">
                  <c:v>223.21284021184815</c:v>
                </c:pt>
                <c:pt idx="4">
                  <c:v>211.66470004097351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3D4F-960D-1ED3BD64F049}"/>
            </c:ext>
          </c:extLst>
        </c:ser>
        <c:ser>
          <c:idx val="1"/>
          <c:order val="1"/>
          <c:tx>
            <c:strRef>
              <c:f>subnet2!$B$53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subnet2!$C$53:$G$53</c:f>
              <c:numCache>
                <c:formatCode>General</c:formatCode>
                <c:ptCount val="5"/>
                <c:pt idx="0">
                  <c:v>87.032022957478304</c:v>
                </c:pt>
                <c:pt idx="1">
                  <c:v>98.463424627627745</c:v>
                </c:pt>
                <c:pt idx="2">
                  <c:v>76.639952997950431</c:v>
                </c:pt>
                <c:pt idx="3">
                  <c:v>103.56233410303098</c:v>
                </c:pt>
                <c:pt idx="4">
                  <c:v>109.24808174772811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3D4F-960D-1ED3BD64F049}"/>
            </c:ext>
          </c:extLst>
        </c:ser>
        <c:ser>
          <c:idx val="2"/>
          <c:order val="2"/>
          <c:tx>
            <c:strRef>
              <c:f>subnet2!$B$54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subnet2!$C$54:$G$54</c:f>
              <c:numCache>
                <c:formatCode>General</c:formatCode>
                <c:ptCount val="5"/>
                <c:pt idx="0">
                  <c:v>52.119378488522393</c:v>
                </c:pt>
                <c:pt idx="1">
                  <c:v>61.246979223712145</c:v>
                </c:pt>
                <c:pt idx="2">
                  <c:v>50.059689602007175</c:v>
                </c:pt>
                <c:pt idx="3">
                  <c:v>74.398951869184984</c:v>
                </c:pt>
                <c:pt idx="4">
                  <c:v>71.450447060820125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4-3D4F-960D-1ED3BD64F049}"/>
            </c:ext>
          </c:extLst>
        </c:ser>
        <c:ser>
          <c:idx val="3"/>
          <c:order val="3"/>
          <c:tx>
            <c:strRef>
              <c:f>subnet2!$B$55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subnet2!$C$55:$G$55</c:f>
              <c:numCache>
                <c:formatCode>General</c:formatCode>
                <c:ptCount val="5"/>
                <c:pt idx="0">
                  <c:v>41.289072895367951</c:v>
                </c:pt>
                <c:pt idx="1">
                  <c:v>62.783840338837628</c:v>
                </c:pt>
                <c:pt idx="2">
                  <c:v>36.333683865048179</c:v>
                </c:pt>
                <c:pt idx="3">
                  <c:v>67.939103123958148</c:v>
                </c:pt>
                <c:pt idx="4">
                  <c:v>52.71832570316613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4-3D4F-960D-1ED3BD64F049}"/>
            </c:ext>
          </c:extLst>
        </c:ser>
        <c:ser>
          <c:idx val="4"/>
          <c:order val="4"/>
          <c:tx>
            <c:strRef>
              <c:f>subnet2!$B$56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subnet2!$C$56:$G$56</c:f>
              <c:numCache>
                <c:formatCode>General</c:formatCode>
                <c:ptCount val="5"/>
                <c:pt idx="0">
                  <c:v>30.086040089097313</c:v>
                </c:pt>
                <c:pt idx="1">
                  <c:v>34.710469166488515</c:v>
                </c:pt>
                <c:pt idx="2">
                  <c:v>29.573833361185475</c:v>
                </c:pt>
                <c:pt idx="3">
                  <c:v>54.477213530604828</c:v>
                </c:pt>
                <c:pt idx="4">
                  <c:v>49.241023544653352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4-3D4F-960D-1ED3BD64F049}"/>
            </c:ext>
          </c:extLst>
        </c:ser>
        <c:ser>
          <c:idx val="5"/>
          <c:order val="5"/>
          <c:tx>
            <c:strRef>
              <c:f>subnet2!$B$57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  <a:sp3d contourW="9525">
              <a:contourClr>
                <a:schemeClr val="accent6"/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subnet2!$C$57:$G$57</c:f>
              <c:numCache>
                <c:formatCode>General</c:formatCode>
                <c:ptCount val="5"/>
                <c:pt idx="0">
                  <c:v>32.06123114167773</c:v>
                </c:pt>
                <c:pt idx="1">
                  <c:v>32.900763258893917</c:v>
                </c:pt>
                <c:pt idx="2">
                  <c:v>28.246774009157466</c:v>
                </c:pt>
                <c:pt idx="3">
                  <c:v>40.283108868642458</c:v>
                </c:pt>
                <c:pt idx="4">
                  <c:v>44.136839786927702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4-3D4F-960D-1ED3BD64F049}"/>
            </c:ext>
          </c:extLst>
        </c:ser>
        <c:ser>
          <c:idx val="6"/>
          <c:order val="6"/>
          <c:tx>
            <c:strRef>
              <c:f>subnet2!$B$58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  <a:alpha val="35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  <a:sp3d contourW="9525">
              <a:contourClr>
                <a:schemeClr val="accent1">
                  <a:lumMod val="60000"/>
                </a:schemeClr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subnet2!$C$58:$G$58</c:f>
              <c:numCache>
                <c:formatCode>General</c:formatCode>
                <c:ptCount val="5"/>
                <c:pt idx="0">
                  <c:v>70.597566534843466</c:v>
                </c:pt>
                <c:pt idx="1">
                  <c:v>80.068116752216454</c:v>
                </c:pt>
                <c:pt idx="2">
                  <c:v>72.062344667795514</c:v>
                </c:pt>
                <c:pt idx="3">
                  <c:v>93.978925284544914</c:v>
                </c:pt>
                <c:pt idx="4">
                  <c:v>89.743236314044808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4-3D4F-960D-1ED3BD64F049}"/>
            </c:ext>
          </c:extLst>
        </c:ser>
        <c:ser>
          <c:idx val="7"/>
          <c:order val="7"/>
          <c:tx>
            <c:strRef>
              <c:f>subnet2!$B$59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  <a:alpha val="35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  <a:sp3d contourW="9525">
              <a:contourClr>
                <a:schemeClr val="accent2">
                  <a:lumMod val="60000"/>
                </a:schemeClr>
              </a:contourClr>
            </a:sp3d>
          </c:spPr>
          <c:cat>
            <c:strRef>
              <c:f>subnet2!$C$51:$G$51</c:f>
              <c:strCache>
                <c:ptCount val="5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  <c:pt idx="4">
                  <c:v>25 pods</c:v>
                </c:pt>
              </c:strCache>
            </c:strRef>
          </c:cat>
          <c:val>
            <c:numRef>
              <c:f>subnet2!$C$59:$G$59</c:f>
              <c:numCache>
                <c:formatCode>General</c:formatCode>
                <c:ptCount val="5"/>
                <c:pt idx="0">
                  <c:v>180.99765363691708</c:v>
                </c:pt>
                <c:pt idx="1">
                  <c:v>190.30322389773875</c:v>
                </c:pt>
                <c:pt idx="2">
                  <c:v>211.52013417142442</c:v>
                </c:pt>
                <c:pt idx="3">
                  <c:v>223.21284021184815</c:v>
                </c:pt>
                <c:pt idx="4">
                  <c:v>211.66470004097351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4-3D4F-960D-1ED3BD64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53040"/>
        <c:axId val="1199907247"/>
        <c:axId val="1152405664"/>
      </c:area3DChart>
      <c:catAx>
        <c:axId val="11309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07247"/>
        <c:crosses val="autoZero"/>
        <c:auto val="1"/>
        <c:lblAlgn val="ctr"/>
        <c:lblOffset val="100"/>
        <c:noMultiLvlLbl val="0"/>
      </c:catAx>
      <c:valAx>
        <c:axId val="11999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53040"/>
        <c:crosses val="autoZero"/>
        <c:crossBetween val="midCat"/>
      </c:valAx>
      <c:serAx>
        <c:axId val="11524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07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subnet2!$C$51</c:f>
              <c:strCache>
                <c:ptCount val="1"/>
                <c:pt idx="0">
                  <c:v>5 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subnet2!$B$52:$B$57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subnet2!$C$52:$C$57</c:f>
              <c:numCache>
                <c:formatCode>General</c:formatCode>
                <c:ptCount val="6"/>
                <c:pt idx="0">
                  <c:v>180.99765363691708</c:v>
                </c:pt>
                <c:pt idx="1">
                  <c:v>87.032022957478304</c:v>
                </c:pt>
                <c:pt idx="2">
                  <c:v>52.119378488522393</c:v>
                </c:pt>
                <c:pt idx="3">
                  <c:v>41.289072895367951</c:v>
                </c:pt>
                <c:pt idx="4">
                  <c:v>30.086040089097313</c:v>
                </c:pt>
                <c:pt idx="5">
                  <c:v>32.06123114167773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9-7840-8C78-4257D5D8EA73}"/>
            </c:ext>
          </c:extLst>
        </c:ser>
        <c:ser>
          <c:idx val="1"/>
          <c:order val="1"/>
          <c:tx>
            <c:strRef>
              <c:f>subnet2!$D$51</c:f>
              <c:strCache>
                <c:ptCount val="1"/>
                <c:pt idx="0">
                  <c:v>10 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subnet2!$B$52:$B$57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subnet2!$D$52:$D$57</c:f>
              <c:numCache>
                <c:formatCode>General</c:formatCode>
                <c:ptCount val="6"/>
                <c:pt idx="0">
                  <c:v>190.30322389773875</c:v>
                </c:pt>
                <c:pt idx="1">
                  <c:v>98.463424627627745</c:v>
                </c:pt>
                <c:pt idx="2">
                  <c:v>61.246979223712145</c:v>
                </c:pt>
                <c:pt idx="3">
                  <c:v>62.783840338837628</c:v>
                </c:pt>
                <c:pt idx="4">
                  <c:v>34.710469166488515</c:v>
                </c:pt>
                <c:pt idx="5">
                  <c:v>32.900763258893917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9-7840-8C78-4257D5D8EA73}"/>
            </c:ext>
          </c:extLst>
        </c:ser>
        <c:ser>
          <c:idx val="2"/>
          <c:order val="2"/>
          <c:tx>
            <c:strRef>
              <c:f>subnet2!$E$51</c:f>
              <c:strCache>
                <c:ptCount val="1"/>
                <c:pt idx="0">
                  <c:v>15 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subnet2!$B$52:$B$57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subnet2!$E$52:$E$57</c:f>
              <c:numCache>
                <c:formatCode>General</c:formatCode>
                <c:ptCount val="6"/>
                <c:pt idx="0">
                  <c:v>211.52013417142442</c:v>
                </c:pt>
                <c:pt idx="1">
                  <c:v>76.639952997950431</c:v>
                </c:pt>
                <c:pt idx="2">
                  <c:v>50.059689602007175</c:v>
                </c:pt>
                <c:pt idx="3">
                  <c:v>36.333683865048179</c:v>
                </c:pt>
                <c:pt idx="4">
                  <c:v>29.573833361185475</c:v>
                </c:pt>
                <c:pt idx="5">
                  <c:v>28.246774009157466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9-7840-8C78-4257D5D8EA73}"/>
            </c:ext>
          </c:extLst>
        </c:ser>
        <c:ser>
          <c:idx val="3"/>
          <c:order val="3"/>
          <c:tx>
            <c:strRef>
              <c:f>subnet2!$F$51</c:f>
              <c:strCache>
                <c:ptCount val="1"/>
                <c:pt idx="0">
                  <c:v>20 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subnet2!$B$52:$B$57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subnet2!$F$52:$F$57</c:f>
              <c:numCache>
                <c:formatCode>General</c:formatCode>
                <c:ptCount val="6"/>
                <c:pt idx="0">
                  <c:v>223.21284021184815</c:v>
                </c:pt>
                <c:pt idx="1">
                  <c:v>103.56233410303098</c:v>
                </c:pt>
                <c:pt idx="2">
                  <c:v>74.398951869184984</c:v>
                </c:pt>
                <c:pt idx="3">
                  <c:v>67.939103123958148</c:v>
                </c:pt>
                <c:pt idx="4">
                  <c:v>54.477213530604828</c:v>
                </c:pt>
                <c:pt idx="5">
                  <c:v>40.283108868642458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9-7840-8C78-4257D5D8EA73}"/>
            </c:ext>
          </c:extLst>
        </c:ser>
        <c:ser>
          <c:idx val="4"/>
          <c:order val="4"/>
          <c:tx>
            <c:strRef>
              <c:f>subnet2!$G$51</c:f>
              <c:strCache>
                <c:ptCount val="1"/>
                <c:pt idx="0">
                  <c:v>25 pods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subnet2!$B$52:$B$57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subnet2!$G$52:$G$57</c:f>
              <c:numCache>
                <c:formatCode>General</c:formatCode>
                <c:ptCount val="6"/>
                <c:pt idx="0">
                  <c:v>211.66470004097351</c:v>
                </c:pt>
                <c:pt idx="1">
                  <c:v>109.24808174772811</c:v>
                </c:pt>
                <c:pt idx="2">
                  <c:v>71.450447060820125</c:v>
                </c:pt>
                <c:pt idx="3">
                  <c:v>52.71832570316613</c:v>
                </c:pt>
                <c:pt idx="4">
                  <c:v>49.241023544653352</c:v>
                </c:pt>
                <c:pt idx="5">
                  <c:v>44.136839786927702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9-7840-8C78-4257D5D8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50383"/>
        <c:axId val="1684152655"/>
        <c:axId val="1684205407"/>
      </c:area3DChart>
      <c:catAx>
        <c:axId val="149505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52655"/>
        <c:crosses val="autoZero"/>
        <c:auto val="1"/>
        <c:lblAlgn val="ctr"/>
        <c:lblOffset val="100"/>
        <c:noMultiLvlLbl val="0"/>
      </c:catAx>
      <c:valAx>
        <c:axId val="16841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50383"/>
        <c:crosses val="autoZero"/>
        <c:crossBetween val="midCat"/>
      </c:valAx>
      <c:serAx>
        <c:axId val="168420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526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'e2e ts3'!$B$2</c:f>
              <c:strCache>
                <c:ptCount val="1"/>
                <c:pt idx="0">
                  <c:v>10 pods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'e2e ts3'!$A$3:$A$8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cat>
          <c:val>
            <c:numRef>
              <c:f>'e2e ts3'!$B$3:$B$8</c:f>
              <c:numCache>
                <c:formatCode>General</c:formatCode>
                <c:ptCount val="6"/>
                <c:pt idx="0">
                  <c:v>4.1831335509744099</c:v>
                </c:pt>
                <c:pt idx="1">
                  <c:v>4.4263881252754596</c:v>
                </c:pt>
                <c:pt idx="2">
                  <c:v>3.8199086871759902</c:v>
                </c:pt>
                <c:pt idx="3">
                  <c:v>0.72722749823590749</c:v>
                </c:pt>
                <c:pt idx="4">
                  <c:v>0.16512413206628082</c:v>
                </c:pt>
                <c:pt idx="5">
                  <c:v>0.17737074709535169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D-3149-9E34-F50FD779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95983"/>
        <c:axId val="296588415"/>
      </c:lineChart>
      <c:catAx>
        <c:axId val="2965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8415"/>
        <c:crosses val="autoZero"/>
        <c:auto val="1"/>
        <c:lblAlgn val="ctr"/>
        <c:lblOffset val="100"/>
        <c:noMultiLvlLbl val="0"/>
      </c:catAx>
      <c:valAx>
        <c:axId val="2965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'e2e ts3'!$B$19</c:f>
              <c:strCache>
                <c:ptCount val="1"/>
                <c:pt idx="0">
                  <c:v>5 pods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'e2e ts3'!$A$20:$A$24</c:f>
              <c:strCache>
                <c:ptCount val="5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</c:strCache>
            </c:strRef>
          </c:cat>
          <c:val>
            <c:numRef>
              <c:f>'e2e ts3'!$B$20:$B$24</c:f>
              <c:numCache>
                <c:formatCode>General</c:formatCode>
                <c:ptCount val="5"/>
                <c:pt idx="0">
                  <c:v>3.3463173109783311</c:v>
                </c:pt>
                <c:pt idx="1">
                  <c:v>4.6050267059313752</c:v>
                </c:pt>
                <c:pt idx="2">
                  <c:v>4.6621162098908862</c:v>
                </c:pt>
                <c:pt idx="3">
                  <c:v>4.6759923098630471</c:v>
                </c:pt>
                <c:pt idx="4">
                  <c:v>0.97742867230323838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B-0746-8AF6-A9CD6FA3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566143"/>
        <c:axId val="1386023503"/>
      </c:lineChart>
      <c:catAx>
        <c:axId val="176156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23503"/>
        <c:crosses val="autoZero"/>
        <c:auto val="1"/>
        <c:lblAlgn val="ctr"/>
        <c:lblOffset val="100"/>
        <c:noMultiLvlLbl val="0"/>
      </c:catAx>
      <c:valAx>
        <c:axId val="1386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Creat/List Subnets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Subnet!$A$3</c:f>
              <c:strCache>
                <c:ptCount val="1"/>
                <c:pt idx="0">
                  <c:v>rps=times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Subnet!$B$3:$I$3</c:f>
              <c:numCache>
                <c:formatCode>General</c:formatCode>
                <c:ptCount val="8"/>
                <c:pt idx="0">
                  <c:v>1.8280000000000001</c:v>
                </c:pt>
                <c:pt idx="1">
                  <c:v>1.76</c:v>
                </c:pt>
                <c:pt idx="2">
                  <c:v>3.286</c:v>
                </c:pt>
                <c:pt idx="3">
                  <c:v>2.0670000000000002</c:v>
                </c:pt>
                <c:pt idx="4">
                  <c:v>4.7850000000000001</c:v>
                </c:pt>
                <c:pt idx="5">
                  <c:v>5.7830000000000004</c:v>
                </c:pt>
                <c:pt idx="6">
                  <c:v>5.5389999999999997</c:v>
                </c:pt>
                <c:pt idx="7">
                  <c:v>11.936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0-A644-BE61-761048B5A953}"/>
            </c:ext>
          </c:extLst>
        </c:ser>
        <c:ser>
          <c:idx val="1"/>
          <c:order val="1"/>
          <c:tx>
            <c:strRef>
              <c:f>Subnet!$A$10</c:f>
              <c:strCache>
                <c:ptCount val="1"/>
                <c:pt idx="0">
                  <c:v>rps and 2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Subnet!$B$10:$F$10</c:f>
              <c:numCache>
                <c:formatCode>General</c:formatCode>
                <c:ptCount val="5"/>
                <c:pt idx="0">
                  <c:v>3.15</c:v>
                </c:pt>
                <c:pt idx="1">
                  <c:v>7.1539999999999999</c:v>
                </c:pt>
                <c:pt idx="2">
                  <c:v>6.8920000000000003</c:v>
                </c:pt>
                <c:pt idx="3">
                  <c:v>11.420999999999999</c:v>
                </c:pt>
                <c:pt idx="4">
                  <c:v>19.507999999999999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0-A644-BE61-761048B5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50383"/>
        <c:axId val="1521452591"/>
        <c:axId val="1556716223"/>
      </c:line3DChart>
      <c:catAx>
        <c:axId val="1540950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52591"/>
        <c:crosses val="autoZero"/>
        <c:auto val="1"/>
        <c:lblAlgn val="ctr"/>
        <c:lblOffset val="100"/>
        <c:noMultiLvlLbl val="0"/>
      </c:catAx>
      <c:valAx>
        <c:axId val="15214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50383"/>
        <c:crosses val="autoZero"/>
        <c:crossBetween val="between"/>
      </c:valAx>
      <c:serAx>
        <c:axId val="1556716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52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Creat/List VPC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VPC!$A$3</c:f>
              <c:strCache>
                <c:ptCount val="1"/>
                <c:pt idx="0">
                  <c:v>rps=times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VPC!$B$3:$I$3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3.45</c:v>
                </c:pt>
                <c:pt idx="2">
                  <c:v>5.4359999999999999</c:v>
                </c:pt>
                <c:pt idx="3">
                  <c:v>8.5030000000000001</c:v>
                </c:pt>
                <c:pt idx="4">
                  <c:v>11.282999999999999</c:v>
                </c:pt>
                <c:pt idx="5">
                  <c:v>15.131</c:v>
                </c:pt>
                <c:pt idx="6">
                  <c:v>18.131</c:v>
                </c:pt>
                <c:pt idx="7">
                  <c:v>19.222999999999999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B648-9465-E9A599D35B16}"/>
            </c:ext>
          </c:extLst>
        </c:ser>
        <c:ser>
          <c:idx val="1"/>
          <c:order val="1"/>
          <c:tx>
            <c:strRef>
              <c:f>VPC!$A$8</c:f>
              <c:strCache>
                <c:ptCount val="1"/>
                <c:pt idx="0">
                  <c:v>rps and 2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VPC!$B$8:$F$8</c:f>
              <c:numCache>
                <c:formatCode>General</c:formatCode>
                <c:ptCount val="5"/>
                <c:pt idx="0">
                  <c:v>0.82</c:v>
                </c:pt>
                <c:pt idx="1">
                  <c:v>5.9770000000000003</c:v>
                </c:pt>
                <c:pt idx="2">
                  <c:v>13.137</c:v>
                </c:pt>
                <c:pt idx="3">
                  <c:v>17.623000000000001</c:v>
                </c:pt>
                <c:pt idx="4">
                  <c:v>23.312999999999999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A-B648-9465-E9A599D3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93999"/>
        <c:axId val="1534358015"/>
        <c:axId val="1534085839"/>
      </c:line3DChart>
      <c:catAx>
        <c:axId val="1534293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8015"/>
        <c:crosses val="autoZero"/>
        <c:auto val="1"/>
        <c:lblAlgn val="ctr"/>
        <c:lblOffset val="100"/>
        <c:noMultiLvlLbl val="0"/>
      </c:catAx>
      <c:valAx>
        <c:axId val="15343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93999"/>
        <c:crosses val="autoZero"/>
        <c:crossBetween val="between"/>
      </c:valAx>
      <c:serAx>
        <c:axId val="15340858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8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VPC # = 500, VPC size = 20, Concurrency=500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'1-30 Test Results'!$D$24:$G$24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'1-30 Test Results'!$D$23:$G$23</c:f>
              <c:numCache>
                <c:formatCode>General</c:formatCode>
                <c:ptCount val="4"/>
                <c:pt idx="0">
                  <c:v>953.17053539185679</c:v>
                </c:pt>
                <c:pt idx="1">
                  <c:v>1430.0235975296657</c:v>
                </c:pt>
                <c:pt idx="2">
                  <c:v>1519.4485263893657</c:v>
                </c:pt>
                <c:pt idx="3">
                  <c:v>1630.6452490495494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A-4440-A934-E4327067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17391"/>
        <c:axId val="420778719"/>
      </c:lineChart>
      <c:catAx>
        <c:axId val="4211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8719"/>
        <c:crosses val="autoZero"/>
        <c:auto val="1"/>
        <c:lblAlgn val="ctr"/>
        <c:lblOffset val="100"/>
        <c:noMultiLvlLbl val="0"/>
      </c:catAx>
      <c:valAx>
        <c:axId val="420778719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VPC # = 500, VPC size = 20, Concurrency=1000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'1-30 Test Results'!$E$29:$G$29</c:f>
              <c:numCache>
                <c:formatCode>General</c:formatCode>
                <c:ptCount val="3"/>
                <c:pt idx="0">
                  <c:v>1425.263449116567</c:v>
                </c:pt>
                <c:pt idx="1">
                  <c:v>1486.1198647926303</c:v>
                </c:pt>
                <c:pt idx="2">
                  <c:v>1616.491606954198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7048-B510-4C3E80CDB3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'1-30 Test Results'!$E$30:$G$30</c:f>
              <c:numCache>
                <c:formatCode>General</c:formatCode>
                <c:ptCount val="3"/>
                <c:pt idx="0">
                  <c:v>2655.3516517601543</c:v>
                </c:pt>
                <c:pt idx="1">
                  <c:v>2848.5979415004072</c:v>
                </c:pt>
                <c:pt idx="2">
                  <c:v>3559.6282981028075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7048-B510-4C3E80CDB3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'1-30 Test Results'!$E$31:$G$31</c:f>
              <c:numCache>
                <c:formatCode>General</c:formatCode>
                <c:ptCount val="3"/>
                <c:pt idx="0">
                  <c:v>3460.686519979929</c:v>
                </c:pt>
                <c:pt idx="1">
                  <c:v>1972.1121743912763</c:v>
                </c:pt>
                <c:pt idx="2">
                  <c:v>2453.710311466054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5-7048-B510-4C3E80CD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82591"/>
        <c:axId val="754224207"/>
        <c:axId val="724408191"/>
      </c:area3DChart>
      <c:catAx>
        <c:axId val="754182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4207"/>
        <c:crosses val="autoZero"/>
        <c:auto val="1"/>
        <c:lblAlgn val="ctr"/>
        <c:lblOffset val="100"/>
        <c:noMultiLvlLbl val="0"/>
      </c:catAx>
      <c:valAx>
        <c:axId val="7542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82591"/>
        <c:crosses val="autoZero"/>
        <c:crossBetween val="midCat"/>
      </c:valAx>
      <c:serAx>
        <c:axId val="724408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4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'1-30 Test Results'!$D$19:$G$19</c:f>
              <c:numCache>
                <c:formatCode>General</c:formatCode>
                <c:ptCount val="4"/>
                <c:pt idx="0">
                  <c:v>580.7457239692344</c:v>
                </c:pt>
                <c:pt idx="1">
                  <c:v>948.60641691196736</c:v>
                </c:pt>
                <c:pt idx="2">
                  <c:v>956.49778242082039</c:v>
                </c:pt>
                <c:pt idx="3">
                  <c:v>1087.7078646956236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204E-9E36-604AFCC936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'1-30 Test Results'!$D$20:$G$20</c:f>
              <c:numCache>
                <c:formatCode>General</c:formatCode>
                <c:ptCount val="4"/>
                <c:pt idx="0">
                  <c:v>969.44127221717031</c:v>
                </c:pt>
                <c:pt idx="1">
                  <c:v>1583.7880059006407</c:v>
                </c:pt>
                <c:pt idx="2">
                  <c:v>1342.9253910161617</c:v>
                </c:pt>
                <c:pt idx="3">
                  <c:v>1637.4058545381488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A-204E-9E36-604AFCC936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'1-30 Test Results'!$D$21:$G$21</c:f>
              <c:numCache>
                <c:formatCode>General</c:formatCode>
                <c:ptCount val="4"/>
                <c:pt idx="0">
                  <c:v>936.89979856654327</c:v>
                </c:pt>
                <c:pt idx="1">
                  <c:v>1276.2591891586908</c:v>
                </c:pt>
                <c:pt idx="2">
                  <c:v>1695.97166176257</c:v>
                </c:pt>
                <c:pt idx="3">
                  <c:v>1623.8846435609501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A-204E-9E36-604AFCC9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22479"/>
        <c:axId val="752252287"/>
        <c:axId val="754680895"/>
      </c:area3DChart>
      <c:catAx>
        <c:axId val="752822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287"/>
        <c:crosses val="autoZero"/>
        <c:auto val="1"/>
        <c:lblAlgn val="ctr"/>
        <c:lblOffset val="100"/>
        <c:noMultiLvlLbl val="0"/>
      </c:catAx>
      <c:valAx>
        <c:axId val="7522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22479"/>
        <c:crosses val="autoZero"/>
        <c:crossBetween val="midCat"/>
      </c:valAx>
      <c:serAx>
        <c:axId val="754680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2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Sheet4!$J$30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Sheet4!$K$30:$M$30</c:f>
              <c:numCache>
                <c:formatCode>General</c:formatCode>
                <c:ptCount val="3"/>
                <c:pt idx="0">
                  <c:v>1425.263449116567</c:v>
                </c:pt>
                <c:pt idx="1">
                  <c:v>1486.1198647926303</c:v>
                </c:pt>
                <c:pt idx="2">
                  <c:v>1616.491606954198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0F4F-A7E8-44A95B13D071}"/>
            </c:ext>
          </c:extLst>
        </c:ser>
        <c:ser>
          <c:idx val="1"/>
          <c:order val="1"/>
          <c:tx>
            <c:strRef>
              <c:f>Sheet4!$J$31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Sheet4!$K$31:$M$31</c:f>
              <c:numCache>
                <c:formatCode>General</c:formatCode>
                <c:ptCount val="3"/>
                <c:pt idx="0">
                  <c:v>2655.3516517601543</c:v>
                </c:pt>
                <c:pt idx="1">
                  <c:v>2848.5979415004072</c:v>
                </c:pt>
                <c:pt idx="2">
                  <c:v>3559.6282981028075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7-0F4F-A7E8-44A95B13D071}"/>
            </c:ext>
          </c:extLst>
        </c:ser>
        <c:ser>
          <c:idx val="2"/>
          <c:order val="2"/>
          <c:tx>
            <c:strRef>
              <c:f>Sheet4!$J$32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Sheet4!$K$32:$M$32</c:f>
              <c:numCache>
                <c:formatCode>General</c:formatCode>
                <c:ptCount val="3"/>
                <c:pt idx="0">
                  <c:v>3460.686519979929</c:v>
                </c:pt>
                <c:pt idx="1">
                  <c:v>1972.1121743912763</c:v>
                </c:pt>
                <c:pt idx="2">
                  <c:v>2453.710311466054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7-0F4F-A7E8-44A95B13D071}"/>
            </c:ext>
          </c:extLst>
        </c:ser>
        <c:ser>
          <c:idx val="3"/>
          <c:order val="3"/>
          <c:tx>
            <c:strRef>
              <c:f>Sheet4!$J$33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Sheet4!$K$33:$M$33</c:f>
              <c:numCache>
                <c:formatCode>General</c:formatCode>
                <c:ptCount val="3"/>
                <c:pt idx="0">
                  <c:v>2513.7672069522164</c:v>
                </c:pt>
                <c:pt idx="1">
                  <c:v>2102.2766602281049</c:v>
                </c:pt>
                <c:pt idx="2">
                  <c:v>2543.2767388410198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4-C04F-8017-CA1C672E2C40}"/>
            </c:ext>
          </c:extLst>
        </c:ser>
        <c:ser>
          <c:idx val="4"/>
          <c:order val="4"/>
          <c:tx>
            <c:strRef>
              <c:f>Sheet4!$J$34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Sheet4!$K$29:$M$29</c:f>
              <c:strCache>
                <c:ptCount val="3"/>
                <c:pt idx="0">
                  <c:v>10 pods</c:v>
                </c:pt>
                <c:pt idx="1">
                  <c:v>15 pods</c:v>
                </c:pt>
                <c:pt idx="2">
                  <c:v>20 pods</c:v>
                </c:pt>
              </c:strCache>
            </c:strRef>
          </c:cat>
          <c:val>
            <c:numRef>
              <c:f>Sheet4!$K$34:$M$34</c:f>
              <c:numCache>
                <c:formatCode>General</c:formatCode>
                <c:ptCount val="3"/>
                <c:pt idx="0">
                  <c:v>3460.686519979929</c:v>
                </c:pt>
                <c:pt idx="1">
                  <c:v>2848.5979415004072</c:v>
                </c:pt>
                <c:pt idx="2">
                  <c:v>3559.6282981028075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4-C04F-8017-CA1C672E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71583"/>
        <c:axId val="270983263"/>
        <c:axId val="265211647"/>
      </c:area3DChart>
      <c:catAx>
        <c:axId val="2705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3263"/>
        <c:crosses val="autoZero"/>
        <c:auto val="1"/>
        <c:lblAlgn val="ctr"/>
        <c:lblOffset val="100"/>
        <c:noMultiLvlLbl val="0"/>
      </c:catAx>
      <c:valAx>
        <c:axId val="2709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71583"/>
        <c:crosses val="autoZero"/>
        <c:crossBetween val="midCat"/>
      </c:valAx>
      <c:serAx>
        <c:axId val="265211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3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Sheet4!$W$6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Sheet4!$X$6:$AA$6</c:f>
              <c:numCache>
                <c:formatCode>0.00</c:formatCode>
                <c:ptCount val="4"/>
                <c:pt idx="0">
                  <c:v>577.971785554191</c:v>
                </c:pt>
                <c:pt idx="1">
                  <c:v>1205.4333742484744</c:v>
                </c:pt>
                <c:pt idx="2">
                  <c:v>1442.5609435908846</c:v>
                </c:pt>
                <c:pt idx="3">
                  <c:v>1450.7830012956986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B-F94D-BB6B-D7CCF38B533E}"/>
            </c:ext>
          </c:extLst>
        </c:ser>
        <c:ser>
          <c:idx val="1"/>
          <c:order val="1"/>
          <c:tx>
            <c:strRef>
              <c:f>Sheet4!$W$7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Sheet4!$X$7:$AA$7</c:f>
              <c:numCache>
                <c:formatCode>0.00</c:formatCode>
                <c:ptCount val="4"/>
                <c:pt idx="0">
                  <c:v>628.20753086939635</c:v>
                </c:pt>
                <c:pt idx="1">
                  <c:v>1282.0999517160519</c:v>
                </c:pt>
                <c:pt idx="2">
                  <c:v>1435.1473392867761</c:v>
                </c:pt>
                <c:pt idx="3">
                  <c:v>1577.7021698897606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B-F94D-BB6B-D7CCF38B533E}"/>
            </c:ext>
          </c:extLst>
        </c:ser>
        <c:ser>
          <c:idx val="2"/>
          <c:order val="2"/>
          <c:tx>
            <c:strRef>
              <c:f>Sheet4!$W$8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Sheet4!$X$8:$AA$8</c:f>
              <c:numCache>
                <c:formatCode>0.00</c:formatCode>
                <c:ptCount val="4"/>
                <c:pt idx="0">
                  <c:v>658.89570345181232</c:v>
                </c:pt>
                <c:pt idx="1">
                  <c:v>1301.53113417648</c:v>
                </c:pt>
                <c:pt idx="2">
                  <c:v>1530.056920496681</c:v>
                </c:pt>
                <c:pt idx="3">
                  <c:v>1622.1885572314832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B-F94D-BB6B-D7CCF38B533E}"/>
            </c:ext>
          </c:extLst>
        </c:ser>
        <c:ser>
          <c:idx val="3"/>
          <c:order val="3"/>
          <c:tx>
            <c:strRef>
              <c:f>Sheet4!$W$9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Sheet4!$X$9:$AA$9</c:f>
              <c:numCache>
                <c:formatCode>0.00</c:formatCode>
                <c:ptCount val="4"/>
                <c:pt idx="0">
                  <c:v>598.73506601731128</c:v>
                </c:pt>
                <c:pt idx="1">
                  <c:v>1155.6277166481918</c:v>
                </c:pt>
                <c:pt idx="2">
                  <c:v>1300.5978719007642</c:v>
                </c:pt>
                <c:pt idx="3">
                  <c:v>1308.1092561472165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B-F94D-BB6B-D7CCF38B533E}"/>
            </c:ext>
          </c:extLst>
        </c:ser>
        <c:ser>
          <c:idx val="4"/>
          <c:order val="4"/>
          <c:tx>
            <c:strRef>
              <c:f>Sheet4!$W$10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Sheet4!$X$10:$AA$10</c:f>
              <c:numCache>
                <c:formatCode>0.00</c:formatCode>
                <c:ptCount val="4"/>
                <c:pt idx="0">
                  <c:v>516.99173269343646</c:v>
                </c:pt>
                <c:pt idx="1">
                  <c:v>1175.8908131947469</c:v>
                </c:pt>
                <c:pt idx="2">
                  <c:v>1262.0977870651907</c:v>
                </c:pt>
                <c:pt idx="3">
                  <c:v>1321.0716247404207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8B-F94D-BB6B-D7CCF38B533E}"/>
            </c:ext>
          </c:extLst>
        </c:ser>
        <c:ser>
          <c:idx val="5"/>
          <c:order val="5"/>
          <c:tx>
            <c:strRef>
              <c:f>Sheet4!$W$11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Sheet4!$X$11:$AA$11</c:f>
              <c:numCache>
                <c:formatCode>0.00</c:formatCode>
                <c:ptCount val="4"/>
                <c:pt idx="0">
                  <c:v>539.58548968219816</c:v>
                </c:pt>
                <c:pt idx="1">
                  <c:v>1149.9836533273631</c:v>
                </c:pt>
                <c:pt idx="2">
                  <c:v>1209.3000814016768</c:v>
                </c:pt>
                <c:pt idx="3">
                  <c:v>1331.1024482253858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8B-F94D-BB6B-D7CCF38B533E}"/>
            </c:ext>
          </c:extLst>
        </c:ser>
        <c:ser>
          <c:idx val="6"/>
          <c:order val="6"/>
          <c:tx>
            <c:strRef>
              <c:f>Sheet4!$W$12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Sheet4!$X$12:$AA$12</c:f>
              <c:numCache>
                <c:formatCode>0.00</c:formatCode>
                <c:ptCount val="4"/>
                <c:pt idx="0">
                  <c:v>586.7312180447243</c:v>
                </c:pt>
                <c:pt idx="1">
                  <c:v>1211.7611072185512</c:v>
                </c:pt>
                <c:pt idx="2">
                  <c:v>1363.2934906236621</c:v>
                </c:pt>
                <c:pt idx="3">
                  <c:v>1435.1595095883276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8B-F94D-BB6B-D7CCF38B533E}"/>
            </c:ext>
          </c:extLst>
        </c:ser>
        <c:ser>
          <c:idx val="7"/>
          <c:order val="7"/>
          <c:tx>
            <c:strRef>
              <c:f>Sheet4!$W$13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Sheet4!$X$5:$AA$5</c:f>
              <c:strCache>
                <c:ptCount val="4"/>
                <c:pt idx="0">
                  <c:v>5 pods</c:v>
                </c:pt>
                <c:pt idx="1">
                  <c:v>10 pods</c:v>
                </c:pt>
                <c:pt idx="2">
                  <c:v>15 pods</c:v>
                </c:pt>
                <c:pt idx="3">
                  <c:v>20 pods</c:v>
                </c:pt>
              </c:strCache>
            </c:strRef>
          </c:cat>
          <c:val>
            <c:numRef>
              <c:f>Sheet4!$X$13:$AA$13</c:f>
              <c:numCache>
                <c:formatCode>0.00</c:formatCode>
                <c:ptCount val="4"/>
                <c:pt idx="0">
                  <c:v>658.89570345181232</c:v>
                </c:pt>
                <c:pt idx="1">
                  <c:v>1301.53113417648</c:v>
                </c:pt>
                <c:pt idx="2">
                  <c:v>1530.056920496681</c:v>
                </c:pt>
                <c:pt idx="3">
                  <c:v>1622.1885572314832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8B-F94D-BB6B-D7CCF38B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41183"/>
        <c:axId val="265095615"/>
        <c:axId val="274134671"/>
      </c:area3DChart>
      <c:catAx>
        <c:axId val="27134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95615"/>
        <c:crosses val="autoZero"/>
        <c:auto val="1"/>
        <c:lblAlgn val="ctr"/>
        <c:lblOffset val="100"/>
        <c:noMultiLvlLbl val="0"/>
      </c:catAx>
      <c:valAx>
        <c:axId val="2650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41183"/>
        <c:crosses val="autoZero"/>
        <c:crossBetween val="midCat"/>
      </c:valAx>
      <c:serAx>
        <c:axId val="274134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956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12</xdr:row>
      <xdr:rowOff>0</xdr:rowOff>
    </xdr:from>
    <xdr:to>
      <xdr:col>15</xdr:col>
      <xdr:colOff>50800</xdr:colOff>
      <xdr:row>25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83D6A-9A24-1642-A438-D990C8F6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63500</xdr:rowOff>
    </xdr:from>
    <xdr:to>
      <xdr:col>11</xdr:col>
      <xdr:colOff>330200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E297B-37EC-BD41-8DA9-C8F4F8C9E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203199</xdr:rowOff>
    </xdr:from>
    <xdr:to>
      <xdr:col>12</xdr:col>
      <xdr:colOff>423333</xdr:colOff>
      <xdr:row>30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833F7-8448-3C47-AA15-67D93632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761226</xdr:colOff>
      <xdr:row>10</xdr:row>
      <xdr:rowOff>88125</xdr:rowOff>
    </xdr:from>
    <xdr:to>
      <xdr:col>10</xdr:col>
      <xdr:colOff>361640</xdr:colOff>
      <xdr:row>24</xdr:row>
      <xdr:rowOff>12545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95229-39A8-C842-AF81-09646E930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243417</xdr:colOff>
      <xdr:row>14</xdr:row>
      <xdr:rowOff>62441</xdr:rowOff>
    </xdr:from>
    <xdr:to>
      <xdr:col>12</xdr:col>
      <xdr:colOff>687917</xdr:colOff>
      <xdr:row>27</xdr:row>
      <xdr:rowOff>191558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9BCFD-F890-5648-BF6E-FFD300D4D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177802</xdr:colOff>
      <xdr:row>12</xdr:row>
      <xdr:rowOff>84666</xdr:rowOff>
    </xdr:from>
    <xdr:to>
      <xdr:col>12</xdr:col>
      <xdr:colOff>601135</xdr:colOff>
      <xdr:row>25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BDF3C-0A63-7D49-8842-F704322A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76200</xdr:rowOff>
    </xdr:to>
    <xdr:pic>
      <xdr:nvPicPr>
        <xdr:cNvPr id="2" name="Picture 1" descr="[TXT]">
          <a:extLst>
            <a:ext uri="{FF2B5EF4-FFF2-40B4-BE49-F238E27FC236}">
              <a16:creationId xmlns:a16="http://schemas.microsoft.com/office/drawing/2014/main" id="{CCDE7EC6-99B6-C54C-A82F-30EDCB491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76200</xdr:rowOff>
    </xdr:to>
    <xdr:pic>
      <xdr:nvPicPr>
        <xdr:cNvPr id="3" name="Picture 2" descr="[TXT]">
          <a:extLst>
            <a:ext uri="{FF2B5EF4-FFF2-40B4-BE49-F238E27FC236}">
              <a16:creationId xmlns:a16="http://schemas.microsoft.com/office/drawing/2014/main" id="{E0C1FFA5-7D37-2F48-A3FC-FD4C88FF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76200</xdr:rowOff>
    </xdr:to>
    <xdr:pic>
      <xdr:nvPicPr>
        <xdr:cNvPr id="4" name="Picture 3" descr="[TXT]">
          <a:extLst>
            <a:ext uri="{FF2B5EF4-FFF2-40B4-BE49-F238E27FC236}">
              <a16:creationId xmlns:a16="http://schemas.microsoft.com/office/drawing/2014/main" id="{44CD8F83-838B-D840-84AF-E53ACEE1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76200</xdr:rowOff>
    </xdr:to>
    <xdr:pic>
      <xdr:nvPicPr>
        <xdr:cNvPr id="5" name="Picture 4" descr="[TXT]">
          <a:extLst>
            <a:ext uri="{FF2B5EF4-FFF2-40B4-BE49-F238E27FC236}">
              <a16:creationId xmlns:a16="http://schemas.microsoft.com/office/drawing/2014/main" id="{96550A26-1754-6D45-AE17-499F2C903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76200</xdr:rowOff>
    </xdr:to>
    <xdr:pic>
      <xdr:nvPicPr>
        <xdr:cNvPr id="6" name="Picture 5" descr="[TXT]">
          <a:extLst>
            <a:ext uri="{FF2B5EF4-FFF2-40B4-BE49-F238E27FC236}">
              <a16:creationId xmlns:a16="http://schemas.microsoft.com/office/drawing/2014/main" id="{FACC955F-4337-254E-9148-FBB8898F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76200</xdr:rowOff>
    </xdr:to>
    <xdr:pic>
      <xdr:nvPicPr>
        <xdr:cNvPr id="7" name="Picture 6" descr="[TXT]">
          <a:extLst>
            <a:ext uri="{FF2B5EF4-FFF2-40B4-BE49-F238E27FC236}">
              <a16:creationId xmlns:a16="http://schemas.microsoft.com/office/drawing/2014/main" id="{19C800DA-3139-1848-8BB5-EDA2D2E52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76200</xdr:rowOff>
    </xdr:to>
    <xdr:pic>
      <xdr:nvPicPr>
        <xdr:cNvPr id="8" name="Picture 7" descr="[TXT]">
          <a:extLst>
            <a:ext uri="{FF2B5EF4-FFF2-40B4-BE49-F238E27FC236}">
              <a16:creationId xmlns:a16="http://schemas.microsoft.com/office/drawing/2014/main" id="{230158B0-73D3-B243-A644-8FD4F5197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76200</xdr:rowOff>
    </xdr:to>
    <xdr:pic>
      <xdr:nvPicPr>
        <xdr:cNvPr id="9" name="Picture 8" descr="[TXT]">
          <a:extLst>
            <a:ext uri="{FF2B5EF4-FFF2-40B4-BE49-F238E27FC236}">
              <a16:creationId xmlns:a16="http://schemas.microsoft.com/office/drawing/2014/main" id="{5222DD19-9A88-5241-851B-B313D17B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76200</xdr:rowOff>
    </xdr:to>
    <xdr:pic>
      <xdr:nvPicPr>
        <xdr:cNvPr id="10" name="Picture 9" descr="[TXT]">
          <a:extLst>
            <a:ext uri="{FF2B5EF4-FFF2-40B4-BE49-F238E27FC236}">
              <a16:creationId xmlns:a16="http://schemas.microsoft.com/office/drawing/2014/main" id="{F3FA9378-A559-5E49-BBDA-0CEA5B45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76200</xdr:rowOff>
    </xdr:to>
    <xdr:pic>
      <xdr:nvPicPr>
        <xdr:cNvPr id="11" name="Picture 10" descr="[TXT]">
          <a:extLst>
            <a:ext uri="{FF2B5EF4-FFF2-40B4-BE49-F238E27FC236}">
              <a16:creationId xmlns:a16="http://schemas.microsoft.com/office/drawing/2014/main" id="{50331B8B-65E7-7C45-8E25-8AD027474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76200</xdr:rowOff>
    </xdr:to>
    <xdr:pic>
      <xdr:nvPicPr>
        <xdr:cNvPr id="12" name="Picture 11" descr="[TXT]">
          <a:extLst>
            <a:ext uri="{FF2B5EF4-FFF2-40B4-BE49-F238E27FC236}">
              <a16:creationId xmlns:a16="http://schemas.microsoft.com/office/drawing/2014/main" id="{2822AACE-0E86-504D-BFCA-F329D5B2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76200</xdr:rowOff>
    </xdr:to>
    <xdr:pic>
      <xdr:nvPicPr>
        <xdr:cNvPr id="13" name="Picture 12" descr="[TXT]">
          <a:extLst>
            <a:ext uri="{FF2B5EF4-FFF2-40B4-BE49-F238E27FC236}">
              <a16:creationId xmlns:a16="http://schemas.microsoft.com/office/drawing/2014/main" id="{90518CB1-02B2-094D-AA2F-B4D7395F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76200</xdr:rowOff>
    </xdr:to>
    <xdr:pic>
      <xdr:nvPicPr>
        <xdr:cNvPr id="14" name="Picture 13" descr="[TXT]">
          <a:extLst>
            <a:ext uri="{FF2B5EF4-FFF2-40B4-BE49-F238E27FC236}">
              <a16:creationId xmlns:a16="http://schemas.microsoft.com/office/drawing/2014/main" id="{A664FD57-9C75-0441-9087-B60BB07DB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76200</xdr:rowOff>
    </xdr:to>
    <xdr:pic>
      <xdr:nvPicPr>
        <xdr:cNvPr id="15" name="Picture 14" descr="[TXT]">
          <a:extLst>
            <a:ext uri="{FF2B5EF4-FFF2-40B4-BE49-F238E27FC236}">
              <a16:creationId xmlns:a16="http://schemas.microsoft.com/office/drawing/2014/main" id="{D290B237-DF3A-454A-96A3-ACDBD2ED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76200</xdr:rowOff>
    </xdr:to>
    <xdr:pic>
      <xdr:nvPicPr>
        <xdr:cNvPr id="16" name="Picture 15" descr="[TXT]">
          <a:extLst>
            <a:ext uri="{FF2B5EF4-FFF2-40B4-BE49-F238E27FC236}">
              <a16:creationId xmlns:a16="http://schemas.microsoft.com/office/drawing/2014/main" id="{90DE8D51-97F0-2947-96EB-8405A583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76200</xdr:rowOff>
    </xdr:to>
    <xdr:pic>
      <xdr:nvPicPr>
        <xdr:cNvPr id="17" name="Picture 16" descr="[TXT]">
          <a:extLst>
            <a:ext uri="{FF2B5EF4-FFF2-40B4-BE49-F238E27FC236}">
              <a16:creationId xmlns:a16="http://schemas.microsoft.com/office/drawing/2014/main" id="{A3353ADB-678D-E343-8377-187DB8A19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76200</xdr:rowOff>
    </xdr:to>
    <xdr:pic>
      <xdr:nvPicPr>
        <xdr:cNvPr id="18" name="Picture 17" descr="[TXT]">
          <a:extLst>
            <a:ext uri="{FF2B5EF4-FFF2-40B4-BE49-F238E27FC236}">
              <a16:creationId xmlns:a16="http://schemas.microsoft.com/office/drawing/2014/main" id="{E02FB16E-95AF-8F4B-AFCF-8B9C1E35C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76200</xdr:rowOff>
    </xdr:to>
    <xdr:pic>
      <xdr:nvPicPr>
        <xdr:cNvPr id="19" name="Picture 18" descr="[TXT]">
          <a:extLst>
            <a:ext uri="{FF2B5EF4-FFF2-40B4-BE49-F238E27FC236}">
              <a16:creationId xmlns:a16="http://schemas.microsoft.com/office/drawing/2014/main" id="{E5F4BE41-40CA-664C-92F5-A51DDA6C4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17</xdr:row>
      <xdr:rowOff>135467</xdr:rowOff>
    </xdr:from>
    <xdr:to>
      <xdr:col>11</xdr:col>
      <xdr:colOff>203200</xdr:colOff>
      <xdr:row>23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8996E-7C11-D44A-9C4C-3117598E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462280</xdr:colOff>
      <xdr:row>24</xdr:row>
      <xdr:rowOff>116840</xdr:rowOff>
    </xdr:from>
    <xdr:to>
      <xdr:col>11</xdr:col>
      <xdr:colOff>2128520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C596-9C2E-3D45-82C0-9F835EB0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13</xdr:row>
      <xdr:rowOff>116840</xdr:rowOff>
    </xdr:from>
    <xdr:to>
      <xdr:col>11</xdr:col>
      <xdr:colOff>1010920</xdr:colOff>
      <xdr:row>23</xdr:row>
      <xdr:rowOff>157480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17D1A-AAC5-FD42-8C28-9A0D6211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2117</xdr:colOff>
      <xdr:row>26</xdr:row>
      <xdr:rowOff>2116</xdr:rowOff>
    </xdr:from>
    <xdr:to>
      <xdr:col>17</xdr:col>
      <xdr:colOff>1094317</xdr:colOff>
      <xdr:row>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103BA-8A7B-4944-9F04-A8ED66D9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</xdr:row>
      <xdr:rowOff>173567</xdr:rowOff>
    </xdr:from>
    <xdr:to>
      <xdr:col>27</xdr:col>
      <xdr:colOff>423333</xdr:colOff>
      <xdr:row>22</xdr:row>
      <xdr:rowOff>249767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8FFEE-7CAD-C74E-9E7A-8DAA2B08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25400</xdr:colOff>
      <xdr:row>13</xdr:row>
      <xdr:rowOff>190500</xdr:rowOff>
    </xdr:from>
    <xdr:to>
      <xdr:col>33</xdr:col>
      <xdr:colOff>448733</xdr:colOff>
      <xdr:row>22</xdr:row>
      <xdr:rowOff>266700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8FA11-4F3C-3F43-A355-414BFE05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508000</xdr:colOff>
      <xdr:row>26</xdr:row>
      <xdr:rowOff>131234</xdr:rowOff>
    </xdr:from>
    <xdr:to>
      <xdr:col>33</xdr:col>
      <xdr:colOff>101600</xdr:colOff>
      <xdr:row>35</xdr:row>
      <xdr:rowOff>207434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D2BA8-AC7D-9E40-9B24-30B3F9E5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1402292</xdr:colOff>
      <xdr:row>25</xdr:row>
      <xdr:rowOff>295275</xdr:rowOff>
    </xdr:from>
    <xdr:to>
      <xdr:col>20</xdr:col>
      <xdr:colOff>873125</xdr:colOff>
      <xdr:row>35</xdr:row>
      <xdr:rowOff>75141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07E2F-8BDD-724A-921E-54FAAF98E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825500</xdr:colOff>
      <xdr:row>26</xdr:row>
      <xdr:rowOff>2722</xdr:rowOff>
    </xdr:from>
    <xdr:to>
      <xdr:col>39</xdr:col>
      <xdr:colOff>444500</xdr:colOff>
      <xdr:row>35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42E33C-EAB6-9049-8E32-4A54F125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8467</xdr:colOff>
      <xdr:row>4</xdr:row>
      <xdr:rowOff>4234</xdr:rowOff>
    </xdr:from>
    <xdr:to>
      <xdr:col>39</xdr:col>
      <xdr:colOff>431800</xdr:colOff>
      <xdr:row>13</xdr:row>
      <xdr:rowOff>80434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CCA39E-80D3-6546-8678-06986D26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</xdr:colOff>
      <xdr:row>14</xdr:row>
      <xdr:rowOff>4234</xdr:rowOff>
    </xdr:from>
    <xdr:to>
      <xdr:col>39</xdr:col>
      <xdr:colOff>423334</xdr:colOff>
      <xdr:row>23</xdr:row>
      <xdr:rowOff>80434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00D61F-6761-9A47-9E60-E99F34241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822816</xdr:colOff>
      <xdr:row>24</xdr:row>
      <xdr:rowOff>8944</xdr:rowOff>
    </xdr:from>
    <xdr:to>
      <xdr:col>12</xdr:col>
      <xdr:colOff>513653</xdr:colOff>
      <xdr:row>33</xdr:row>
      <xdr:rowOff>106632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EB73B-1BA7-9B40-81B5-FCE71D1A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271888</xdr:colOff>
      <xdr:row>10</xdr:row>
      <xdr:rowOff>68330</xdr:rowOff>
    </xdr:from>
    <xdr:to>
      <xdr:col>14</xdr:col>
      <xdr:colOff>282620</xdr:colOff>
      <xdr:row>23</xdr:row>
      <xdr:rowOff>137375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4AC80-7138-FB40-BA5F-B1A2E957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736958</xdr:colOff>
      <xdr:row>10</xdr:row>
      <xdr:rowOff>68330</xdr:rowOff>
    </xdr:from>
    <xdr:to>
      <xdr:col>20</xdr:col>
      <xdr:colOff>372057</xdr:colOff>
      <xdr:row>23</xdr:row>
      <xdr:rowOff>137375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E5174-C657-B34A-997C-D5FFF2B9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820964</xdr:colOff>
      <xdr:row>0</xdr:row>
      <xdr:rowOff>52615</xdr:rowOff>
    </xdr:from>
    <xdr:to>
      <xdr:col>13</xdr:col>
      <xdr:colOff>439964</xdr:colOff>
      <xdr:row>14</xdr:row>
      <xdr:rowOff>1815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C895-AA13-9347-932C-44EDDB98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4534</xdr:colOff>
      <xdr:row>0</xdr:row>
      <xdr:rowOff>52613</xdr:rowOff>
    </xdr:from>
    <xdr:to>
      <xdr:col>19</xdr:col>
      <xdr:colOff>449034</xdr:colOff>
      <xdr:row>14</xdr:row>
      <xdr:rowOff>1813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92927-7C01-5F4D-8D22-F0174C51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4535</xdr:colOff>
      <xdr:row>14</xdr:row>
      <xdr:rowOff>197757</xdr:rowOff>
    </xdr:from>
    <xdr:to>
      <xdr:col>13</xdr:col>
      <xdr:colOff>449035</xdr:colOff>
      <xdr:row>28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FBF98-496F-764D-B3B0-57434410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4536</xdr:colOff>
      <xdr:row>14</xdr:row>
      <xdr:rowOff>197757</xdr:rowOff>
    </xdr:from>
    <xdr:to>
      <xdr:col>19</xdr:col>
      <xdr:colOff>449036</xdr:colOff>
      <xdr:row>28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608D3-B40F-5845-BA79-488ADA40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4536</xdr:colOff>
      <xdr:row>30</xdr:row>
      <xdr:rowOff>197757</xdr:rowOff>
    </xdr:from>
    <xdr:to>
      <xdr:col>13</xdr:col>
      <xdr:colOff>449036</xdr:colOff>
      <xdr:row>44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5734D8-BD53-B148-A750-F3933F78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4536</xdr:colOff>
      <xdr:row>30</xdr:row>
      <xdr:rowOff>197757</xdr:rowOff>
    </xdr:from>
    <xdr:to>
      <xdr:col>19</xdr:col>
      <xdr:colOff>449036</xdr:colOff>
      <xdr:row>44</xdr:row>
      <xdr:rowOff>146957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D0484-826C-2A4A-9B9F-A6A53D81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4535</xdr:colOff>
      <xdr:row>48</xdr:row>
      <xdr:rowOff>197757</xdr:rowOff>
    </xdr:from>
    <xdr:to>
      <xdr:col>13</xdr:col>
      <xdr:colOff>449035</xdr:colOff>
      <xdr:row>62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FE047-3DB6-5045-A7A2-FC6158C4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4536</xdr:colOff>
      <xdr:row>48</xdr:row>
      <xdr:rowOff>197757</xdr:rowOff>
    </xdr:from>
    <xdr:to>
      <xdr:col>19</xdr:col>
      <xdr:colOff>449036</xdr:colOff>
      <xdr:row>62</xdr:row>
      <xdr:rowOff>146957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AA7EB7-BDF1-CF4D-93A2-82DE4DD6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213.43.169:8082/1.8/sql/alcor-create-and-list-ports_300rps_2021-12-09_13-22-13.html" TargetMode="External"/><Relationship Id="rId2" Type="http://schemas.openxmlformats.org/officeDocument/2006/relationships/hyperlink" Target="http://10.213.43.169:8082/1.8/sql/alcor-create-and-list-ports_100rps_2021-12-09_13-17-24.html" TargetMode="External"/><Relationship Id="rId1" Type="http://schemas.openxmlformats.org/officeDocument/2006/relationships/hyperlink" Target="http://10.213.43.169:8082/1.8/p_test/before_alcor-create-and-list-ports_300rpss_2021-11-10_09-41-18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10.213.43.169:8082/1.8/alcor-create-and-list-ports_700rps_2021-12-13_11-18-24.html" TargetMode="External"/><Relationship Id="rId4" Type="http://schemas.openxmlformats.org/officeDocument/2006/relationships/hyperlink" Target="http://10.213.43.169:8082/1.8/sql/alcor-create-and-list-ports_500rps_2021-12-09_13-29-39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213.43.169:8082/1_30/50vpc_colum/alcor-create-and-list-ports_500_50_200c_2022-01-30_22-20-27.html" TargetMode="External"/><Relationship Id="rId18" Type="http://schemas.openxmlformats.org/officeDocument/2006/relationships/hyperlink" Target="http://10.213.43.169:8082/1_30/10sub_vpc/alcor-create-and-list-subnets_300_10_300c_2022-01-31_14-58-44.json" TargetMode="External"/><Relationship Id="rId26" Type="http://schemas.openxmlformats.org/officeDocument/2006/relationships/hyperlink" Target="http://10.213.43.169:8082/1_30/50sub_vpc/alcor-create-and-list-subnets_300_50_300c_2022-01-31_17-17-38.json" TargetMode="External"/><Relationship Id="rId39" Type="http://schemas.openxmlformats.org/officeDocument/2006/relationships/hyperlink" Target="http://10.213.43.169:8082/1_30/port_400c_diffPod_curve/alcor-create-and-list-ports_400_10_400c_15pod_2022-02-01_14-05-41.json" TargetMode="External"/><Relationship Id="rId21" Type="http://schemas.openxmlformats.org/officeDocument/2006/relationships/hyperlink" Target="http://10.213.43.169:8082/1_30/10sub_vpc/alcor-create-and-list-subnets_500_10_500c_2022-01-31_16-05-55.html" TargetMode="External"/><Relationship Id="rId34" Type="http://schemas.openxmlformats.org/officeDocument/2006/relationships/hyperlink" Target="http://10.213.43.169:8082/1_30/port_400c_diffPod_curve/alcor-create-and-list-ports_400_10_400c_5pod_2022-02-01_12-50-46.html" TargetMode="External"/><Relationship Id="rId42" Type="http://schemas.openxmlformats.org/officeDocument/2006/relationships/hyperlink" Target="http://10.213.43.169:8082/1_30/port_20vpc_colum/500c_20vpc_colum_5pod/alcor-create-and-list-ports_500_10_500c_run3_2022-02-01_17-24-31.json.json" TargetMode="External"/><Relationship Id="rId47" Type="http://schemas.openxmlformats.org/officeDocument/2006/relationships/hyperlink" Target="http://10.213.43.169:8082/1_30/port_20vpc_colum/500c_20vpc_colum_15pod/alcor-create-and-list-ports_500_10_500c_run2_2022-02-01_22-15-12.json.json" TargetMode="External"/><Relationship Id="rId50" Type="http://schemas.openxmlformats.org/officeDocument/2006/relationships/hyperlink" Target="http://10.213.43.169:8082/1_30/port_20vpc_colum/500c_20vpc_colum_20pod/alcor-create-and-list-ports_500_10_500c_run2_2022-02-01_23-44-42.json.json" TargetMode="External"/><Relationship Id="rId7" Type="http://schemas.openxmlformats.org/officeDocument/2006/relationships/hyperlink" Target="http://10.213.43.169:8082/1_30/10vpc_colum/alcor-create-and-list-ports_300_10_200c_2022-01-30_00-22-28.html" TargetMode="External"/><Relationship Id="rId2" Type="http://schemas.openxmlformats.org/officeDocument/2006/relationships/hyperlink" Target="http://10.213.43.169:8082/1_30/100vpc/alcor-create-and-list-ports_100_100_200c_2022-01-29_14-33-02.json" TargetMode="External"/><Relationship Id="rId16" Type="http://schemas.openxmlformats.org/officeDocument/2006/relationships/hyperlink" Target="http://10.213.43.169:8082/1_30/10sub_vpc/alcor-create-and-list-subnets_200_10_200c_2022-01-31_14-35-02.json" TargetMode="External"/><Relationship Id="rId29" Type="http://schemas.openxmlformats.org/officeDocument/2006/relationships/hyperlink" Target="http://10.213.43.169:8082/1_30/50vpc_colum/alcor-create-and-list-ports_400_50_200c_2022-01-30_16-08-24.html" TargetMode="External"/><Relationship Id="rId11" Type="http://schemas.openxmlformats.org/officeDocument/2006/relationships/hyperlink" Target="http://10.213.43.169:8082/1_30/10vpc_colum/alcor-create-and-list-ports_500_10_200c_2022-01-30_02-34-05.html" TargetMode="External"/><Relationship Id="rId24" Type="http://schemas.openxmlformats.org/officeDocument/2006/relationships/hyperlink" Target="http://10.213.43.169:8082/1_30/50sub_vpc/alcor-create-and-list-subnets_200_50_200c_2022-01-31_16-49-43.json" TargetMode="External"/><Relationship Id="rId32" Type="http://schemas.openxmlformats.org/officeDocument/2006/relationships/hyperlink" Target="http://10.213.43.169:8082/1_30/50vpc_colum/alcor-create-and-list-ports_200_50_200c_2022-01-30_08-23-28.json" TargetMode="External"/><Relationship Id="rId37" Type="http://schemas.openxmlformats.org/officeDocument/2006/relationships/hyperlink" Target="http://10.213.43.169:8082/1_30/port_400c_diffPod_curve/alcor-create-and-list-ports_400_10_400c_10pod_2022-02-01_13-29-09.json" TargetMode="External"/><Relationship Id="rId40" Type="http://schemas.openxmlformats.org/officeDocument/2006/relationships/hyperlink" Target="http://10.213.43.169:8082/1_30/port_20vpc_colum/500c_20vpc_colum_5pod/alcor-create-and-list-ports_500_10_500c_run1_2022-02-01_16-53-38.json.json" TargetMode="External"/><Relationship Id="rId45" Type="http://schemas.openxmlformats.org/officeDocument/2006/relationships/hyperlink" Target="http://10.213.43.169:8082/1_30/port_20vpc_colum/500c_20vpc_colum_10pod/alcor-create-and-list-ports_500_10_500c_run3_2022-02-01_18-36-17.json.json" TargetMode="External"/><Relationship Id="rId53" Type="http://schemas.openxmlformats.org/officeDocument/2006/relationships/drawing" Target="../drawings/drawing6.xml"/><Relationship Id="rId5" Type="http://schemas.openxmlformats.org/officeDocument/2006/relationships/hyperlink" Target="http://10.213.43.169:8082/1_30/10vpc_colum/alcor-create-and-list-ports_200_10_200c_2022-01-29_23-42-37.html" TargetMode="External"/><Relationship Id="rId10" Type="http://schemas.openxmlformats.org/officeDocument/2006/relationships/hyperlink" Target="http://10.213.43.169:8082/1_30/10vpc_colum/alcor-create-and-list-ports_400_10_200c_2022-01-30_01-19-14.json" TargetMode="External"/><Relationship Id="rId19" Type="http://schemas.openxmlformats.org/officeDocument/2006/relationships/hyperlink" Target="http://10.213.43.169:8082/1_30/10sub_vpc/alcor-create-and-list-subnets_400_10_400c_2022-01-31_15-31-43.html" TargetMode="External"/><Relationship Id="rId31" Type="http://schemas.openxmlformats.org/officeDocument/2006/relationships/hyperlink" Target="http://10.213.43.169:8082/1_30/50vpc_colum/alcor-create-and-list-ports_300_50_200c_2022-01-30_11-30-30.html" TargetMode="External"/><Relationship Id="rId44" Type="http://schemas.openxmlformats.org/officeDocument/2006/relationships/hyperlink" Target="http://10.213.43.169:8082/1_30/port_20vpc_colum/500c_20vpc_colum_10pod/alcor-create-and-list-ports_500_10_500c_run2_2022-02-01_18-21-14.json.json" TargetMode="External"/><Relationship Id="rId52" Type="http://schemas.openxmlformats.org/officeDocument/2006/relationships/hyperlink" Target="http://10.213.43.169:8082/1_30/alcor-create-and-list-ports_500_20_1000c/" TargetMode="External"/><Relationship Id="rId4" Type="http://schemas.openxmlformats.org/officeDocument/2006/relationships/hyperlink" Target="http://10.213.43.169:8082/1_30/100vpc/alcor-create-and-list-ports_100_1000_200c_2022-01-29_15-06-56.json" TargetMode="External"/><Relationship Id="rId9" Type="http://schemas.openxmlformats.org/officeDocument/2006/relationships/hyperlink" Target="http://10.213.43.169:8082/1_30/10vpc_colum/alcor-create-and-list-ports_400_10_200c_2022-01-30_01-19-14.html" TargetMode="External"/><Relationship Id="rId14" Type="http://schemas.openxmlformats.org/officeDocument/2006/relationships/hyperlink" Target="http://10.213.43.169:8082/1_30/50vpc_colum/alcor-create-and-list-ports_500_50_200c_2022-01-30_22-20-27.json" TargetMode="External"/><Relationship Id="rId22" Type="http://schemas.openxmlformats.org/officeDocument/2006/relationships/hyperlink" Target="http://10.213.43.169:8082/1_30/10sub_vpc/alcor-create-and-list-subnets_500_10_500c_2022-01-31_16-05-55.json" TargetMode="External"/><Relationship Id="rId27" Type="http://schemas.openxmlformats.org/officeDocument/2006/relationships/hyperlink" Target="http://10.213.43.169:8082/1_30/50sub_vpc/alcor-create-and-list-subnets_400_10_400c_2022-01-31_17-49-59.html" TargetMode="External"/><Relationship Id="rId30" Type="http://schemas.openxmlformats.org/officeDocument/2006/relationships/hyperlink" Target="http://10.213.43.169:8082/1_30/50vpc_colum/alcor-create-and-list-ports_300_50_200c_2022-01-30_11-30-30.json" TargetMode="External"/><Relationship Id="rId35" Type="http://schemas.openxmlformats.org/officeDocument/2006/relationships/hyperlink" Target="http://10.213.43.169:8082/1_30/port_400c_diffPod_curve/alcor-create-and-list-ports_400_10_400c_5pod_2022-02-01_12-50-46.json" TargetMode="External"/><Relationship Id="rId43" Type="http://schemas.openxmlformats.org/officeDocument/2006/relationships/hyperlink" Target="http://10.213.43.169:8082/1_30/port_20vpc_colum/500c_20vpc_colum_10pod/alcor-create-and-list-ports_500_10_500c_run1_2022-02-01_18-05-08.json.json" TargetMode="External"/><Relationship Id="rId48" Type="http://schemas.openxmlformats.org/officeDocument/2006/relationships/hyperlink" Target="http://10.213.43.169:8082/1_30/port_20vpc_colum/500c_20vpc_colum_15pod/alcor-create-and-list-ports_500_10_500c_run3_2022-02-01_22-30-19.json.json" TargetMode="External"/><Relationship Id="rId8" Type="http://schemas.openxmlformats.org/officeDocument/2006/relationships/hyperlink" Target="http://10.213.43.169:8082/1_30/10vpc_colum/alcor-create-and-list-ports_300_10_200c_2022-01-30_00-22-28.json" TargetMode="External"/><Relationship Id="rId51" Type="http://schemas.openxmlformats.org/officeDocument/2006/relationships/hyperlink" Target="http://10.213.43.169:8082/1_30/port_20vpc_colum/500c_20vpc_colum_20pod/alcor-create-and-list-ports_500_10_500c_run3_2022-02-02_00-00-03.json.json" TargetMode="External"/><Relationship Id="rId3" Type="http://schemas.openxmlformats.org/officeDocument/2006/relationships/hyperlink" Target="http://10.213.43.169:8082/1_30/100vpc/alcor-create-and-list-ports_100_1000_200c_2022-01-29_15-06-56.html" TargetMode="External"/><Relationship Id="rId12" Type="http://schemas.openxmlformats.org/officeDocument/2006/relationships/hyperlink" Target="http://10.213.43.169:8082/1_30/10vpc_colum/alcor-create-and-list-ports_500_10_200c_2022-01-30_02-34-05.json" TargetMode="External"/><Relationship Id="rId17" Type="http://schemas.openxmlformats.org/officeDocument/2006/relationships/hyperlink" Target="http://10.213.43.169:8082/1_30/10sub_vpc/alcor-create-and-list-subnets_300_10_300c_2022-01-31_14-58-44.html" TargetMode="External"/><Relationship Id="rId25" Type="http://schemas.openxmlformats.org/officeDocument/2006/relationships/hyperlink" Target="http://10.213.43.169:8082/1_30/50sub_vpc/alcor-create-and-list-subnets_300_50_300c_2022-01-31_17-17-38.html" TargetMode="External"/><Relationship Id="rId33" Type="http://schemas.openxmlformats.org/officeDocument/2006/relationships/hyperlink" Target="http://10.213.43.169:8082/1_30/50vpc_colum/alcor-create-and-list-ports_200_50_200c_2022-01-30_08-23-28.html" TargetMode="External"/><Relationship Id="rId38" Type="http://schemas.openxmlformats.org/officeDocument/2006/relationships/hyperlink" Target="http://10.213.43.169:8082/1_30/port_400c_diffPod_curve/alcor-create-and-list-ports_400_10_400c_15pod_2022-02-01_14-05-41.html" TargetMode="External"/><Relationship Id="rId46" Type="http://schemas.openxmlformats.org/officeDocument/2006/relationships/hyperlink" Target="http://10.213.43.169:8082/1_30/port_20vpc_colum/500c_20vpc_colum_15pod/alcor-create-and-list-ports_500_10_500c_run1_2022-02-01_21-58-54.json.json" TargetMode="External"/><Relationship Id="rId20" Type="http://schemas.openxmlformats.org/officeDocument/2006/relationships/hyperlink" Target="http://10.213.43.169:8082/1_30/10sub_vpc/alcor-create-and-list-subnets_400_10_400c_2022-01-31_15-31-43.json" TargetMode="External"/><Relationship Id="rId41" Type="http://schemas.openxmlformats.org/officeDocument/2006/relationships/hyperlink" Target="http://10.213.43.169:8082/1_30/port_20vpc_colum/500c_20vpc_colum_5pod/alcor-create-and-list-ports_500_10_500c_run2_2022-02-01_17-09-38.json.json" TargetMode="External"/><Relationship Id="rId1" Type="http://schemas.openxmlformats.org/officeDocument/2006/relationships/hyperlink" Target="http://10.213.43.169:8082/1_30/100vpc/alcor-create-and-list-ports_100_100_200c_2022-01-29_14-33-02.html" TargetMode="External"/><Relationship Id="rId6" Type="http://schemas.openxmlformats.org/officeDocument/2006/relationships/hyperlink" Target="http://10.213.43.169:8082/1_30/10vpc_colum/alcor-create-and-list-ports_200_10_200c_2022-01-29_23-42-37.json" TargetMode="External"/><Relationship Id="rId15" Type="http://schemas.openxmlformats.org/officeDocument/2006/relationships/hyperlink" Target="http://10.213.43.169:8082/1_30/10sub_vpc/alcor-create-and-list-subnets_200_10_200c_2022-01-31_14-35-02.html" TargetMode="External"/><Relationship Id="rId23" Type="http://schemas.openxmlformats.org/officeDocument/2006/relationships/hyperlink" Target="http://10.213.43.169:8082/1_30/50sub_vpc/alcor-create-and-list-subnets_200_50_200c_2022-01-31_16-49-43.html" TargetMode="External"/><Relationship Id="rId28" Type="http://schemas.openxmlformats.org/officeDocument/2006/relationships/hyperlink" Target="http://10.213.43.169:8082/1_30/50vpc_colum/alcor-create-and-list-ports_400_50_200c_2022-01-30_16-08-24.json" TargetMode="External"/><Relationship Id="rId36" Type="http://schemas.openxmlformats.org/officeDocument/2006/relationships/hyperlink" Target="http://10.213.43.169:8082/1_30/port_400c_diffPod_curve/alcor-create-and-list-ports_400_10_400c_10pod_2022-02-01_13-29-09.html" TargetMode="External"/><Relationship Id="rId49" Type="http://schemas.openxmlformats.org/officeDocument/2006/relationships/hyperlink" Target="http://10.213.43.169:8082/1_30/port_20vpc_colum/500c_20vpc_colum_20pod/alcor-create-and-list-ports_500_10_500c_run1_2022-02-01_23-28-20.json.jso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://10.213.43.169:8082/1_30/100p_vpc/alcor-create-and-list-ports_100_1000_200c/" TargetMode="External"/><Relationship Id="rId1" Type="http://schemas.openxmlformats.org/officeDocument/2006/relationships/hyperlink" Target="http://10.213.43.169:8082/1_30/alcor-create-and-list-ports_500_20_1000c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10.213.43.169:8082/1_30/try3/alcor-create-and-list-subnets_400_10_400c/" TargetMode="External"/><Relationship Id="rId2" Type="http://schemas.openxmlformats.org/officeDocument/2006/relationships/hyperlink" Target="http://10.213.43.169:8082/1_30/try3/alcor-create-and-list-subnets_300_10_300c/" TargetMode="External"/><Relationship Id="rId1" Type="http://schemas.openxmlformats.org/officeDocument/2006/relationships/hyperlink" Target="http://10.213.43.169:8082/1_30/try3/alcor-create-and-list-subnets_200_10_200c/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://10.213.43.169:8082/1_30/try3/alcor-create-and-list-subnets_500_10_500c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213.43.169:8082/1.8/testcase1_makeup/alcor-create-and-list-subnets_300rps_2t_2021-11-04_16-40-20.html" TargetMode="External"/><Relationship Id="rId2" Type="http://schemas.openxmlformats.org/officeDocument/2006/relationships/hyperlink" Target="http://10.213.43.169:8082/1.8/testcase1_makeup/alcor-create-and-list-subnets_700rps_2021-11-04_16-49-26.html" TargetMode="External"/><Relationship Id="rId1" Type="http://schemas.openxmlformats.org/officeDocument/2006/relationships/hyperlink" Target="http://10.213.43.169:8082/1.8/testcase1_makeup/alcor-create-and-list-subnets_300rps_2021-11-04_16-46-05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10.213.43.169:8082/1.8/testcase1_makeup/ym_create-and-list-networks_700rps_2021-11-04_16-58-34.html" TargetMode="External"/><Relationship Id="rId1" Type="http://schemas.openxmlformats.org/officeDocument/2006/relationships/hyperlink" Target="http://10.213.43.169:8082/1.8/testcase1_makeup/ym_create-and-list-networks_500rps_2t_2021-11-04_16-54-45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0.213.43.169:8082/1.8/ym_benchmark_linkerd/Alcor-TestSuite3-network_30n-10t-5c_2021-11-23_15-37-20.html" TargetMode="External"/><Relationship Id="rId13" Type="http://schemas.openxmlformats.org/officeDocument/2006/relationships/hyperlink" Target="http://10.213.43.169:8082/1.8/ym_benchmark_run3/Alcor-TestSuite3-network_30n-10t-5c_2021-11-30_15-04-42.html" TargetMode="External"/><Relationship Id="rId18" Type="http://schemas.openxmlformats.org/officeDocument/2006/relationships/hyperlink" Target="http://10.213.43.169:8082/1.8/ym_benchmark_run3/Alcor-TestSuite3-network_100n-20t-10c_2021-12-01_20-17-27.html" TargetMode="External"/><Relationship Id="rId26" Type="http://schemas.openxmlformats.org/officeDocument/2006/relationships/hyperlink" Target="http://10.213.43.169:8082/1.8/ncm/Alcor-TestSuite3-network_100n-20t-10c_2021-12-02_18-26-54.html" TargetMode="External"/><Relationship Id="rId3" Type="http://schemas.openxmlformats.org/officeDocument/2006/relationships/hyperlink" Target="http://10.213.43.169:8082/1.8/ym_benchmark_run3/Alcor-TestSuite3-network_30n-10t-5c_2021-11-24_11-26-59.html" TargetMode="External"/><Relationship Id="rId21" Type="http://schemas.openxmlformats.org/officeDocument/2006/relationships/hyperlink" Target="http://10.213.43.169:8082/1.8/ym_benchmark_run3/Neutron-TestSuite5_1n-10s-10p-1t-1c_2021-12-02_10-51-10.html" TargetMode="External"/><Relationship Id="rId7" Type="http://schemas.openxmlformats.org/officeDocument/2006/relationships/hyperlink" Target="http://10.213.43.169:8082/1.8/ym_benchmark_run3/Neutron-TestSuite5_1n-10s-10p-1t-1c_2021-11-24_13-12-31.html" TargetMode="External"/><Relationship Id="rId12" Type="http://schemas.openxmlformats.org/officeDocument/2006/relationships/hyperlink" Target="http://10.213.43.169:8082/1.8/ym_benchmark_linkerd/Neutron-TestSuite5_1n-10s-10p-1t-1c_2021-11-23_19-09-25.html" TargetMode="External"/><Relationship Id="rId17" Type="http://schemas.openxmlformats.org/officeDocument/2006/relationships/hyperlink" Target="http://10.213.43.169:8082/1.8/ym_benchmark_run3/Alcor-TestSuite3-network_30n-10t-5c_2021-12-01_17-19-39.html" TargetMode="External"/><Relationship Id="rId25" Type="http://schemas.openxmlformats.org/officeDocument/2006/relationships/hyperlink" Target="http://10.213.43.169:8082/1.8/ncm/Alcor-TestSuite3-network_30n-10t-5c_2021-12-02_17-01-22.html" TargetMode="External"/><Relationship Id="rId2" Type="http://schemas.openxmlformats.org/officeDocument/2006/relationships/hyperlink" Target="http://10.213.43.169:8082/1.8/ym_benchmark_run3/Neutron-TestSuite3-Network_100n-20t-10c_2021-11-24_11-41-47.html" TargetMode="External"/><Relationship Id="rId16" Type="http://schemas.openxmlformats.org/officeDocument/2006/relationships/hyperlink" Target="http://10.213.43.169:8082/1.8/ym_benchmark_run3/Alcor-TestSuite4-server_10n-10s-5t-5c_2021-12-01_14-12-35.html" TargetMode="External"/><Relationship Id="rId20" Type="http://schemas.openxmlformats.org/officeDocument/2006/relationships/hyperlink" Target="http://10.213.43.169:8082/1.8/ym_benchmark_run3/Alcor-TestSuite4-server_10n-10s-100t-10c_2021-12-01_21-23-20.html" TargetMode="External"/><Relationship Id="rId29" Type="http://schemas.openxmlformats.org/officeDocument/2006/relationships/hyperlink" Target="http://10.213.43.169:8082/1.8/ncm/boot-and-delete-server1_2021-12-03_09-57-14.html" TargetMode="External"/><Relationship Id="rId1" Type="http://schemas.openxmlformats.org/officeDocument/2006/relationships/hyperlink" Target="http://10.213.43.169:8082/1.8/ym_benchmark_run2/Neutron-TestSuite3-Network_100n-20t-10c_2021-11-21_23-01-43.html" TargetMode="External"/><Relationship Id="rId6" Type="http://schemas.openxmlformats.org/officeDocument/2006/relationships/hyperlink" Target="http://10.213.43.169:8082/1.8/ym_benchmark_run3/Neutron-TestSuite4-server_10-5-10-2-u_2021-11-24_12-51-36.html" TargetMode="External"/><Relationship Id="rId11" Type="http://schemas.openxmlformats.org/officeDocument/2006/relationships/hyperlink" Target="http://10.213.43.169:8082/1.8/ym_benchmark_linkerd/Neutron-TestSuite4-server_10-5-10-2-u_2021-11-23_18-48-59.html" TargetMode="External"/><Relationship Id="rId24" Type="http://schemas.openxmlformats.org/officeDocument/2006/relationships/hyperlink" Target="http://10.213.43.169:8082/1.8/ym_benchmark_run3/boot-and-delete-server1_2021-12-02_15-12-17.html" TargetMode="External"/><Relationship Id="rId5" Type="http://schemas.openxmlformats.org/officeDocument/2006/relationships/hyperlink" Target="http://10.213.43.169:8082/1.8/ym_benchmark_run3/Neutron-TestSuite3-Network_100n-20t-10c_2021-11-24_11-41-47.html" TargetMode="External"/><Relationship Id="rId15" Type="http://schemas.openxmlformats.org/officeDocument/2006/relationships/hyperlink" Target="http://10.213.43.169:8082/1.8/ym_benchmark_run3/Alcor-TestSuite4-server_10n-10s-100t-10c_2021-11-30_18-26-29.html" TargetMode="External"/><Relationship Id="rId23" Type="http://schemas.openxmlformats.org/officeDocument/2006/relationships/hyperlink" Target="http://10.213.43.169:8082/1.8/ym_benchmark_run3/boot-and-delete-server1_2021-12-02_14-51-21.html" TargetMode="External"/><Relationship Id="rId28" Type="http://schemas.openxmlformats.org/officeDocument/2006/relationships/hyperlink" Target="http://10.213.43.169:8082/1.8/ncm/boot-and-delete-server1_2021-12-03_09-28-01.html" TargetMode="External"/><Relationship Id="rId10" Type="http://schemas.openxmlformats.org/officeDocument/2006/relationships/hyperlink" Target="http://10.213.43.169:8082/1.8/ym_benchmark_linkerd/Neutron-TestSuite3-Network_100n-20t-10c_2021-11-23_15-38-59.html" TargetMode="External"/><Relationship Id="rId19" Type="http://schemas.openxmlformats.org/officeDocument/2006/relationships/hyperlink" Target="http://10.213.43.169:8082/1.8/ym_benchmark_run3/Alcor-TestSuite4-server_10n-10s-5t-5c_2021-12-01_21-02-39.html" TargetMode="External"/><Relationship Id="rId4" Type="http://schemas.openxmlformats.org/officeDocument/2006/relationships/hyperlink" Target="http://10.213.43.169:8082/1.8/ym_benchmark_run3/Neutron-TestSuite3-Network_30n-10t-5c_2021-11-24_12-37-24.html" TargetMode="External"/><Relationship Id="rId9" Type="http://schemas.openxmlformats.org/officeDocument/2006/relationships/hyperlink" Target="http://10.213.43.169:8082/1.8/ym_benchmark_linkerd/Neutron-TestSuite3-Network_30n-10t-5c_2021-11-23_18-34-02.html" TargetMode="External"/><Relationship Id="rId14" Type="http://schemas.openxmlformats.org/officeDocument/2006/relationships/hyperlink" Target="http://10.213.43.169:8082/1.8/ym_benchmark_run3/Alcor-TestSuite3-network_100n-20t-10c_2021-11-30_16-26-45.html" TargetMode="External"/><Relationship Id="rId22" Type="http://schemas.openxmlformats.org/officeDocument/2006/relationships/hyperlink" Target="http://10.213.43.169:8082/1.8/ym_benchmark_run3/boot-and-delete-server1_2021-12-02_14-47-06.html" TargetMode="External"/><Relationship Id="rId27" Type="http://schemas.openxmlformats.org/officeDocument/2006/relationships/hyperlink" Target="http://10.213.43.169:8082/1.8/ncm/Alcor-TestSuite4-server_10n-10s-5t-5c_2021-12-02_23-47-3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0.213.43.169:8082/1_30/alcor-port_5n-20s-10p-10t-5c_2022-01-26_16-28-29.html" TargetMode="External"/><Relationship Id="rId13" Type="http://schemas.openxmlformats.org/officeDocument/2006/relationships/hyperlink" Target="http://10.213.43.169:8082/1_30/alcor-create-and-list-ports_1000t_500c_2022-01-27_11-47-09.html" TargetMode="External"/><Relationship Id="rId18" Type="http://schemas.openxmlformats.org/officeDocument/2006/relationships/hyperlink" Target="http://10.213.43.169:8082/1_30/alcor-port_5n-20s-10p-10t-5c_2022-01-27_16-29-24.html" TargetMode="External"/><Relationship Id="rId3" Type="http://schemas.openxmlformats.org/officeDocument/2006/relationships/hyperlink" Target="http://10.213.43.169:8082/1_30/ym_alcor-network-performance_2022-01-26_16-04-03.html" TargetMode="External"/><Relationship Id="rId7" Type="http://schemas.openxmlformats.org/officeDocument/2006/relationships/hyperlink" Target="http://10.213.43.169:8082/1_30/alcor-port_5n-20s-10p-10t-5c_2022-01-26_16-25-32.html" TargetMode="External"/><Relationship Id="rId12" Type="http://schemas.openxmlformats.org/officeDocument/2006/relationships/hyperlink" Target="http://10.213.43.169:8082/1_30/alcor-create-and-list-ports_3000t-1500rps_2022-01-27_11-03-53.html" TargetMode="External"/><Relationship Id="rId17" Type="http://schemas.openxmlformats.org/officeDocument/2006/relationships/hyperlink" Target="http://10.213.43.169:8082/1_30/alcor-port_5n-10s-10p-10t-5c_2022-01-27_16-23-23.html" TargetMode="External"/><Relationship Id="rId2" Type="http://schemas.openxmlformats.org/officeDocument/2006/relationships/hyperlink" Target="http://10.213.43.169:8082/1_30/alcor-server-performance_10n-10s-4t-2c_2022-01-26_15-00-29.html" TargetMode="External"/><Relationship Id="rId16" Type="http://schemas.openxmlformats.org/officeDocument/2006/relationships/hyperlink" Target="http://10.213.43.169:8082/1_30/alcor-port_2n-10s-10p-10t-5c_2022-01-27_16-17-54.html" TargetMode="External"/><Relationship Id="rId1" Type="http://schemas.openxmlformats.org/officeDocument/2006/relationships/hyperlink" Target="http://10.213.43.169:8082/1_30/alcor-network-performance_5n-10t-5c_2022-01-26_14-42-22.html" TargetMode="External"/><Relationship Id="rId6" Type="http://schemas.openxmlformats.org/officeDocument/2006/relationships/hyperlink" Target="http://10.213.43.169:8082/1_30/alcor-port_5n-20s-10p-10t-5c_2022-01-26_16-21-41.html" TargetMode="External"/><Relationship Id="rId11" Type="http://schemas.openxmlformats.org/officeDocument/2006/relationships/hyperlink" Target="http://10.213.43.169:8082/1_30/alcor-create-and-list-ports_3000t_1500c_2022-01-27_10-56-09.html" TargetMode="External"/><Relationship Id="rId5" Type="http://schemas.openxmlformats.org/officeDocument/2006/relationships/hyperlink" Target="http://10.213.43.169:8082/1_30/alcor-port_5n-20s-10p-10t-50c_2022-01-26_16-17-41.html" TargetMode="External"/><Relationship Id="rId15" Type="http://schemas.openxmlformats.org/officeDocument/2006/relationships/hyperlink" Target="http://10.213.43.169:8082/1_30/alcor-port_2n-10s-10p-10t-5c_2022-01-27_13-52-14.html" TargetMode="External"/><Relationship Id="rId10" Type="http://schemas.openxmlformats.org/officeDocument/2006/relationships/hyperlink" Target="http://10.213.43.169:8082/1_30/alcor-server-performance_2022-01-26_17-49-42.html" TargetMode="External"/><Relationship Id="rId19" Type="http://schemas.openxmlformats.org/officeDocument/2006/relationships/drawing" Target="../drawings/drawing5.xml"/><Relationship Id="rId4" Type="http://schemas.openxmlformats.org/officeDocument/2006/relationships/hyperlink" Target="http://10.213.43.169:8082/1_30/alcor-server-performance-vms_2022-01-26_16-07-08.html" TargetMode="External"/><Relationship Id="rId9" Type="http://schemas.openxmlformats.org/officeDocument/2006/relationships/hyperlink" Target="http://10.213.43.169:8082/1_30/alcor-port_5n-20s-10p-10t-5c_2022-01-26_16-42-19.html" TargetMode="External"/><Relationship Id="rId14" Type="http://schemas.openxmlformats.org/officeDocument/2006/relationships/hyperlink" Target="http://10.213.43.169:8082/1_30/alcor-create-and-list-ports_1000t-500c_2022-01-27_11-49-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BD5B-E873-3B4E-B605-F39FF2244F5D}">
  <dimension ref="A1:P12"/>
  <sheetViews>
    <sheetView topLeftCell="F1" zoomScale="150" zoomScaleNormal="150" workbookViewId="0">
      <selection activeCell="B4" sqref="B4:H5"/>
    </sheetView>
  </sheetViews>
  <sheetFormatPr baseColWidth="10" defaultRowHeight="16" x14ac:dyDescent="0.2"/>
  <cols>
    <col min="1" max="1" width="19.5" customWidth="1"/>
    <col min="11" max="11" width="17.6640625" customWidth="1"/>
  </cols>
  <sheetData>
    <row r="1" spans="1:16" x14ac:dyDescent="0.2">
      <c r="A1" t="s">
        <v>2</v>
      </c>
      <c r="K1" t="s">
        <v>3</v>
      </c>
    </row>
    <row r="2" spans="1:16" x14ac:dyDescent="0.2">
      <c r="A2" t="s">
        <v>0</v>
      </c>
      <c r="K2" t="s">
        <v>1</v>
      </c>
    </row>
    <row r="3" spans="1:16" x14ac:dyDescent="0.2">
      <c r="A3" t="s">
        <v>10</v>
      </c>
      <c r="B3">
        <v>100</v>
      </c>
      <c r="C3">
        <f>B3+200</f>
        <v>300</v>
      </c>
      <c r="D3">
        <f t="shared" ref="D3:H3" si="0">C3+200</f>
        <v>500</v>
      </c>
      <c r="E3">
        <f t="shared" si="0"/>
        <v>700</v>
      </c>
      <c r="F3">
        <f t="shared" si="0"/>
        <v>900</v>
      </c>
      <c r="G3">
        <f t="shared" si="0"/>
        <v>1100</v>
      </c>
      <c r="H3">
        <f t="shared" si="0"/>
        <v>1300</v>
      </c>
      <c r="K3" t="s">
        <v>10</v>
      </c>
      <c r="L3">
        <f>B3*2</f>
        <v>200</v>
      </c>
      <c r="M3">
        <f>C3*2</f>
        <v>600</v>
      </c>
      <c r="N3">
        <f>D3*2</f>
        <v>1000</v>
      </c>
      <c r="O3">
        <f>E3*2</f>
        <v>1400</v>
      </c>
      <c r="P3">
        <f>F3*2</f>
        <v>1800</v>
      </c>
    </row>
    <row r="4" spans="1:16" x14ac:dyDescent="0.2">
      <c r="A4" t="s">
        <v>309</v>
      </c>
      <c r="B4">
        <v>1.48</v>
      </c>
      <c r="C4">
        <v>11.19</v>
      </c>
      <c r="D4">
        <v>16.061</v>
      </c>
      <c r="E4">
        <v>22.902999999999999</v>
      </c>
      <c r="F4">
        <v>31.366</v>
      </c>
      <c r="G4" s="3">
        <v>53.981000000000002</v>
      </c>
      <c r="H4">
        <v>59.97</v>
      </c>
      <c r="K4" t="s">
        <v>309</v>
      </c>
      <c r="L4">
        <v>3.0710000000000002</v>
      </c>
      <c r="M4">
        <v>20.190000000000001</v>
      </c>
      <c r="N4">
        <v>36.340000000000003</v>
      </c>
      <c r="O4">
        <v>63.826000000000001</v>
      </c>
      <c r="P4" s="1">
        <v>85.382999999999996</v>
      </c>
    </row>
    <row r="5" spans="1:16" x14ac:dyDescent="0.2">
      <c r="B5">
        <f>B4/10</f>
        <v>0.14799999999999999</v>
      </c>
      <c r="C5">
        <f t="shared" ref="C5:H5" si="1">C4/10</f>
        <v>1.119</v>
      </c>
      <c r="D5">
        <f t="shared" si="1"/>
        <v>1.6061000000000001</v>
      </c>
      <c r="E5">
        <f t="shared" si="1"/>
        <v>2.2902999999999998</v>
      </c>
      <c r="F5">
        <f t="shared" si="1"/>
        <v>3.1366000000000001</v>
      </c>
      <c r="G5">
        <f t="shared" si="1"/>
        <v>5.3981000000000003</v>
      </c>
      <c r="H5">
        <f t="shared" si="1"/>
        <v>5.9969999999999999</v>
      </c>
      <c r="L5">
        <f>L4/10</f>
        <v>0.30710000000000004</v>
      </c>
      <c r="M5">
        <f t="shared" ref="M5:P5" si="2">M4/10</f>
        <v>2.0190000000000001</v>
      </c>
      <c r="N5">
        <f t="shared" si="2"/>
        <v>3.6340000000000003</v>
      </c>
      <c r="O5">
        <f t="shared" si="2"/>
        <v>6.3826000000000001</v>
      </c>
      <c r="P5">
        <f t="shared" si="2"/>
        <v>8.5382999999999996</v>
      </c>
    </row>
    <row r="7" spans="1:16" x14ac:dyDescent="0.2">
      <c r="B7">
        <v>13.935</v>
      </c>
      <c r="M7" s="4">
        <v>17.927</v>
      </c>
    </row>
    <row r="8" spans="1:16" x14ac:dyDescent="0.2">
      <c r="B8">
        <v>13.465999999999999</v>
      </c>
    </row>
    <row r="10" spans="1:16" x14ac:dyDescent="0.2">
      <c r="A10" t="s">
        <v>305</v>
      </c>
    </row>
    <row r="11" spans="1:16" x14ac:dyDescent="0.2">
      <c r="A11" t="s">
        <v>263</v>
      </c>
    </row>
    <row r="12" spans="1:16" x14ac:dyDescent="0.2">
      <c r="B12" s="4">
        <v>1.88</v>
      </c>
      <c r="C12" s="4">
        <v>7.944</v>
      </c>
      <c r="D12" s="4">
        <v>14.547000000000001</v>
      </c>
      <c r="E12" s="4">
        <v>25.033000000000001</v>
      </c>
    </row>
  </sheetData>
  <hyperlinks>
    <hyperlink ref="M7" r:id="rId1" location="/NeutronNetworks.create_and_list_ports-2" display="http://10.213.43.169:8082/1.8/p_test/before_alcor-create-and-list-ports_300rpss_2021-11-10_09-41-18.html - /NeutronNetworks.create_and_list_ports-2" xr:uid="{5D54C733-075E-7743-904C-32950C81D926}"/>
    <hyperlink ref="B12" r:id="rId2" location="/NeutronNetworks.create_and_list_ports-2/overview" display="http://10.213.43.169:8082/1.8/sql/alcor-create-and-list-ports_100rps_2021-12-09_13-17-24.html - /NeutronNetworks.create_and_list_ports-2/overview" xr:uid="{678E8119-2472-AC46-80CC-CF4687FC3B9E}"/>
    <hyperlink ref="C12" r:id="rId3" location="/NeutronNetworks.create_and_list_ports-2/task" display="http://10.213.43.169:8082/1.8/sql/alcor-create-and-list-ports_300rps_2021-12-09_13-22-13.html - /NeutronNetworks.create_and_list_ports-2/task" xr:uid="{129D868A-F57D-B94F-BA3F-89B7497F1828}"/>
    <hyperlink ref="D12" r:id="rId4" location="/NeutronNetworks.create_and_list_ports-2/task" display="http://10.213.43.169:8082/1.8/sql/alcor-create-and-list-ports_500rps_2021-12-09_13-29-39.html - /NeutronNetworks.create_and_list_ports-2/task" xr:uid="{49DE51E1-A597-864A-8271-7B8A7B8466EB}"/>
    <hyperlink ref="E12" r:id="rId5" location="/NeutronNetworks.create_and_list_ports-2" display="http://10.213.43.169:8082/1.8/alcor-create-and-list-ports_700rps_2021-12-13_11-18-24.html - /NeutronNetworks.create_and_list_ports-2" xr:uid="{85FBEBEC-6743-CF44-9DE3-1412B43802E6}"/>
  </hyperlinks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9453-A7AA-9D4C-B28F-F7079BFD9F05}">
  <dimension ref="A1:H24"/>
  <sheetViews>
    <sheetView topLeftCell="A5" zoomScale="150" workbookViewId="0">
      <selection activeCell="C6" sqref="C6"/>
    </sheetView>
  </sheetViews>
  <sheetFormatPr baseColWidth="10" defaultRowHeight="16" x14ac:dyDescent="0.2"/>
  <cols>
    <col min="1" max="1" width="20" customWidth="1"/>
    <col min="2" max="2" width="26.5" customWidth="1"/>
    <col min="3" max="3" width="22.33203125" customWidth="1"/>
    <col min="4" max="4" width="20.1640625" customWidth="1"/>
    <col min="5" max="5" width="24.1640625" customWidth="1"/>
    <col min="6" max="6" width="32.6640625" customWidth="1"/>
    <col min="8" max="8" width="21.1640625" customWidth="1"/>
  </cols>
  <sheetData>
    <row r="1" spans="1:8" x14ac:dyDescent="0.2">
      <c r="A1" s="12" t="s">
        <v>310</v>
      </c>
      <c r="B1" s="13" t="s">
        <v>311</v>
      </c>
      <c r="C1" s="30" t="s">
        <v>315</v>
      </c>
      <c r="D1" s="14"/>
      <c r="E1" s="43" t="s">
        <v>364</v>
      </c>
      <c r="F1" s="20" t="s">
        <v>317</v>
      </c>
      <c r="G1" s="21" t="s">
        <v>318</v>
      </c>
      <c r="H1" s="45" t="s">
        <v>365</v>
      </c>
    </row>
    <row r="2" spans="1:8" x14ac:dyDescent="0.2">
      <c r="A2" s="26"/>
      <c r="B2" s="27"/>
      <c r="C2" s="28"/>
      <c r="D2" s="28"/>
      <c r="E2" s="28"/>
      <c r="F2" s="29"/>
      <c r="G2" s="29"/>
    </row>
    <row r="3" spans="1:8" x14ac:dyDescent="0.2">
      <c r="A3" s="14" t="s">
        <v>352</v>
      </c>
      <c r="B3" s="14">
        <v>10</v>
      </c>
      <c r="C3" s="14">
        <v>50</v>
      </c>
      <c r="D3" s="14">
        <v>100</v>
      </c>
      <c r="E3" s="14">
        <v>1000</v>
      </c>
      <c r="F3" s="15">
        <v>10000</v>
      </c>
      <c r="G3" s="14"/>
    </row>
    <row r="4" spans="1:8" ht="97" thickBot="1" x14ac:dyDescent="0.25">
      <c r="A4" s="14">
        <v>10</v>
      </c>
      <c r="B4" s="17" t="s">
        <v>328</v>
      </c>
      <c r="C4" s="18" t="s">
        <v>330</v>
      </c>
      <c r="D4" s="18" t="s">
        <v>331</v>
      </c>
      <c r="E4" s="25" t="s">
        <v>333</v>
      </c>
      <c r="F4" s="25" t="s">
        <v>335</v>
      </c>
      <c r="G4" s="14"/>
    </row>
    <row r="5" spans="1:8" ht="98" thickTop="1" thickBot="1" x14ac:dyDescent="0.25">
      <c r="A5" s="14">
        <v>100</v>
      </c>
      <c r="B5" s="24" t="s">
        <v>329</v>
      </c>
      <c r="C5" s="24" t="s">
        <v>329</v>
      </c>
      <c r="D5" s="34" t="s">
        <v>332</v>
      </c>
      <c r="E5" s="64" t="s">
        <v>334</v>
      </c>
      <c r="F5" s="19" t="s">
        <v>336</v>
      </c>
      <c r="G5" s="14"/>
      <c r="H5" s="42" t="s">
        <v>363</v>
      </c>
    </row>
    <row r="6" spans="1:8" ht="98" thickTop="1" thickBot="1" x14ac:dyDescent="0.25">
      <c r="A6" s="14">
        <v>200</v>
      </c>
      <c r="B6" s="33" t="s">
        <v>344</v>
      </c>
      <c r="C6" s="51" t="s">
        <v>343</v>
      </c>
      <c r="D6" s="14"/>
      <c r="E6" s="65" t="s">
        <v>416</v>
      </c>
      <c r="F6" s="14"/>
      <c r="G6" s="14"/>
    </row>
    <row r="7" spans="1:8" ht="98" thickTop="1" thickBot="1" x14ac:dyDescent="0.25">
      <c r="A7" s="14">
        <v>300</v>
      </c>
      <c r="B7" s="35" t="s">
        <v>337</v>
      </c>
      <c r="C7" s="52" t="s">
        <v>338</v>
      </c>
      <c r="D7" s="14"/>
      <c r="E7" s="65" t="s">
        <v>417</v>
      </c>
      <c r="F7" s="14"/>
      <c r="G7" s="14"/>
    </row>
    <row r="8" spans="1:8" ht="98" thickTop="1" thickBot="1" x14ac:dyDescent="0.25">
      <c r="A8" s="14">
        <v>400</v>
      </c>
      <c r="B8" s="36" t="s">
        <v>339</v>
      </c>
      <c r="C8" s="53" t="s">
        <v>340</v>
      </c>
      <c r="D8" s="14"/>
      <c r="E8" s="65" t="s">
        <v>418</v>
      </c>
      <c r="F8" s="14"/>
      <c r="G8" s="14"/>
    </row>
    <row r="9" spans="1:8" ht="98" thickTop="1" thickBot="1" x14ac:dyDescent="0.25">
      <c r="A9" s="14">
        <v>500</v>
      </c>
      <c r="B9" s="36" t="s">
        <v>341</v>
      </c>
      <c r="C9" s="53" t="s">
        <v>342</v>
      </c>
      <c r="D9" s="14"/>
      <c r="E9" s="65" t="s">
        <v>419</v>
      </c>
      <c r="F9" s="14"/>
      <c r="G9" s="14"/>
    </row>
    <row r="10" spans="1:8" ht="98" thickTop="1" thickBot="1" x14ac:dyDescent="0.25">
      <c r="A10" s="40">
        <v>1000</v>
      </c>
      <c r="B10" s="41" t="s">
        <v>361</v>
      </c>
      <c r="C10" s="41" t="s">
        <v>362</v>
      </c>
      <c r="E10" s="65" t="s">
        <v>420</v>
      </c>
    </row>
    <row r="11" spans="1:8" ht="17" thickTop="1" x14ac:dyDescent="0.2"/>
    <row r="12" spans="1:8" s="38" customFormat="1" x14ac:dyDescent="0.2"/>
    <row r="13" spans="1:8" s="38" customFormat="1" x14ac:dyDescent="0.2">
      <c r="A13" s="38" t="s">
        <v>351</v>
      </c>
    </row>
    <row r="15" spans="1:8" x14ac:dyDescent="0.2">
      <c r="A15" s="12" t="s">
        <v>310</v>
      </c>
      <c r="B15" s="13" t="s">
        <v>311</v>
      </c>
      <c r="C15" s="30" t="s">
        <v>315</v>
      </c>
    </row>
    <row r="16" spans="1:8" x14ac:dyDescent="0.2">
      <c r="A16" s="26"/>
      <c r="B16" s="27"/>
      <c r="C16" s="28"/>
    </row>
    <row r="17" spans="1:3" x14ac:dyDescent="0.2">
      <c r="A17" s="14" t="s">
        <v>358</v>
      </c>
      <c r="B17" s="14">
        <v>10</v>
      </c>
      <c r="C17" s="14">
        <v>50</v>
      </c>
    </row>
    <row r="18" spans="1:3" x14ac:dyDescent="0.2">
      <c r="A18" s="14"/>
      <c r="B18" s="17"/>
      <c r="C18" s="18"/>
    </row>
    <row r="19" spans="1:3" x14ac:dyDescent="0.2">
      <c r="A19" s="14"/>
      <c r="B19" s="24"/>
      <c r="C19" s="24"/>
    </row>
    <row r="20" spans="1:3" ht="97" thickBot="1" x14ac:dyDescent="0.25">
      <c r="A20" s="14">
        <v>200</v>
      </c>
      <c r="B20" s="33" t="s">
        <v>353</v>
      </c>
      <c r="C20" s="33" t="s">
        <v>350</v>
      </c>
    </row>
    <row r="21" spans="1:3" ht="98" thickTop="1" thickBot="1" x14ac:dyDescent="0.25">
      <c r="A21" s="14">
        <v>300</v>
      </c>
      <c r="B21" s="35" t="s">
        <v>354</v>
      </c>
      <c r="C21" s="35" t="s">
        <v>357</v>
      </c>
    </row>
    <row r="22" spans="1:3" ht="98" thickTop="1" thickBot="1" x14ac:dyDescent="0.25">
      <c r="A22" s="14">
        <v>400</v>
      </c>
      <c r="B22" s="36" t="s">
        <v>355</v>
      </c>
      <c r="C22" s="36" t="s">
        <v>359</v>
      </c>
    </row>
    <row r="23" spans="1:3" ht="98" thickTop="1" thickBot="1" x14ac:dyDescent="0.25">
      <c r="A23" s="14">
        <v>500</v>
      </c>
      <c r="B23" s="36" t="s">
        <v>356</v>
      </c>
      <c r="C23" s="37" t="s">
        <v>360</v>
      </c>
    </row>
    <row r="24" spans="1:3" ht="17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6372-F06F-495D-AFB2-71D43341EFE4}">
  <dimension ref="A1:R139"/>
  <sheetViews>
    <sheetView zoomScale="125" zoomScaleNormal="130" workbookViewId="0">
      <selection activeCell="D19" sqref="D19"/>
    </sheetView>
  </sheetViews>
  <sheetFormatPr baseColWidth="10" defaultRowHeight="16" x14ac:dyDescent="0.2"/>
  <cols>
    <col min="1" max="1" width="11" customWidth="1"/>
    <col min="2" max="2" width="47.1640625" customWidth="1"/>
    <col min="3" max="3" width="21.6640625" customWidth="1"/>
    <col min="9" max="9" width="16.5" customWidth="1"/>
    <col min="12" max="12" width="28.1640625" customWidth="1"/>
    <col min="13" max="13" width="13.5" customWidth="1"/>
  </cols>
  <sheetData>
    <row r="1" spans="1:13" x14ac:dyDescent="0.2">
      <c r="A1" s="14" t="s">
        <v>312</v>
      </c>
      <c r="B1" s="14" t="s">
        <v>313</v>
      </c>
      <c r="C1" s="22" t="s">
        <v>379</v>
      </c>
      <c r="D1" s="23"/>
      <c r="E1" s="31"/>
      <c r="G1" s="55" t="s">
        <v>380</v>
      </c>
    </row>
    <row r="2" spans="1:13" ht="51" customHeight="1" x14ac:dyDescent="0.2">
      <c r="B2" s="54" t="s">
        <v>377</v>
      </c>
      <c r="C2" s="16" t="s">
        <v>314</v>
      </c>
      <c r="I2" t="s">
        <v>394</v>
      </c>
      <c r="L2" t="s">
        <v>409</v>
      </c>
    </row>
    <row r="3" spans="1:13" x14ac:dyDescent="0.2">
      <c r="A3" s="14">
        <v>1</v>
      </c>
      <c r="B3" s="14" t="s">
        <v>316</v>
      </c>
      <c r="C3">
        <v>856</v>
      </c>
      <c r="I3" t="s">
        <v>388</v>
      </c>
      <c r="J3">
        <v>1</v>
      </c>
      <c r="L3" t="s">
        <v>396</v>
      </c>
      <c r="M3">
        <v>5</v>
      </c>
    </row>
    <row r="4" spans="1:13" x14ac:dyDescent="0.2">
      <c r="C4" s="4" t="s">
        <v>326</v>
      </c>
      <c r="I4" t="s">
        <v>391</v>
      </c>
      <c r="J4">
        <v>1</v>
      </c>
      <c r="L4" t="s">
        <v>400</v>
      </c>
      <c r="M4">
        <v>5</v>
      </c>
    </row>
    <row r="5" spans="1:13" x14ac:dyDescent="0.2">
      <c r="C5" s="4" t="s">
        <v>327</v>
      </c>
      <c r="I5" t="s">
        <v>389</v>
      </c>
      <c r="J5">
        <v>6</v>
      </c>
      <c r="L5" s="60" t="s">
        <v>403</v>
      </c>
      <c r="M5">
        <v>5</v>
      </c>
    </row>
    <row r="6" spans="1:13" x14ac:dyDescent="0.2">
      <c r="C6" s="14"/>
      <c r="I6" t="s">
        <v>390</v>
      </c>
      <c r="J6">
        <v>6</v>
      </c>
      <c r="L6" t="s">
        <v>399</v>
      </c>
      <c r="M6">
        <v>5</v>
      </c>
    </row>
    <row r="7" spans="1:13" x14ac:dyDescent="0.2">
      <c r="A7" s="14">
        <v>2</v>
      </c>
      <c r="B7" s="14" t="s">
        <v>366</v>
      </c>
      <c r="C7" s="15">
        <v>1173</v>
      </c>
      <c r="I7" t="s">
        <v>392</v>
      </c>
      <c r="J7">
        <v>6</v>
      </c>
      <c r="L7" s="60" t="s">
        <v>402</v>
      </c>
      <c r="M7">
        <v>5</v>
      </c>
    </row>
    <row r="8" spans="1:13" x14ac:dyDescent="0.2">
      <c r="A8" s="14"/>
      <c r="B8" s="14"/>
      <c r="C8" s="4" t="s">
        <v>326</v>
      </c>
      <c r="I8" t="s">
        <v>393</v>
      </c>
      <c r="J8">
        <v>6</v>
      </c>
      <c r="L8" t="s">
        <v>395</v>
      </c>
      <c r="M8">
        <v>5</v>
      </c>
    </row>
    <row r="9" spans="1:13" x14ac:dyDescent="0.2">
      <c r="A9" s="14"/>
      <c r="B9" s="14"/>
      <c r="C9" s="4" t="s">
        <v>327</v>
      </c>
      <c r="L9" t="s">
        <v>397</v>
      </c>
      <c r="M9">
        <v>5</v>
      </c>
    </row>
    <row r="10" spans="1:13" x14ac:dyDescent="0.2">
      <c r="A10" s="14">
        <v>3</v>
      </c>
      <c r="B10" s="14" t="s">
        <v>367</v>
      </c>
      <c r="C10" s="15">
        <v>1690</v>
      </c>
      <c r="E10">
        <v>607</v>
      </c>
      <c r="F10">
        <v>433</v>
      </c>
      <c r="G10">
        <v>477</v>
      </c>
      <c r="L10" t="s">
        <v>398</v>
      </c>
      <c r="M10">
        <v>5</v>
      </c>
    </row>
    <row r="11" spans="1:13" x14ac:dyDescent="0.2">
      <c r="A11" s="14"/>
      <c r="B11" s="14"/>
      <c r="C11" s="4" t="s">
        <v>326</v>
      </c>
      <c r="E11" s="4" t="s">
        <v>326</v>
      </c>
      <c r="F11" s="4" t="s">
        <v>326</v>
      </c>
      <c r="G11" s="4" t="s">
        <v>326</v>
      </c>
      <c r="L11" t="s">
        <v>401</v>
      </c>
      <c r="M11">
        <v>5</v>
      </c>
    </row>
    <row r="12" spans="1:13" x14ac:dyDescent="0.2">
      <c r="A12" s="14"/>
      <c r="B12" s="14"/>
      <c r="C12" s="4" t="s">
        <v>327</v>
      </c>
      <c r="E12" s="4" t="s">
        <v>327</v>
      </c>
      <c r="F12" s="4" t="s">
        <v>327</v>
      </c>
      <c r="G12" s="4" t="s">
        <v>327</v>
      </c>
      <c r="L12" t="s">
        <v>404</v>
      </c>
      <c r="M12">
        <v>5</v>
      </c>
    </row>
    <row r="13" spans="1:13" x14ac:dyDescent="0.2">
      <c r="A13" s="14">
        <v>4</v>
      </c>
      <c r="B13" s="14" t="s">
        <v>368</v>
      </c>
      <c r="C13" s="15">
        <v>2062</v>
      </c>
      <c r="L13" s="60" t="s">
        <v>405</v>
      </c>
      <c r="M13">
        <v>5</v>
      </c>
    </row>
    <row r="14" spans="1:13" x14ac:dyDescent="0.2">
      <c r="A14" s="14"/>
      <c r="B14" s="14"/>
      <c r="C14" s="4" t="s">
        <v>326</v>
      </c>
      <c r="L14" t="s">
        <v>406</v>
      </c>
      <c r="M14">
        <v>5</v>
      </c>
    </row>
    <row r="15" spans="1:13" x14ac:dyDescent="0.2">
      <c r="B15" s="14"/>
      <c r="C15" s="4" t="s">
        <v>327</v>
      </c>
      <c r="L15" s="60" t="s">
        <v>407</v>
      </c>
      <c r="M15">
        <v>5</v>
      </c>
    </row>
    <row r="16" spans="1:13" x14ac:dyDescent="0.2">
      <c r="B16" s="14"/>
      <c r="C16" s="4"/>
      <c r="L16" t="s">
        <v>408</v>
      </c>
      <c r="M16">
        <v>5</v>
      </c>
    </row>
    <row r="17" spans="1:18" s="50" customFormat="1" x14ac:dyDescent="0.2"/>
    <row r="18" spans="1:18" ht="69" customHeight="1" x14ac:dyDescent="0.2">
      <c r="B18" s="58" t="s">
        <v>387</v>
      </c>
    </row>
    <row r="19" spans="1:18" x14ac:dyDescent="0.2">
      <c r="B19" s="57" t="s">
        <v>382</v>
      </c>
      <c r="D19" s="4">
        <f>500/0.860962</f>
        <v>580.7457239692344</v>
      </c>
      <c r="E19" s="4">
        <f>500/0.5270889919</f>
        <v>948.60641691196736</v>
      </c>
      <c r="F19" s="4">
        <f>500/0.5227403651</f>
        <v>956.49778242082039</v>
      </c>
      <c r="G19" s="4">
        <f>500/0.4596822513</f>
        <v>1087.7078646956236</v>
      </c>
    </row>
    <row r="20" spans="1:18" x14ac:dyDescent="0.2">
      <c r="B20" s="14"/>
      <c r="D20" s="4">
        <f>500/0.515761</f>
        <v>969.44127221717031</v>
      </c>
      <c r="E20" s="4">
        <f>500/0.3156988171</f>
        <v>1583.7880059006407</v>
      </c>
      <c r="F20" s="4">
        <f>500/0.372321503</f>
        <v>1342.9253910161617</v>
      </c>
      <c r="G20" s="4">
        <f>500/0.3053610677</f>
        <v>1637.4058545381488</v>
      </c>
    </row>
    <row r="21" spans="1:18" x14ac:dyDescent="0.2">
      <c r="B21" s="14"/>
      <c r="D21" s="4">
        <f>500/0.533675</f>
        <v>936.89979856654327</v>
      </c>
      <c r="E21" s="4">
        <f>500/0.391769951</f>
        <v>1276.2591891586908</v>
      </c>
      <c r="F21" s="4">
        <f>500/0.2948162468</f>
        <v>1695.97166176257</v>
      </c>
      <c r="G21" s="4">
        <f>500/0.3079036445</f>
        <v>1623.8846435609501</v>
      </c>
    </row>
    <row r="22" spans="1:18" x14ac:dyDescent="0.2">
      <c r="B22" s="14"/>
      <c r="C22" t="s">
        <v>383</v>
      </c>
      <c r="D22" s="56">
        <f>AVERAGE(D19:D21)</f>
        <v>829.02893158431596</v>
      </c>
      <c r="E22" s="56">
        <f>AVERAGE(E19:E21)</f>
        <v>1269.5512039904329</v>
      </c>
      <c r="F22" s="56">
        <f>AVERAGE(F19:F21)</f>
        <v>1331.7982783998507</v>
      </c>
      <c r="G22" s="56">
        <f>AVERAGE(G19:G21)</f>
        <v>1449.6661209315741</v>
      </c>
    </row>
    <row r="23" spans="1:18" x14ac:dyDescent="0.2">
      <c r="A23" s="14"/>
      <c r="B23" s="14"/>
      <c r="C23" t="s">
        <v>385</v>
      </c>
      <c r="D23">
        <f>AVERAGE(D20:D21)</f>
        <v>953.17053539185679</v>
      </c>
      <c r="E23">
        <f>AVERAGE(E20:E21)</f>
        <v>1430.0235975296657</v>
      </c>
      <c r="F23">
        <f>AVERAGE(F20:F21)</f>
        <v>1519.4485263893657</v>
      </c>
      <c r="G23">
        <f>AVERAGE(G20:G21)</f>
        <v>1630.6452490495494</v>
      </c>
    </row>
    <row r="24" spans="1:18" x14ac:dyDescent="0.2">
      <c r="A24" s="14"/>
      <c r="B24" s="14"/>
      <c r="D24">
        <v>5</v>
      </c>
      <c r="E24">
        <v>10</v>
      </c>
      <c r="F24">
        <v>15</v>
      </c>
      <c r="G24">
        <v>20</v>
      </c>
      <c r="H24">
        <v>25</v>
      </c>
      <c r="I24">
        <v>30</v>
      </c>
    </row>
    <row r="25" spans="1:18" x14ac:dyDescent="0.2">
      <c r="A25" s="14"/>
      <c r="B25" s="14"/>
    </row>
    <row r="26" spans="1:18" x14ac:dyDescent="0.2">
      <c r="A26" s="14"/>
      <c r="B26" s="14"/>
      <c r="M26" t="s">
        <v>430</v>
      </c>
      <c r="N26" s="4" t="s">
        <v>410</v>
      </c>
    </row>
    <row r="27" spans="1:18" x14ac:dyDescent="0.2">
      <c r="A27" s="14"/>
      <c r="B27" s="14"/>
      <c r="N27">
        <f>1000/1.01922423</f>
        <v>981.13837030738557</v>
      </c>
      <c r="P27">
        <f>1000/0.855674848</f>
        <v>1168.6682182342233</v>
      </c>
      <c r="R27">
        <f>1000/0.7170806426</f>
        <v>1394.5432920545552</v>
      </c>
    </row>
    <row r="28" spans="1:18" x14ac:dyDescent="0.2">
      <c r="A28" s="14"/>
      <c r="B28" s="57" t="s">
        <v>384</v>
      </c>
      <c r="D28">
        <v>5</v>
      </c>
      <c r="E28">
        <v>10</v>
      </c>
      <c r="F28">
        <v>15</v>
      </c>
      <c r="G28">
        <v>20</v>
      </c>
      <c r="N28">
        <f>1000/0.5116155864</f>
        <v>1954.5925233367752</v>
      </c>
      <c r="P28">
        <f>1000/0.3615939156</f>
        <v>2765.5332594318688</v>
      </c>
      <c r="R28">
        <f>1000/0.3456229128</f>
        <v>2893.3266949771505</v>
      </c>
    </row>
    <row r="29" spans="1:18" x14ac:dyDescent="0.2">
      <c r="A29" s="14"/>
      <c r="B29" s="14"/>
      <c r="E29">
        <f>1000/0.701624672</f>
        <v>1425.263449116567</v>
      </c>
      <c r="F29">
        <f>1000/0.6728932327</f>
        <v>1486.1198647926303</v>
      </c>
      <c r="G29">
        <f>1000/0.6186236883</f>
        <v>1616.491606954198</v>
      </c>
      <c r="N29">
        <f>1000/0.3352036516</f>
        <v>2983.2610570522797</v>
      </c>
      <c r="P29">
        <f>1000/0.3715524565</f>
        <v>2691.4100082123932</v>
      </c>
      <c r="R29" s="60">
        <f>1000/0.2852358967</f>
        <v>3505.8700940848307</v>
      </c>
    </row>
    <row r="30" spans="1:18" x14ac:dyDescent="0.2">
      <c r="A30" s="14"/>
      <c r="B30" s="14"/>
      <c r="E30">
        <f>1000/0.3765979543</f>
        <v>2655.3516517601543</v>
      </c>
      <c r="F30">
        <f>1000/0.3510498921</f>
        <v>2848.5979415004072</v>
      </c>
      <c r="G30" s="60">
        <f>1000/0.2809282083</f>
        <v>3559.6282981028075</v>
      </c>
      <c r="L30" t="s">
        <v>428</v>
      </c>
      <c r="N30" s="60">
        <f>1000/0.3226609927</f>
        <v>3099.2280524276712</v>
      </c>
      <c r="P30" s="60">
        <f>1000/0.301625234</f>
        <v>3315.3724797441846</v>
      </c>
      <c r="R30">
        <f>1000/0.3537988218</f>
        <v>2826.4650371427551</v>
      </c>
    </row>
    <row r="31" spans="1:18" x14ac:dyDescent="0.2">
      <c r="A31" s="14"/>
      <c r="B31" s="14"/>
      <c r="E31" s="60">
        <f>1000/0.2889600067</f>
        <v>3460.686519979929</v>
      </c>
      <c r="F31">
        <f>1000/0.5070705475</f>
        <v>1972.1121743912763</v>
      </c>
      <c r="G31">
        <f>1000/0.4075460723</f>
        <v>2453.710311466054</v>
      </c>
      <c r="N31">
        <f>1000/0.4937633473</f>
        <v>2025.2617077962684</v>
      </c>
      <c r="P31">
        <f>1000/0.344628182</f>
        <v>2901.6779596974457</v>
      </c>
      <c r="R31">
        <f>1000/0.3378644953</f>
        <v>2959.7664564075312</v>
      </c>
    </row>
    <row r="32" spans="1:18" x14ac:dyDescent="0.2">
      <c r="A32" s="14"/>
      <c r="B32" s="14"/>
      <c r="C32" t="s">
        <v>386</v>
      </c>
      <c r="D32" s="59"/>
      <c r="E32" s="59">
        <f>AVERAGE(E29:E31)</f>
        <v>2513.7672069522164</v>
      </c>
      <c r="F32" s="59">
        <f t="shared" ref="F32:G32" si="0">AVERAGE(F29:F31)</f>
        <v>2102.2766602281049</v>
      </c>
      <c r="G32" s="59">
        <f t="shared" si="0"/>
        <v>2543.2767388410198</v>
      </c>
      <c r="N32">
        <f>1000/0.721639114</f>
        <v>1385.7341995461736</v>
      </c>
      <c r="P32">
        <f>1000/0.4716013194</f>
        <v>2120.4351193763855</v>
      </c>
      <c r="R32">
        <f>1000/0.4685385776</f>
        <v>2134.2959743513766</v>
      </c>
    </row>
    <row r="33" spans="1:18" x14ac:dyDescent="0.2">
      <c r="A33" s="14"/>
      <c r="B33" s="14"/>
      <c r="C33" t="s">
        <v>385</v>
      </c>
      <c r="E33">
        <f>AVERAGE(E30:E31)</f>
        <v>3058.0190858700416</v>
      </c>
      <c r="F33">
        <f t="shared" ref="F33:G33" si="1">AVERAGE(F30:F31)</f>
        <v>2410.3550579458415</v>
      </c>
      <c r="G33">
        <f t="shared" si="1"/>
        <v>3006.669304784431</v>
      </c>
    </row>
    <row r="34" spans="1:18" x14ac:dyDescent="0.2">
      <c r="A34" s="14"/>
      <c r="B34" s="14"/>
    </row>
    <row r="35" spans="1:18" x14ac:dyDescent="0.2">
      <c r="A35" s="14"/>
      <c r="B35" s="14"/>
      <c r="D35">
        <v>5</v>
      </c>
      <c r="E35">
        <v>10</v>
      </c>
      <c r="F35">
        <v>15</v>
      </c>
      <c r="G35">
        <v>20</v>
      </c>
      <c r="N35">
        <v>5</v>
      </c>
      <c r="O35">
        <v>10</v>
      </c>
      <c r="P35">
        <v>15</v>
      </c>
      <c r="Q35">
        <v>20</v>
      </c>
      <c r="R35">
        <v>25</v>
      </c>
    </row>
    <row r="36" spans="1:18" s="50" customFormat="1" x14ac:dyDescent="0.2">
      <c r="A36" s="48"/>
      <c r="B36" s="48"/>
      <c r="C36" s="49"/>
    </row>
    <row r="37" spans="1:18" x14ac:dyDescent="0.2">
      <c r="A37" s="14"/>
      <c r="B37" s="14"/>
      <c r="C37" s="4"/>
    </row>
    <row r="38" spans="1:18" x14ac:dyDescent="0.2">
      <c r="A38" s="14"/>
      <c r="B38" s="54" t="s">
        <v>377</v>
      </c>
      <c r="C38" s="4"/>
    </row>
    <row r="39" spans="1:18" x14ac:dyDescent="0.2">
      <c r="A39" s="14">
        <v>1</v>
      </c>
      <c r="B39" s="14" t="s">
        <v>381</v>
      </c>
      <c r="C39" s="16"/>
    </row>
    <row r="41" spans="1:18" x14ac:dyDescent="0.2">
      <c r="A41" s="14"/>
      <c r="B41" s="14"/>
    </row>
    <row r="42" spans="1:18" x14ac:dyDescent="0.2">
      <c r="A42" s="14"/>
      <c r="B42" s="14"/>
    </row>
    <row r="43" spans="1:18" x14ac:dyDescent="0.2">
      <c r="A43" s="14">
        <v>2</v>
      </c>
      <c r="B43" s="14" t="s">
        <v>319</v>
      </c>
      <c r="C43" s="39"/>
      <c r="H43">
        <v>573</v>
      </c>
    </row>
    <row r="44" spans="1:18" x14ac:dyDescent="0.2">
      <c r="A44" s="14"/>
      <c r="B44" s="14"/>
      <c r="C44" s="4"/>
    </row>
    <row r="45" spans="1:18" x14ac:dyDescent="0.2">
      <c r="A45" s="14"/>
      <c r="B45" s="14"/>
      <c r="C45" s="4"/>
    </row>
    <row r="46" spans="1:18" x14ac:dyDescent="0.2">
      <c r="A46" s="14">
        <v>3</v>
      </c>
      <c r="B46" s="14" t="s">
        <v>374</v>
      </c>
      <c r="C46" s="15"/>
    </row>
    <row r="47" spans="1:18" x14ac:dyDescent="0.2">
      <c r="A47" s="14"/>
      <c r="B47" s="14"/>
      <c r="C47" s="4"/>
    </row>
    <row r="48" spans="1:18" x14ac:dyDescent="0.2">
      <c r="A48" s="14"/>
      <c r="B48" s="14"/>
      <c r="C48" s="4"/>
    </row>
    <row r="49" spans="1:8" x14ac:dyDescent="0.2">
      <c r="A49" s="14">
        <v>4</v>
      </c>
      <c r="B49" s="14" t="s">
        <v>375</v>
      </c>
      <c r="C49" s="15"/>
    </row>
    <row r="50" spans="1:8" x14ac:dyDescent="0.2">
      <c r="A50" s="14"/>
      <c r="B50" s="14"/>
      <c r="C50" s="4"/>
    </row>
    <row r="51" spans="1:8" x14ac:dyDescent="0.2">
      <c r="A51" s="14"/>
      <c r="B51" s="14"/>
      <c r="C51" s="4"/>
    </row>
    <row r="52" spans="1:8" x14ac:dyDescent="0.2">
      <c r="A52" s="14">
        <v>5</v>
      </c>
      <c r="B52" s="14" t="s">
        <v>376</v>
      </c>
    </row>
    <row r="53" spans="1:8" x14ac:dyDescent="0.2">
      <c r="A53" s="14"/>
      <c r="B53" s="14"/>
      <c r="C53" s="4"/>
    </row>
    <row r="54" spans="1:8" x14ac:dyDescent="0.2">
      <c r="A54" s="14"/>
      <c r="B54" s="14"/>
      <c r="C54" s="4"/>
    </row>
    <row r="55" spans="1:8" x14ac:dyDescent="0.2">
      <c r="A55" s="14"/>
      <c r="B55" s="14"/>
      <c r="C55" s="4"/>
      <c r="E55" t="s">
        <v>370</v>
      </c>
      <c r="F55" t="s">
        <v>372</v>
      </c>
      <c r="G55" t="s">
        <v>371</v>
      </c>
      <c r="H55" t="s">
        <v>373</v>
      </c>
    </row>
    <row r="56" spans="1:8" x14ac:dyDescent="0.2">
      <c r="A56" s="14"/>
      <c r="B56" s="14"/>
      <c r="C56" s="14"/>
    </row>
    <row r="57" spans="1:8" s="32" customFormat="1" x14ac:dyDescent="0.2"/>
    <row r="58" spans="1:8" x14ac:dyDescent="0.2">
      <c r="A58" s="14"/>
      <c r="B58" s="14"/>
      <c r="C58" s="16"/>
    </row>
    <row r="60" spans="1:8" x14ac:dyDescent="0.2">
      <c r="A60" s="14"/>
      <c r="B60" s="54" t="s">
        <v>378</v>
      </c>
    </row>
    <row r="61" spans="1:8" x14ac:dyDescent="0.2">
      <c r="A61" s="14"/>
      <c r="B61" s="14"/>
    </row>
    <row r="62" spans="1:8" x14ac:dyDescent="0.2">
      <c r="A62" s="14">
        <v>2</v>
      </c>
      <c r="B62" s="14" t="s">
        <v>316</v>
      </c>
      <c r="C62" s="39">
        <v>1774</v>
      </c>
    </row>
    <row r="63" spans="1:8" x14ac:dyDescent="0.2">
      <c r="A63" s="14"/>
      <c r="B63" s="14"/>
      <c r="C63" s="4" t="s">
        <v>326</v>
      </c>
    </row>
    <row r="64" spans="1:8" x14ac:dyDescent="0.2">
      <c r="A64" s="14"/>
      <c r="B64" s="14"/>
      <c r="C64" s="4" t="s">
        <v>327</v>
      </c>
      <c r="E64" t="s">
        <v>411</v>
      </c>
    </row>
    <row r="65" spans="1:8" x14ac:dyDescent="0.2">
      <c r="A65" s="14">
        <v>3</v>
      </c>
      <c r="B65" s="14" t="s">
        <v>366</v>
      </c>
      <c r="C65" s="15">
        <v>3983</v>
      </c>
    </row>
    <row r="66" spans="1:8" x14ac:dyDescent="0.2">
      <c r="A66" s="14"/>
      <c r="B66" s="14"/>
      <c r="C66" s="4" t="s">
        <v>326</v>
      </c>
    </row>
    <row r="67" spans="1:8" x14ac:dyDescent="0.2">
      <c r="A67" s="14"/>
      <c r="B67" s="14"/>
      <c r="C67" s="4" t="s">
        <v>327</v>
      </c>
    </row>
    <row r="68" spans="1:8" x14ac:dyDescent="0.2">
      <c r="A68" s="14">
        <v>4</v>
      </c>
      <c r="B68" s="14" t="s">
        <v>367</v>
      </c>
      <c r="C68" s="15">
        <v>3030</v>
      </c>
    </row>
    <row r="69" spans="1:8" x14ac:dyDescent="0.2">
      <c r="A69" s="14"/>
      <c r="B69" s="14"/>
      <c r="C69" s="4" t="s">
        <v>326</v>
      </c>
    </row>
    <row r="70" spans="1:8" x14ac:dyDescent="0.2">
      <c r="A70" s="14"/>
      <c r="B70" s="14"/>
      <c r="C70" s="4" t="s">
        <v>327</v>
      </c>
    </row>
    <row r="71" spans="1:8" x14ac:dyDescent="0.2">
      <c r="A71" s="61">
        <v>5</v>
      </c>
      <c r="B71" s="14" t="s">
        <v>368</v>
      </c>
      <c r="C71">
        <v>3787.8787878787798</v>
      </c>
    </row>
    <row r="72" spans="1:8" x14ac:dyDescent="0.2">
      <c r="A72" s="14"/>
      <c r="B72" s="14"/>
      <c r="C72" s="4" t="s">
        <v>326</v>
      </c>
      <c r="E72" t="s">
        <v>370</v>
      </c>
      <c r="F72" t="s">
        <v>372</v>
      </c>
      <c r="G72" t="s">
        <v>371</v>
      </c>
      <c r="H72" t="s">
        <v>373</v>
      </c>
    </row>
    <row r="73" spans="1:8" x14ac:dyDescent="0.2">
      <c r="A73" s="14"/>
      <c r="B73" s="14"/>
      <c r="C73" s="4" t="s">
        <v>327</v>
      </c>
    </row>
    <row r="74" spans="1:8" s="32" customFormat="1" x14ac:dyDescent="0.2"/>
    <row r="75" spans="1:8" x14ac:dyDescent="0.2">
      <c r="A75" s="14">
        <v>1</v>
      </c>
      <c r="B75" s="62" t="s">
        <v>345</v>
      </c>
      <c r="C75" s="16">
        <v>799</v>
      </c>
    </row>
    <row r="76" spans="1:8" x14ac:dyDescent="0.2">
      <c r="C76" s="4" t="s">
        <v>326</v>
      </c>
    </row>
    <row r="77" spans="1:8" x14ac:dyDescent="0.2">
      <c r="A77" s="14"/>
      <c r="B77" s="14"/>
      <c r="C77" s="4" t="s">
        <v>327</v>
      </c>
    </row>
    <row r="78" spans="1:8" x14ac:dyDescent="0.2">
      <c r="A78" s="14"/>
      <c r="B78" s="14"/>
      <c r="C78" s="14"/>
    </row>
    <row r="79" spans="1:8" x14ac:dyDescent="0.2">
      <c r="A79" s="14">
        <v>2</v>
      </c>
      <c r="B79" s="62" t="s">
        <v>412</v>
      </c>
    </row>
    <row r="80" spans="1:8" x14ac:dyDescent="0.2">
      <c r="A80" s="14"/>
      <c r="B80" s="14"/>
    </row>
    <row r="81" spans="1:3" x14ac:dyDescent="0.2">
      <c r="A81" s="14"/>
      <c r="B81" s="14"/>
    </row>
    <row r="82" spans="1:3" x14ac:dyDescent="0.2">
      <c r="A82" s="14">
        <v>3</v>
      </c>
      <c r="B82" s="62" t="s">
        <v>413</v>
      </c>
      <c r="C82" s="14"/>
    </row>
    <row r="83" spans="1:3" x14ac:dyDescent="0.2">
      <c r="A83" s="14">
        <v>4</v>
      </c>
      <c r="B83" s="62" t="s">
        <v>414</v>
      </c>
      <c r="C83" s="14"/>
    </row>
    <row r="84" spans="1:3" x14ac:dyDescent="0.2">
      <c r="A84" s="63">
        <v>5</v>
      </c>
      <c r="B84" s="62" t="s">
        <v>415</v>
      </c>
    </row>
    <row r="85" spans="1:3" x14ac:dyDescent="0.2">
      <c r="A85" s="14"/>
      <c r="B85" s="14"/>
    </row>
    <row r="86" spans="1:3" s="32" customFormat="1" x14ac:dyDescent="0.2"/>
    <row r="87" spans="1:3" x14ac:dyDescent="0.2">
      <c r="A87" s="14">
        <v>1</v>
      </c>
      <c r="B87" s="14" t="s">
        <v>346</v>
      </c>
      <c r="C87" s="44">
        <v>1173</v>
      </c>
    </row>
    <row r="88" spans="1:3" x14ac:dyDescent="0.2">
      <c r="C88" s="4" t="s">
        <v>326</v>
      </c>
    </row>
    <row r="89" spans="1:3" x14ac:dyDescent="0.2">
      <c r="A89" s="14"/>
      <c r="B89" s="14"/>
      <c r="C89" s="47" t="s">
        <v>327</v>
      </c>
    </row>
    <row r="90" spans="1:3" x14ac:dyDescent="0.2">
      <c r="A90" s="14"/>
      <c r="B90" s="14"/>
      <c r="C90" s="14"/>
    </row>
    <row r="91" spans="1:3" x14ac:dyDescent="0.2">
      <c r="A91" s="14">
        <v>2</v>
      </c>
      <c r="B91" s="14" t="s">
        <v>347</v>
      </c>
      <c r="C91" s="14"/>
    </row>
    <row r="92" spans="1:3" x14ac:dyDescent="0.2">
      <c r="A92" s="14"/>
      <c r="B92" s="14"/>
    </row>
    <row r="93" spans="1:3" x14ac:dyDescent="0.2">
      <c r="A93" s="14"/>
      <c r="B93" s="14"/>
    </row>
    <row r="94" spans="1:3" x14ac:dyDescent="0.2">
      <c r="A94" s="14">
        <v>3</v>
      </c>
      <c r="B94" s="14" t="s">
        <v>320</v>
      </c>
      <c r="C94" s="14"/>
    </row>
    <row r="95" spans="1:3" x14ac:dyDescent="0.2">
      <c r="A95" s="14">
        <v>4</v>
      </c>
      <c r="B95" s="14" t="s">
        <v>321</v>
      </c>
      <c r="C95" s="14"/>
    </row>
    <row r="96" spans="1:3" x14ac:dyDescent="0.2">
      <c r="A96" s="14">
        <v>5</v>
      </c>
      <c r="B96" s="62" t="s">
        <v>322</v>
      </c>
    </row>
    <row r="97" spans="1:3" x14ac:dyDescent="0.2">
      <c r="A97" s="14"/>
      <c r="B97" s="14"/>
    </row>
    <row r="98" spans="1:3" s="32" customFormat="1" x14ac:dyDescent="0.2"/>
    <row r="99" spans="1:3" ht="48" x14ac:dyDescent="0.2">
      <c r="A99" s="14">
        <v>1</v>
      </c>
      <c r="B99" s="14" t="s">
        <v>348</v>
      </c>
      <c r="C99" s="16" t="s">
        <v>314</v>
      </c>
    </row>
    <row r="100" spans="1:3" x14ac:dyDescent="0.2">
      <c r="A100" s="14">
        <v>2</v>
      </c>
      <c r="B100" s="14" t="s">
        <v>349</v>
      </c>
      <c r="C100" s="14"/>
    </row>
    <row r="101" spans="1:3" x14ac:dyDescent="0.2">
      <c r="A101" s="14">
        <v>3</v>
      </c>
      <c r="B101" s="14" t="s">
        <v>323</v>
      </c>
      <c r="C101" s="14"/>
    </row>
    <row r="102" spans="1:3" x14ac:dyDescent="0.2">
      <c r="A102" s="14">
        <v>4</v>
      </c>
      <c r="B102" s="14" t="s">
        <v>324</v>
      </c>
      <c r="C102" s="14"/>
    </row>
    <row r="103" spans="1:3" x14ac:dyDescent="0.2">
      <c r="A103" s="14">
        <v>5</v>
      </c>
      <c r="B103" s="14" t="s">
        <v>325</v>
      </c>
    </row>
    <row r="105" spans="1:3" s="38" customFormat="1" x14ac:dyDescent="0.2"/>
    <row r="106" spans="1:3" s="38" customFormat="1" x14ac:dyDescent="0.2">
      <c r="A106" s="38" t="s">
        <v>351</v>
      </c>
    </row>
    <row r="108" spans="1:3" x14ac:dyDescent="0.2">
      <c r="A108" s="14">
        <v>1</v>
      </c>
      <c r="B108" s="14" t="s">
        <v>316</v>
      </c>
      <c r="C108">
        <v>258</v>
      </c>
    </row>
    <row r="109" spans="1:3" x14ac:dyDescent="0.2">
      <c r="C109" s="4" t="s">
        <v>326</v>
      </c>
    </row>
    <row r="110" spans="1:3" x14ac:dyDescent="0.2">
      <c r="C110" s="4" t="s">
        <v>327</v>
      </c>
    </row>
    <row r="112" spans="1:3" x14ac:dyDescent="0.2">
      <c r="A112" s="14">
        <v>2</v>
      </c>
      <c r="B112" s="14" t="s">
        <v>366</v>
      </c>
      <c r="C112">
        <v>187</v>
      </c>
    </row>
    <row r="113" spans="1:3" x14ac:dyDescent="0.2">
      <c r="A113" s="14"/>
      <c r="B113" s="14"/>
      <c r="C113" s="4" t="s">
        <v>326</v>
      </c>
    </row>
    <row r="114" spans="1:3" x14ac:dyDescent="0.2">
      <c r="A114" s="14"/>
      <c r="B114" s="14"/>
      <c r="C114" s="4" t="s">
        <v>327</v>
      </c>
    </row>
    <row r="115" spans="1:3" x14ac:dyDescent="0.2">
      <c r="A115" s="14"/>
      <c r="B115" s="14"/>
    </row>
    <row r="116" spans="1:3" x14ac:dyDescent="0.2">
      <c r="A116" s="14">
        <v>3</v>
      </c>
      <c r="B116" s="14" t="s">
        <v>367</v>
      </c>
      <c r="C116">
        <v>211</v>
      </c>
    </row>
    <row r="117" spans="1:3" x14ac:dyDescent="0.2">
      <c r="A117" s="14"/>
      <c r="B117" s="14"/>
      <c r="C117" s="4" t="s">
        <v>326</v>
      </c>
    </row>
    <row r="118" spans="1:3" x14ac:dyDescent="0.2">
      <c r="A118" s="14"/>
      <c r="B118" s="14"/>
      <c r="C118" s="4" t="s">
        <v>327</v>
      </c>
    </row>
    <row r="119" spans="1:3" x14ac:dyDescent="0.2">
      <c r="A119" s="14"/>
      <c r="B119" s="14"/>
    </row>
    <row r="120" spans="1:3" x14ac:dyDescent="0.2">
      <c r="A120" s="14">
        <v>4</v>
      </c>
      <c r="B120" s="14" t="s">
        <v>368</v>
      </c>
      <c r="C120">
        <v>230</v>
      </c>
    </row>
    <row r="121" spans="1:3" x14ac:dyDescent="0.2">
      <c r="A121" s="14"/>
      <c r="B121" s="14"/>
      <c r="C121" s="4" t="s">
        <v>326</v>
      </c>
    </row>
    <row r="122" spans="1:3" x14ac:dyDescent="0.2">
      <c r="C122" s="4" t="s">
        <v>327</v>
      </c>
    </row>
    <row r="124" spans="1:3" s="46" customFormat="1" x14ac:dyDescent="0.2"/>
    <row r="125" spans="1:3" x14ac:dyDescent="0.2">
      <c r="A125" s="14">
        <v>1</v>
      </c>
      <c r="B125" s="14" t="s">
        <v>316</v>
      </c>
      <c r="C125">
        <v>119</v>
      </c>
    </row>
    <row r="126" spans="1:3" x14ac:dyDescent="0.2">
      <c r="C126" s="4" t="s">
        <v>326</v>
      </c>
    </row>
    <row r="127" spans="1:3" x14ac:dyDescent="0.2">
      <c r="C127" s="4" t="s">
        <v>327</v>
      </c>
    </row>
    <row r="129" spans="1:3" x14ac:dyDescent="0.2">
      <c r="A129" s="14">
        <v>2</v>
      </c>
      <c r="B129" s="14" t="s">
        <v>366</v>
      </c>
      <c r="C129">
        <v>72</v>
      </c>
    </row>
    <row r="130" spans="1:3" x14ac:dyDescent="0.2">
      <c r="A130" s="14"/>
      <c r="B130" s="14"/>
      <c r="C130" s="4" t="s">
        <v>326</v>
      </c>
    </row>
    <row r="131" spans="1:3" x14ac:dyDescent="0.2">
      <c r="A131" s="14"/>
      <c r="B131" s="14"/>
      <c r="C131" s="4" t="s">
        <v>327</v>
      </c>
    </row>
    <row r="132" spans="1:3" x14ac:dyDescent="0.2">
      <c r="A132" s="14"/>
      <c r="B132" s="14"/>
    </row>
    <row r="133" spans="1:3" x14ac:dyDescent="0.2">
      <c r="A133" s="14">
        <v>3</v>
      </c>
      <c r="B133" s="14" t="s">
        <v>367</v>
      </c>
      <c r="C133" s="4" t="s">
        <v>369</v>
      </c>
    </row>
    <row r="134" spans="1:3" x14ac:dyDescent="0.2">
      <c r="A134" s="14"/>
      <c r="B134" s="14"/>
      <c r="C134" t="s">
        <v>326</v>
      </c>
    </row>
    <row r="135" spans="1:3" x14ac:dyDescent="0.2">
      <c r="A135" s="14"/>
      <c r="B135" s="14"/>
      <c r="C135" t="s">
        <v>327</v>
      </c>
    </row>
    <row r="136" spans="1:3" x14ac:dyDescent="0.2">
      <c r="A136" s="14"/>
      <c r="B136" s="14"/>
    </row>
    <row r="137" spans="1:3" x14ac:dyDescent="0.2">
      <c r="A137" s="14">
        <v>4</v>
      </c>
      <c r="B137" s="14" t="s">
        <v>368</v>
      </c>
    </row>
    <row r="138" spans="1:3" x14ac:dyDescent="0.2">
      <c r="A138" s="14"/>
      <c r="B138" s="14"/>
      <c r="C138" t="s">
        <v>326</v>
      </c>
    </row>
    <row r="139" spans="1:3" x14ac:dyDescent="0.2">
      <c r="C139" t="s">
        <v>327</v>
      </c>
    </row>
  </sheetData>
  <hyperlinks>
    <hyperlink ref="C76" r:id="rId1" location="/NeutronNetworks.create_and_list_ports" xr:uid="{97CC62DF-2CE8-CB42-A4D9-FDAC63F230FF}"/>
    <hyperlink ref="C77" r:id="rId2" xr:uid="{3BB391B7-2E14-6A41-A890-8D4FA7C325AD}"/>
    <hyperlink ref="C88" r:id="rId3" location="/NeutronNetworks.create_and_list_ports" xr:uid="{9CD31E3B-7CA8-A149-AA2E-21F95D491150}"/>
    <hyperlink ref="C89" r:id="rId4" xr:uid="{CCDA25A7-92F0-E147-86F2-603A3393DCF1}"/>
    <hyperlink ref="C4" r:id="rId5" location="/NeutronNetworks.create_and_list_ports" xr:uid="{548D88EE-DD44-3946-A7B1-D3FF20925CFA}"/>
    <hyperlink ref="C5" r:id="rId6" xr:uid="{78852027-B249-B940-A20E-1EBC8FBE041C}"/>
    <hyperlink ref="C8" r:id="rId7" location="/NeutronNetworks.create_and_list_ports" xr:uid="{29D1E281-C5A8-6445-9B47-CF57C110C218}"/>
    <hyperlink ref="C9" r:id="rId8" xr:uid="{A8E37789-70BE-F649-B11B-FE16FF261D0F}"/>
    <hyperlink ref="C11" r:id="rId9" location="/NeutronNetworks.create_and_list_ports" xr:uid="{00139BEE-F20A-7547-8268-D398AF75A578}"/>
    <hyperlink ref="C12" r:id="rId10" xr:uid="{0AAAA9DB-BDB0-BD40-9383-94ACF9A54F6B}"/>
    <hyperlink ref="C14" r:id="rId11" location="/NeutronNetworks.create_and_list_ports" xr:uid="{4F68462C-DE4A-844E-ABC7-9D8A20AF64D6}"/>
    <hyperlink ref="C15" r:id="rId12" xr:uid="{2B1CAB22-B3E9-E549-B9E4-FF17F9AB89EA}"/>
    <hyperlink ref="C72" r:id="rId13" location="/NeutronNetworks.create_and_list_ports" xr:uid="{D6D066B4-3D65-954F-821D-8EAC9099B4BF}"/>
    <hyperlink ref="C73" r:id="rId14" xr:uid="{B17625AD-DE51-4643-8932-E41258E62745}"/>
    <hyperlink ref="C109" r:id="rId15" location="/NeutronNetworks.create_and_list_subnets" xr:uid="{7497100B-89EE-E248-A54A-BAD430E29F0C}"/>
    <hyperlink ref="C110" r:id="rId16" xr:uid="{EA9F7A15-CA84-714B-A4A6-851FAF8D71F4}"/>
    <hyperlink ref="C113" r:id="rId17" location="/NeutronNetworks.create_and_list_subnets" xr:uid="{78436DD1-B075-AE46-BA63-D4C12502166F}"/>
    <hyperlink ref="C114" r:id="rId18" xr:uid="{4AF51929-3466-A443-8517-F29D84773C7E}"/>
    <hyperlink ref="C117" r:id="rId19" location="/NeutronNetworks.create_and_list_subnets" xr:uid="{6A684E99-7FC8-3B43-A0B9-2984DD37CC8D}"/>
    <hyperlink ref="C118" r:id="rId20" xr:uid="{8EA8A1EE-1584-C541-B271-085F81EAA875}"/>
    <hyperlink ref="C121" r:id="rId21" location="/NeutronNetworks.create_and_list_subnets" xr:uid="{72B6BE29-8B17-8842-92DE-482AA6427348}"/>
    <hyperlink ref="C122" r:id="rId22" xr:uid="{B5B8FDAF-0E70-A44D-AF3D-7F101DD31894}"/>
    <hyperlink ref="C126" r:id="rId23" location="/NeutronNetworks.create_and_list_subnets" xr:uid="{2C05E09C-36E0-784A-9720-1CBB724EB12D}"/>
    <hyperlink ref="C127" r:id="rId24" xr:uid="{5E693697-68DA-6047-AE89-20A679212680}"/>
    <hyperlink ref="C130" r:id="rId25" location="/NeutronNetworks.create_and_list_subnets" xr:uid="{E7C498F9-54F2-884F-8D50-E7C956BC0478}"/>
    <hyperlink ref="C131" r:id="rId26" xr:uid="{329F80E3-EF32-0547-BEF1-70C80E8BCFB3}"/>
    <hyperlink ref="C133" r:id="rId27" location="/NeutronNetworks.create_and_list_subnets/failures" xr:uid="{187C7283-F575-7543-B8FA-56980B5F17BA}"/>
    <hyperlink ref="C70" r:id="rId28" xr:uid="{81EA9C78-F7B8-1543-ACCC-4D45C3BF86F1}"/>
    <hyperlink ref="C69" r:id="rId29" location="/NeutronNetworks.create_and_list_ports" xr:uid="{EC7F3279-4C31-5D49-8AE2-D2D137963B08}"/>
    <hyperlink ref="C67" r:id="rId30" xr:uid="{5EF48AEC-B43B-3D4A-8451-5F197DBA55D4}"/>
    <hyperlink ref="C66" r:id="rId31" location="/NeutronNetworks.create_and_list_ports" xr:uid="{3601DA1D-ED6F-894C-91F5-8C49F03E33EA}"/>
    <hyperlink ref="C64" r:id="rId32" xr:uid="{51554C45-428B-F74F-A52B-29B3B30AFC21}"/>
    <hyperlink ref="C63" r:id="rId33" location="/NeutronNetworks.create_and_list_ports" xr:uid="{4C012340-9C33-E148-B6FB-C4F960C00F95}"/>
    <hyperlink ref="G11" r:id="rId34" location="/NeutronNetworks.create_and_list_ports" xr:uid="{8F72B64E-F985-B747-9670-E050DC56C805}"/>
    <hyperlink ref="G12" r:id="rId35" xr:uid="{0E55CCE6-327B-3B44-B01A-58760BA2E221}"/>
    <hyperlink ref="F11" r:id="rId36" location="/NeutronNetworks.create_and_list_ports" xr:uid="{409F0448-CE4D-7045-B167-C1CA6E590D94}"/>
    <hyperlink ref="F12" r:id="rId37" xr:uid="{15FECC01-4312-9247-823F-37E4017E96B9}"/>
    <hyperlink ref="E11" r:id="rId38" location="/NeutronNetworks.create_and_list_ports" xr:uid="{CC305A84-9385-5145-9A7C-3190C6A2AC8B}"/>
    <hyperlink ref="E12" r:id="rId39" xr:uid="{1932794D-8861-B149-ABF5-8D23EF283431}"/>
    <hyperlink ref="D19" r:id="rId40" display="http://10.213.43.169:8082/1_30/port_20vpc_colum/500c_20vpc_colum_5pod/alcor-create-and-list-ports_500_10_500c_run1_2022-02-01_16-53-38.json.json" xr:uid="{03E0C162-295B-8442-86A6-6145D6E71C4C}"/>
    <hyperlink ref="D20" r:id="rId41" display="http://10.213.43.169:8082/1_30/port_20vpc_colum/500c_20vpc_colum_5pod/alcor-create-and-list-ports_500_10_500c_run2_2022-02-01_17-09-38.json.json" xr:uid="{E6E91D1E-DAC3-764A-BDDA-730F1BC08A81}"/>
    <hyperlink ref="D21" r:id="rId42" display="http://10.213.43.169:8082/1_30/port_20vpc_colum/500c_20vpc_colum_5pod/alcor-create-and-list-ports_500_10_500c_run3_2022-02-01_17-24-31.json.json" xr:uid="{BE401C7C-8C0F-7544-A0EF-1E2F5E2925B0}"/>
    <hyperlink ref="E19" r:id="rId43" display="http://10.213.43.169:8082/1_30/port_20vpc_colum/500c_20vpc_colum_10pod/alcor-create-and-list-ports_500_10_500c_run1_2022-02-01_18-05-08.json.json" xr:uid="{B724B62B-37AD-8840-924E-CC00A4A6C61D}"/>
    <hyperlink ref="E20" r:id="rId44" display="http://10.213.43.169:8082/1_30/port_20vpc_colum/500c_20vpc_colum_10pod/alcor-create-and-list-ports_500_10_500c_run2_2022-02-01_18-21-14.json.json" xr:uid="{9CCB498B-C8AA-924A-A126-714715522C33}"/>
    <hyperlink ref="E21" r:id="rId45" display="http://10.213.43.169:8082/1_30/port_20vpc_colum/500c_20vpc_colum_10pod/alcor-create-and-list-ports_500_10_500c_run3_2022-02-01_18-36-17.json.json" xr:uid="{34B5095E-36C0-3D45-8587-E1590C3BC182}"/>
    <hyperlink ref="F19" r:id="rId46" display="http://10.213.43.169:8082/1_30/port_20vpc_colum/500c_20vpc_colum_15pod/alcor-create-and-list-ports_500_10_500c_run1_2022-02-01_21-58-54.json.json" xr:uid="{B40C9DE8-370B-8D43-BD0F-C8A73817F5EC}"/>
    <hyperlink ref="F20" r:id="rId47" display="http://10.213.43.169:8082/1_30/port_20vpc_colum/500c_20vpc_colum_15pod/alcor-create-and-list-ports_500_10_500c_run2_2022-02-01_22-15-12.json.json" xr:uid="{1F5D075C-8958-DD4F-9C55-EA3212BF6D73}"/>
    <hyperlink ref="F21" r:id="rId48" display="http://10.213.43.169:8082/1_30/port_20vpc_colum/500c_20vpc_colum_15pod/alcor-create-and-list-ports_500_10_500c_run3_2022-02-01_22-30-19.json.json" xr:uid="{5D694243-F789-8441-8A69-28223F6D397E}"/>
    <hyperlink ref="G19" r:id="rId49" display="http://10.213.43.169:8082/1_30/port_20vpc_colum/500c_20vpc_colum_20pod/alcor-create-and-list-ports_500_10_500c_run1_2022-02-01_23-28-20.json.json" xr:uid="{CD3E3251-85FD-F745-93C9-62E643645AE6}"/>
    <hyperlink ref="G20" r:id="rId50" display="http://10.213.43.169:8082/1_30/port_20vpc_colum/500c_20vpc_colum_20pod/alcor-create-and-list-ports_500_10_500c_run2_2022-02-01_23-44-42.json.json" xr:uid="{870ECE3D-796E-B54C-A984-988EB0C426A5}"/>
    <hyperlink ref="G21" r:id="rId51" display="http://10.213.43.169:8082/1_30/port_20vpc_colum/500c_20vpc_colum_20pod/alcor-create-and-list-ports_500_10_500c_run3_2022-02-02_00-00-03.json.json" xr:uid="{5A27B1AC-226B-8248-8290-B9CD958DE0DB}"/>
    <hyperlink ref="N26" r:id="rId52" xr:uid="{07A654CF-1CAC-C644-B9C0-B6937EBDE0B0}"/>
  </hyperlinks>
  <pageMargins left="0.7" right="0.7" top="0.75" bottom="0.75" header="0.3" footer="0.3"/>
  <drawing r:id="rId5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ED3D-3BAC-C74C-947D-B749E6CEE457}">
  <dimension ref="A1:AG66"/>
  <sheetViews>
    <sheetView topLeftCell="T2" zoomScale="150" zoomScaleNormal="120" workbookViewId="0">
      <selection activeCell="AO19" sqref="AO19"/>
    </sheetView>
  </sheetViews>
  <sheetFormatPr baseColWidth="10" defaultRowHeight="16" x14ac:dyDescent="0.2"/>
  <cols>
    <col min="9" max="9" width="22.1640625" customWidth="1"/>
    <col min="17" max="17" width="24" customWidth="1"/>
    <col min="18" max="18" width="38.5" customWidth="1"/>
    <col min="19" max="19" width="17.6640625" customWidth="1"/>
    <col min="21" max="21" width="13.6640625" customWidth="1"/>
  </cols>
  <sheetData>
    <row r="1" spans="1:33" x14ac:dyDescent="0.2">
      <c r="A1" s="5" t="s">
        <v>439</v>
      </c>
      <c r="B1" s="5" t="s">
        <v>440</v>
      </c>
      <c r="C1" s="5" t="s">
        <v>441</v>
      </c>
    </row>
    <row r="2" spans="1:33" ht="23" x14ac:dyDescent="0.25">
      <c r="A2">
        <v>80</v>
      </c>
      <c r="B2" t="s">
        <v>442</v>
      </c>
      <c r="C2" t="s">
        <v>443</v>
      </c>
      <c r="E2">
        <v>755.5</v>
      </c>
      <c r="F2" s="70">
        <v>730</v>
      </c>
    </row>
    <row r="3" spans="1:33" ht="23" x14ac:dyDescent="0.25">
      <c r="A3">
        <v>80</v>
      </c>
      <c r="B3" t="s">
        <v>442</v>
      </c>
      <c r="C3" t="s">
        <v>443</v>
      </c>
      <c r="E3">
        <v>755.5</v>
      </c>
      <c r="F3" s="70">
        <v>730</v>
      </c>
    </row>
    <row r="4" spans="1:33" ht="23" x14ac:dyDescent="0.25">
      <c r="A4">
        <v>80</v>
      </c>
      <c r="B4" t="s">
        <v>442</v>
      </c>
      <c r="C4" t="s">
        <v>443</v>
      </c>
      <c r="E4">
        <v>755.5</v>
      </c>
      <c r="F4" s="70">
        <v>730</v>
      </c>
      <c r="J4" t="s">
        <v>470</v>
      </c>
      <c r="K4" t="s">
        <v>471</v>
      </c>
      <c r="L4" t="s">
        <v>472</v>
      </c>
      <c r="M4" t="s">
        <v>473</v>
      </c>
      <c r="N4" t="s">
        <v>474</v>
      </c>
      <c r="Q4" t="s">
        <v>475</v>
      </c>
      <c r="R4" t="s">
        <v>476</v>
      </c>
      <c r="S4" t="s">
        <v>477</v>
      </c>
      <c r="T4" t="s">
        <v>478</v>
      </c>
      <c r="U4" t="s">
        <v>486</v>
      </c>
    </row>
    <row r="5" spans="1:33" ht="23" x14ac:dyDescent="0.25">
      <c r="A5">
        <v>80</v>
      </c>
      <c r="B5" t="s">
        <v>442</v>
      </c>
      <c r="C5" t="s">
        <v>443</v>
      </c>
      <c r="E5">
        <v>755.5</v>
      </c>
      <c r="F5" s="70">
        <v>730</v>
      </c>
      <c r="I5" t="s">
        <v>464</v>
      </c>
      <c r="J5">
        <v>1</v>
      </c>
      <c r="K5">
        <v>1</v>
      </c>
      <c r="L5">
        <v>1</v>
      </c>
      <c r="M5">
        <v>1</v>
      </c>
      <c r="N5">
        <v>1</v>
      </c>
      <c r="Q5" t="s">
        <v>479</v>
      </c>
      <c r="R5" t="s">
        <v>487</v>
      </c>
      <c r="S5">
        <v>2</v>
      </c>
      <c r="T5">
        <v>32</v>
      </c>
      <c r="U5">
        <v>32</v>
      </c>
      <c r="X5" t="s">
        <v>498</v>
      </c>
      <c r="Y5" t="s">
        <v>494</v>
      </c>
      <c r="Z5" t="s">
        <v>495</v>
      </c>
      <c r="AA5" t="s">
        <v>496</v>
      </c>
      <c r="AB5" t="s">
        <v>499</v>
      </c>
      <c r="AD5" t="s">
        <v>498</v>
      </c>
      <c r="AE5" t="s">
        <v>494</v>
      </c>
      <c r="AF5" t="s">
        <v>495</v>
      </c>
      <c r="AG5" t="s">
        <v>496</v>
      </c>
    </row>
    <row r="6" spans="1:33" ht="23" x14ac:dyDescent="0.25">
      <c r="A6">
        <v>80</v>
      </c>
      <c r="B6" t="s">
        <v>442</v>
      </c>
      <c r="C6" t="s">
        <v>443</v>
      </c>
      <c r="E6">
        <v>755.5</v>
      </c>
      <c r="F6" s="70">
        <v>730</v>
      </c>
      <c r="I6" t="s">
        <v>467</v>
      </c>
      <c r="J6">
        <v>1</v>
      </c>
      <c r="K6">
        <v>1</v>
      </c>
      <c r="L6">
        <v>1</v>
      </c>
      <c r="M6">
        <v>1</v>
      </c>
      <c r="N6">
        <v>1</v>
      </c>
      <c r="Q6" t="s">
        <v>480</v>
      </c>
      <c r="R6" t="s">
        <v>488</v>
      </c>
      <c r="S6">
        <v>2</v>
      </c>
      <c r="T6">
        <v>32</v>
      </c>
      <c r="U6">
        <v>96</v>
      </c>
      <c r="W6" t="s">
        <v>422</v>
      </c>
      <c r="X6" s="69">
        <f>200/0.3460376527</f>
        <v>577.971785554191</v>
      </c>
      <c r="Y6" s="69">
        <f>200/0.1659154328</f>
        <v>1205.4333742484744</v>
      </c>
      <c r="Z6" s="69">
        <f>200/0.1386423228</f>
        <v>1442.5609435908846</v>
      </c>
      <c r="AA6" s="69">
        <f>200/0.1378565918</f>
        <v>1450.7830012956986</v>
      </c>
      <c r="AB6" t="s">
        <v>499</v>
      </c>
      <c r="AC6" t="s">
        <v>422</v>
      </c>
      <c r="AD6">
        <f>200/0.3625597084</f>
        <v>551.63327685421314</v>
      </c>
      <c r="AE6">
        <f>200/0.1746926741</f>
        <v>1144.8676999787251</v>
      </c>
      <c r="AF6">
        <f>200/0.1369387575</f>
        <v>1460.5068984943871</v>
      </c>
      <c r="AG6">
        <f>200/0.135455346</f>
        <v>1476.5013408920752</v>
      </c>
    </row>
    <row r="7" spans="1:33" ht="23" x14ac:dyDescent="0.25">
      <c r="A7">
        <v>80</v>
      </c>
      <c r="B7" t="s">
        <v>442</v>
      </c>
      <c r="C7" t="s">
        <v>443</v>
      </c>
      <c r="E7">
        <v>755.5</v>
      </c>
      <c r="F7" s="70">
        <v>730</v>
      </c>
      <c r="I7" t="s">
        <v>465</v>
      </c>
      <c r="J7">
        <v>6</v>
      </c>
      <c r="K7">
        <v>6</v>
      </c>
      <c r="L7">
        <v>6</v>
      </c>
      <c r="M7">
        <v>6</v>
      </c>
      <c r="N7">
        <v>6</v>
      </c>
      <c r="Q7" t="s">
        <v>481</v>
      </c>
      <c r="R7" t="s">
        <v>488</v>
      </c>
      <c r="S7">
        <v>2</v>
      </c>
      <c r="T7">
        <v>32</v>
      </c>
      <c r="U7">
        <v>96</v>
      </c>
      <c r="W7" t="s">
        <v>423</v>
      </c>
      <c r="X7" s="69">
        <f>200/0.3183661293</f>
        <v>628.20753086939635</v>
      </c>
      <c r="Y7" s="69">
        <f>200/0.1559940781</f>
        <v>1282.0999517160519</v>
      </c>
      <c r="Z7" s="69">
        <f>200/0.1393585136</f>
        <v>1435.1473392867761</v>
      </c>
      <c r="AA7" s="69">
        <f>200/0.1267666381</f>
        <v>1577.7021698897606</v>
      </c>
      <c r="AB7" t="s">
        <v>499</v>
      </c>
      <c r="AC7" t="s">
        <v>423</v>
      </c>
      <c r="AD7">
        <f>200/0.2874895756</f>
        <v>695.67739832859525</v>
      </c>
      <c r="AE7">
        <f>200/0.1606409367</f>
        <v>1245.0126605866587</v>
      </c>
      <c r="AF7">
        <f>200/0.1362878306</f>
        <v>1467.4824532719506</v>
      </c>
      <c r="AG7">
        <f>200/0.1159922272</f>
        <v>1724.2534679082357</v>
      </c>
    </row>
    <row r="8" spans="1:33" ht="23" x14ac:dyDescent="0.25">
      <c r="A8">
        <v>80</v>
      </c>
      <c r="B8" t="s">
        <v>442</v>
      </c>
      <c r="C8" t="s">
        <v>443</v>
      </c>
      <c r="E8">
        <v>755.5</v>
      </c>
      <c r="F8" s="70">
        <v>730</v>
      </c>
      <c r="I8" t="s">
        <v>466</v>
      </c>
      <c r="J8">
        <v>6</v>
      </c>
      <c r="K8">
        <v>6</v>
      </c>
      <c r="L8">
        <v>6</v>
      </c>
      <c r="M8">
        <v>6</v>
      </c>
      <c r="N8">
        <v>6</v>
      </c>
      <c r="Q8" t="s">
        <v>482</v>
      </c>
      <c r="R8" t="s">
        <v>488</v>
      </c>
      <c r="S8">
        <v>2</v>
      </c>
      <c r="T8">
        <v>32</v>
      </c>
      <c r="U8">
        <v>96</v>
      </c>
      <c r="W8" t="s">
        <v>424</v>
      </c>
      <c r="X8" s="69">
        <f>200/0.303538176</f>
        <v>658.89570345181232</v>
      </c>
      <c r="Y8" s="69">
        <f>200/0.1536651677</f>
        <v>1301.53113417648</v>
      </c>
      <c r="Z8" s="69">
        <f>200/0.1307140913</f>
        <v>1530.056920496681</v>
      </c>
      <c r="AA8" s="69">
        <f>200/0.1232902298</f>
        <v>1622.1885572314832</v>
      </c>
      <c r="AB8" t="s">
        <v>499</v>
      </c>
      <c r="AC8" t="s">
        <v>424</v>
      </c>
      <c r="AD8">
        <f>200/0.3406642009</f>
        <v>587.08839811057476</v>
      </c>
      <c r="AE8">
        <f>200/0.1546679033</f>
        <v>1293.0931093833481</v>
      </c>
      <c r="AF8">
        <f>200/0.1300802017</f>
        <v>1537.5129911103143</v>
      </c>
      <c r="AG8">
        <f>200/0.1195227978</f>
        <v>1673.3209369367692</v>
      </c>
    </row>
    <row r="9" spans="1:33" ht="23" x14ac:dyDescent="0.25">
      <c r="A9">
        <v>72</v>
      </c>
      <c r="B9" t="s">
        <v>444</v>
      </c>
      <c r="C9" t="s">
        <v>445</v>
      </c>
      <c r="E9">
        <v>503.7</v>
      </c>
      <c r="F9" s="70">
        <v>547</v>
      </c>
      <c r="I9" t="s">
        <v>468</v>
      </c>
      <c r="J9">
        <v>6</v>
      </c>
      <c r="K9">
        <v>6</v>
      </c>
      <c r="L9">
        <v>6</v>
      </c>
      <c r="M9">
        <v>6</v>
      </c>
      <c r="N9">
        <v>6</v>
      </c>
      <c r="Q9" t="s">
        <v>483</v>
      </c>
      <c r="R9" t="s">
        <v>488</v>
      </c>
      <c r="S9">
        <v>2</v>
      </c>
      <c r="T9">
        <v>32</v>
      </c>
      <c r="U9">
        <v>96</v>
      </c>
      <c r="W9" t="s">
        <v>425</v>
      </c>
      <c r="X9" s="69">
        <f>200/0.3340375591</f>
        <v>598.73506601731128</v>
      </c>
      <c r="Y9" s="69">
        <f>200/0.1730661156</f>
        <v>1155.6277166481918</v>
      </c>
      <c r="Z9" s="69">
        <f>200/0.1537754323</f>
        <v>1300.5978719007642</v>
      </c>
      <c r="AA9" s="69">
        <f>200/0.1528924278</f>
        <v>1308.1092561472165</v>
      </c>
      <c r="AB9" t="s">
        <v>499</v>
      </c>
      <c r="AC9" t="s">
        <v>425</v>
      </c>
      <c r="AD9">
        <f>200/0.3179593559</f>
        <v>629.01121256171211</v>
      </c>
      <c r="AE9">
        <f>200/0.1944209925</f>
        <v>1028.6954995356275</v>
      </c>
      <c r="AF9">
        <f>200/0.1311784766</f>
        <v>1524.6403616185919</v>
      </c>
      <c r="AG9">
        <f>200/0.1490405924</f>
        <v>1341.9162979655466</v>
      </c>
    </row>
    <row r="10" spans="1:33" ht="23" x14ac:dyDescent="0.25">
      <c r="A10">
        <v>64</v>
      </c>
      <c r="B10" t="s">
        <v>446</v>
      </c>
      <c r="C10" t="s">
        <v>447</v>
      </c>
      <c r="E10">
        <v>503.5</v>
      </c>
      <c r="F10" s="70">
        <v>546</v>
      </c>
      <c r="I10" t="s">
        <v>469</v>
      </c>
      <c r="J10">
        <v>6</v>
      </c>
      <c r="K10">
        <v>6</v>
      </c>
      <c r="L10">
        <v>6</v>
      </c>
      <c r="M10">
        <v>6</v>
      </c>
      <c r="N10">
        <v>6</v>
      </c>
      <c r="Q10" t="s">
        <v>484</v>
      </c>
      <c r="R10" t="s">
        <v>488</v>
      </c>
      <c r="S10">
        <v>2</v>
      </c>
      <c r="T10">
        <v>32</v>
      </c>
      <c r="U10">
        <v>128</v>
      </c>
      <c r="W10" t="s">
        <v>426</v>
      </c>
      <c r="X10" s="69">
        <f>200/0.3868533815</f>
        <v>516.99173269343646</v>
      </c>
      <c r="Y10" s="69">
        <f>200/0.1700838188</f>
        <v>1175.8908131947469</v>
      </c>
      <c r="Z10" s="69">
        <f>200/0.1584663265</f>
        <v>1262.0977870651907</v>
      </c>
      <c r="AA10" s="69">
        <f>200/0.1513922457</f>
        <v>1321.0716247404207</v>
      </c>
      <c r="AB10" t="s">
        <v>499</v>
      </c>
      <c r="AC10" t="s">
        <v>426</v>
      </c>
      <c r="AD10">
        <f>200/0.3566739022</f>
        <v>560.73628815110987</v>
      </c>
      <c r="AE10">
        <f>200/0.178328836</f>
        <v>1121.5236104608455</v>
      </c>
      <c r="AF10">
        <f>200/0.1500779332</f>
        <v>1332.6409535069477</v>
      </c>
      <c r="AG10">
        <f>200/0.1364717258</f>
        <v>1465.5050255105662</v>
      </c>
    </row>
    <row r="11" spans="1:33" ht="23" x14ac:dyDescent="0.25">
      <c r="A11">
        <v>64</v>
      </c>
      <c r="B11" t="s">
        <v>448</v>
      </c>
      <c r="C11" t="s">
        <v>445</v>
      </c>
      <c r="E11">
        <v>440.5</v>
      </c>
      <c r="F11" s="70">
        <v>547</v>
      </c>
      <c r="I11" t="s">
        <v>395</v>
      </c>
      <c r="J11">
        <v>5</v>
      </c>
      <c r="K11">
        <v>5</v>
      </c>
      <c r="L11">
        <v>5</v>
      </c>
      <c r="M11">
        <v>5</v>
      </c>
      <c r="N11">
        <v>5</v>
      </c>
      <c r="Q11" t="s">
        <v>485</v>
      </c>
      <c r="R11" t="s">
        <v>488</v>
      </c>
      <c r="S11">
        <v>2</v>
      </c>
      <c r="T11">
        <v>32</v>
      </c>
      <c r="U11">
        <v>128</v>
      </c>
      <c r="W11" t="s">
        <v>427</v>
      </c>
      <c r="X11" s="69">
        <f>200/0.3706548894</f>
        <v>539.58548968219816</v>
      </c>
      <c r="Y11" s="69">
        <f>200/0.1739155156</f>
        <v>1149.9836533273631</v>
      </c>
      <c r="Z11" s="69">
        <f>200/0.1653849223</f>
        <v>1209.3000814016768</v>
      </c>
      <c r="AA11" s="69">
        <f>200/0.1502513952</f>
        <v>1331.1024482253858</v>
      </c>
      <c r="AB11" t="s">
        <v>499</v>
      </c>
      <c r="AC11" t="s">
        <v>427</v>
      </c>
      <c r="AD11">
        <f>200/0.3234512932</f>
        <v>618.33111879485909</v>
      </c>
      <c r="AE11">
        <f>200/0.1758476248</f>
        <v>1137.3483163475746</v>
      </c>
      <c r="AF11">
        <f>200/0.1524196153</f>
        <v>1312.1670698771275</v>
      </c>
      <c r="AG11">
        <f>200/0.1417742858</f>
        <v>1410.6930524914694</v>
      </c>
    </row>
    <row r="12" spans="1:33" ht="23" x14ac:dyDescent="0.25">
      <c r="A12">
        <v>64</v>
      </c>
      <c r="B12" t="s">
        <v>446</v>
      </c>
      <c r="C12" t="s">
        <v>447</v>
      </c>
      <c r="E12">
        <v>503.5</v>
      </c>
      <c r="F12" s="70">
        <v>546</v>
      </c>
      <c r="I12" t="s">
        <v>396</v>
      </c>
      <c r="J12">
        <v>5</v>
      </c>
      <c r="K12">
        <v>5</v>
      </c>
      <c r="L12">
        <v>5</v>
      </c>
      <c r="M12">
        <v>5</v>
      </c>
      <c r="N12">
        <v>5</v>
      </c>
      <c r="W12" t="s">
        <v>493</v>
      </c>
      <c r="X12" s="69">
        <f>AVERAGE(X6:X11)</f>
        <v>586.7312180447243</v>
      </c>
      <c r="Y12" s="69">
        <f t="shared" ref="Y12:AA12" si="0">AVERAGE(Y6:Y11)</f>
        <v>1211.7611072185512</v>
      </c>
      <c r="Z12" s="69">
        <f t="shared" si="0"/>
        <v>1363.2934906236621</v>
      </c>
      <c r="AA12" s="69">
        <f t="shared" si="0"/>
        <v>1435.1595095883276</v>
      </c>
      <c r="AB12" t="s">
        <v>499</v>
      </c>
      <c r="AC12" t="s">
        <v>493</v>
      </c>
      <c r="AD12" s="69">
        <f t="shared" ref="AD12" si="1">AVERAGE(AD6:AD11)</f>
        <v>607.07961546684407</v>
      </c>
      <c r="AE12" s="69">
        <f t="shared" ref="AE12" si="2">AVERAGE(AE6:AE11)</f>
        <v>1161.7568160487965</v>
      </c>
      <c r="AF12" s="69">
        <f t="shared" ref="AF12:AG12" si="3">AVERAGE(AF6:AF11)</f>
        <v>1439.1584546465531</v>
      </c>
      <c r="AG12" s="69">
        <f t="shared" si="3"/>
        <v>1515.3650202841102</v>
      </c>
    </row>
    <row r="13" spans="1:33" ht="23" x14ac:dyDescent="0.25">
      <c r="A13">
        <v>64</v>
      </c>
      <c r="B13" t="s">
        <v>446</v>
      </c>
      <c r="C13" t="s">
        <v>447</v>
      </c>
      <c r="E13">
        <v>503.5</v>
      </c>
      <c r="F13" s="70">
        <v>546</v>
      </c>
      <c r="I13" t="s">
        <v>397</v>
      </c>
      <c r="J13">
        <v>5</v>
      </c>
      <c r="K13">
        <v>5</v>
      </c>
      <c r="L13">
        <v>5</v>
      </c>
      <c r="M13">
        <v>5</v>
      </c>
      <c r="N13">
        <v>5</v>
      </c>
      <c r="W13" t="s">
        <v>497</v>
      </c>
      <c r="X13" s="69">
        <f>MAX(X6:X11)</f>
        <v>658.89570345181232</v>
      </c>
      <c r="Y13" s="69">
        <f t="shared" ref="Y13:AA13" si="4">MAX(Y6:Y11)</f>
        <v>1301.53113417648</v>
      </c>
      <c r="Z13" s="69">
        <f t="shared" si="4"/>
        <v>1530.056920496681</v>
      </c>
      <c r="AA13" s="69">
        <f t="shared" si="4"/>
        <v>1622.1885572314832</v>
      </c>
      <c r="AB13" t="s">
        <v>499</v>
      </c>
      <c r="AC13" t="s">
        <v>497</v>
      </c>
      <c r="AD13" s="69">
        <f>MAX(AD6:AD11)</f>
        <v>695.67739832859525</v>
      </c>
      <c r="AE13" s="69">
        <f>MAX(AE6:AE11)</f>
        <v>1293.0931093833481</v>
      </c>
      <c r="AF13" s="69">
        <f>MAX(AF6:AF11)</f>
        <v>1537.5129911103143</v>
      </c>
      <c r="AG13" s="69">
        <f>MAX(AG6:AG11)</f>
        <v>1724.2534679082357</v>
      </c>
    </row>
    <row r="14" spans="1:33" ht="23" x14ac:dyDescent="0.25">
      <c r="A14">
        <v>64</v>
      </c>
      <c r="B14" t="s">
        <v>446</v>
      </c>
      <c r="C14" t="s">
        <v>447</v>
      </c>
      <c r="E14">
        <v>503.5</v>
      </c>
      <c r="F14" s="70">
        <v>546</v>
      </c>
      <c r="I14" t="s">
        <v>398</v>
      </c>
      <c r="J14">
        <v>5</v>
      </c>
      <c r="K14">
        <v>5</v>
      </c>
      <c r="L14">
        <v>5</v>
      </c>
      <c r="M14">
        <v>5</v>
      </c>
      <c r="N14">
        <v>5</v>
      </c>
      <c r="Q14" t="s">
        <v>475</v>
      </c>
      <c r="R14" t="s">
        <v>476</v>
      </c>
      <c r="S14" t="s">
        <v>477</v>
      </c>
      <c r="T14" t="s">
        <v>478</v>
      </c>
      <c r="U14" t="s">
        <v>486</v>
      </c>
    </row>
    <row r="15" spans="1:33" ht="23" x14ac:dyDescent="0.25">
      <c r="A15">
        <v>56</v>
      </c>
      <c r="B15" t="s">
        <v>449</v>
      </c>
      <c r="C15" t="s">
        <v>450</v>
      </c>
      <c r="E15">
        <v>377.5</v>
      </c>
      <c r="F15" s="70">
        <v>1400</v>
      </c>
      <c r="I15" t="s">
        <v>399</v>
      </c>
      <c r="J15">
        <v>5</v>
      </c>
      <c r="K15">
        <v>5</v>
      </c>
      <c r="L15">
        <v>5</v>
      </c>
      <c r="M15">
        <v>5</v>
      </c>
      <c r="N15">
        <v>5</v>
      </c>
      <c r="Q15" t="s">
        <v>490</v>
      </c>
      <c r="R15" t="s">
        <v>489</v>
      </c>
      <c r="S15">
        <v>2</v>
      </c>
      <c r="T15">
        <v>32</v>
      </c>
      <c r="U15">
        <v>128</v>
      </c>
    </row>
    <row r="16" spans="1:33" ht="23" x14ac:dyDescent="0.25">
      <c r="A16">
        <v>56</v>
      </c>
      <c r="B16" t="s">
        <v>449</v>
      </c>
      <c r="C16" t="s">
        <v>450</v>
      </c>
      <c r="E16">
        <v>377.5</v>
      </c>
      <c r="F16" s="70">
        <v>1400</v>
      </c>
      <c r="I16" t="s">
        <v>400</v>
      </c>
      <c r="J16">
        <v>5</v>
      </c>
      <c r="K16">
        <v>5</v>
      </c>
      <c r="L16">
        <v>5</v>
      </c>
      <c r="M16">
        <v>5</v>
      </c>
      <c r="N16">
        <v>5</v>
      </c>
      <c r="Q16" t="s">
        <v>502</v>
      </c>
      <c r="R16" t="s">
        <v>489</v>
      </c>
      <c r="S16">
        <v>2</v>
      </c>
      <c r="T16">
        <v>32</v>
      </c>
      <c r="U16">
        <v>128</v>
      </c>
    </row>
    <row r="17" spans="1:27" ht="23" x14ac:dyDescent="0.25">
      <c r="A17">
        <v>56</v>
      </c>
      <c r="B17" t="s">
        <v>449</v>
      </c>
      <c r="C17" t="s">
        <v>450</v>
      </c>
      <c r="E17">
        <v>377.5</v>
      </c>
      <c r="F17" s="70">
        <v>1400</v>
      </c>
      <c r="I17" t="s">
        <v>401</v>
      </c>
      <c r="J17">
        <v>5</v>
      </c>
      <c r="K17">
        <v>5</v>
      </c>
      <c r="L17">
        <v>5</v>
      </c>
      <c r="M17">
        <v>5</v>
      </c>
      <c r="N17">
        <v>5</v>
      </c>
      <c r="Q17" t="s">
        <v>503</v>
      </c>
      <c r="R17" t="s">
        <v>489</v>
      </c>
      <c r="S17">
        <v>2</v>
      </c>
      <c r="T17">
        <v>32</v>
      </c>
      <c r="U17">
        <v>128</v>
      </c>
    </row>
    <row r="18" spans="1:27" ht="23" x14ac:dyDescent="0.25">
      <c r="A18">
        <v>56</v>
      </c>
      <c r="B18" t="s">
        <v>449</v>
      </c>
      <c r="C18" t="s">
        <v>450</v>
      </c>
      <c r="E18">
        <v>377.5</v>
      </c>
      <c r="F18" s="70">
        <v>1400</v>
      </c>
      <c r="I18" t="s">
        <v>404</v>
      </c>
      <c r="J18">
        <v>5</v>
      </c>
      <c r="K18">
        <v>5</v>
      </c>
      <c r="L18">
        <v>5</v>
      </c>
      <c r="M18">
        <v>5</v>
      </c>
      <c r="N18">
        <v>5</v>
      </c>
      <c r="Q18" t="s">
        <v>504</v>
      </c>
      <c r="R18" t="s">
        <v>491</v>
      </c>
      <c r="S18">
        <v>1</v>
      </c>
      <c r="T18">
        <v>24</v>
      </c>
      <c r="U18">
        <v>32</v>
      </c>
    </row>
    <row r="19" spans="1:27" ht="23" x14ac:dyDescent="0.25">
      <c r="A19">
        <v>56</v>
      </c>
      <c r="B19" t="s">
        <v>449</v>
      </c>
      <c r="C19" t="s">
        <v>450</v>
      </c>
      <c r="E19">
        <v>377.5</v>
      </c>
      <c r="F19" s="70">
        <v>1400</v>
      </c>
      <c r="I19" t="s">
        <v>406</v>
      </c>
      <c r="J19">
        <v>5</v>
      </c>
      <c r="K19">
        <v>5</v>
      </c>
      <c r="L19">
        <v>5</v>
      </c>
      <c r="M19">
        <v>5</v>
      </c>
      <c r="N19">
        <v>5</v>
      </c>
      <c r="Q19" t="s">
        <v>505</v>
      </c>
      <c r="R19" t="s">
        <v>492</v>
      </c>
      <c r="S19">
        <v>2</v>
      </c>
      <c r="T19">
        <v>24</v>
      </c>
      <c r="U19">
        <v>128</v>
      </c>
    </row>
    <row r="20" spans="1:27" ht="23" x14ac:dyDescent="0.25">
      <c r="A20">
        <v>56</v>
      </c>
      <c r="B20" t="s">
        <v>449</v>
      </c>
      <c r="C20" t="s">
        <v>450</v>
      </c>
      <c r="E20">
        <v>377.5</v>
      </c>
      <c r="F20" s="70">
        <v>1400</v>
      </c>
      <c r="I20" t="s">
        <v>408</v>
      </c>
      <c r="J20">
        <v>5</v>
      </c>
      <c r="K20">
        <v>5</v>
      </c>
      <c r="L20">
        <v>5</v>
      </c>
      <c r="M20">
        <v>5</v>
      </c>
      <c r="N20">
        <v>5</v>
      </c>
    </row>
    <row r="21" spans="1:27" ht="23" x14ac:dyDescent="0.25">
      <c r="A21">
        <v>56</v>
      </c>
      <c r="B21" t="s">
        <v>449</v>
      </c>
      <c r="C21" t="s">
        <v>450</v>
      </c>
      <c r="E21">
        <v>377.5</v>
      </c>
      <c r="F21" s="70">
        <v>1400</v>
      </c>
      <c r="I21" t="s">
        <v>402</v>
      </c>
      <c r="J21">
        <v>5</v>
      </c>
      <c r="K21">
        <v>10</v>
      </c>
      <c r="L21">
        <v>15</v>
      </c>
      <c r="M21">
        <v>20</v>
      </c>
      <c r="N21">
        <v>25</v>
      </c>
    </row>
    <row r="22" spans="1:27" ht="23" x14ac:dyDescent="0.25">
      <c r="A22">
        <v>56</v>
      </c>
      <c r="B22" t="s">
        <v>449</v>
      </c>
      <c r="C22" t="s">
        <v>450</v>
      </c>
      <c r="E22">
        <v>377.5</v>
      </c>
      <c r="F22" s="70">
        <v>1400</v>
      </c>
      <c r="I22" t="s">
        <v>403</v>
      </c>
      <c r="J22">
        <v>5</v>
      </c>
      <c r="K22">
        <v>10</v>
      </c>
      <c r="L22">
        <v>15</v>
      </c>
      <c r="M22">
        <v>20</v>
      </c>
      <c r="N22">
        <v>25</v>
      </c>
    </row>
    <row r="23" spans="1:27" ht="23" x14ac:dyDescent="0.25">
      <c r="A23">
        <v>48</v>
      </c>
      <c r="B23" t="s">
        <v>451</v>
      </c>
      <c r="C23" t="s">
        <v>452</v>
      </c>
      <c r="E23">
        <v>125.5</v>
      </c>
      <c r="F23" s="70">
        <v>1100</v>
      </c>
      <c r="I23" t="s">
        <v>405</v>
      </c>
      <c r="J23">
        <v>5</v>
      </c>
      <c r="K23">
        <v>10</v>
      </c>
      <c r="L23">
        <v>15</v>
      </c>
      <c r="M23">
        <v>20</v>
      </c>
      <c r="N23">
        <v>25</v>
      </c>
    </row>
    <row r="24" spans="1:27" ht="23" x14ac:dyDescent="0.25">
      <c r="A24">
        <v>48</v>
      </c>
      <c r="B24" t="s">
        <v>451</v>
      </c>
      <c r="C24" t="s">
        <v>452</v>
      </c>
      <c r="E24">
        <v>125.5</v>
      </c>
      <c r="F24" s="70">
        <v>1100</v>
      </c>
      <c r="I24" t="s">
        <v>407</v>
      </c>
      <c r="J24">
        <v>5</v>
      </c>
      <c r="K24">
        <v>10</v>
      </c>
      <c r="L24">
        <v>15</v>
      </c>
      <c r="M24">
        <v>20</v>
      </c>
      <c r="N24">
        <v>25</v>
      </c>
    </row>
    <row r="25" spans="1:27" ht="23" x14ac:dyDescent="0.25">
      <c r="A25">
        <v>48</v>
      </c>
      <c r="B25" t="s">
        <v>451</v>
      </c>
      <c r="C25" t="s">
        <v>452</v>
      </c>
      <c r="E25">
        <v>125.5</v>
      </c>
      <c r="F25" s="70">
        <v>1100</v>
      </c>
    </row>
    <row r="26" spans="1:27" ht="23" x14ac:dyDescent="0.25">
      <c r="A26">
        <v>40</v>
      </c>
      <c r="B26" t="s">
        <v>453</v>
      </c>
      <c r="C26" t="s">
        <v>454</v>
      </c>
      <c r="E26">
        <v>125.8</v>
      </c>
      <c r="F26" s="70">
        <v>1800</v>
      </c>
    </row>
    <row r="27" spans="1:27" ht="23" x14ac:dyDescent="0.25">
      <c r="A27">
        <v>40</v>
      </c>
      <c r="B27" t="s">
        <v>453</v>
      </c>
      <c r="C27" t="s">
        <v>454</v>
      </c>
      <c r="E27">
        <v>125.8</v>
      </c>
      <c r="F27" s="70">
        <v>1800</v>
      </c>
      <c r="X27" t="s">
        <v>494</v>
      </c>
      <c r="Y27" t="s">
        <v>495</v>
      </c>
      <c r="Z27" t="s">
        <v>496</v>
      </c>
      <c r="AA27" t="s">
        <v>500</v>
      </c>
    </row>
    <row r="28" spans="1:27" ht="23" x14ac:dyDescent="0.25">
      <c r="A28">
        <v>40</v>
      </c>
      <c r="B28" t="s">
        <v>453</v>
      </c>
      <c r="C28" t="s">
        <v>454</v>
      </c>
      <c r="E28">
        <v>125.8</v>
      </c>
      <c r="F28" s="70">
        <v>1800</v>
      </c>
      <c r="W28" t="s">
        <v>422</v>
      </c>
      <c r="X28">
        <f>400/1.7336624638</f>
        <v>230.72541994318976</v>
      </c>
      <c r="Y28">
        <f>400/1.667258692</f>
        <v>239.91477862392813</v>
      </c>
      <c r="Z28">
        <f>400/1.8795071045</f>
        <v>212.82175472617374</v>
      </c>
      <c r="AA28">
        <f>400/1.9603253397</f>
        <v>204.04776283778199</v>
      </c>
    </row>
    <row r="29" spans="1:27" ht="23" x14ac:dyDescent="0.25">
      <c r="A29">
        <v>40</v>
      </c>
      <c r="B29" t="s">
        <v>453</v>
      </c>
      <c r="C29" t="s">
        <v>454</v>
      </c>
      <c r="E29">
        <v>125.8</v>
      </c>
      <c r="F29" s="70">
        <v>1800</v>
      </c>
      <c r="K29" t="s">
        <v>494</v>
      </c>
      <c r="L29" t="s">
        <v>495</v>
      </c>
      <c r="M29" t="s">
        <v>496</v>
      </c>
      <c r="W29" t="s">
        <v>423</v>
      </c>
      <c r="X29">
        <f>400/3.5276457333</f>
        <v>113.39007095415241</v>
      </c>
      <c r="Y29">
        <f>400/2.8537999488</f>
        <v>140.16399438516945</v>
      </c>
      <c r="Z29">
        <f>400/2.7795663157</f>
        <v>143.90734185425069</v>
      </c>
      <c r="AA29">
        <f>400/3.018216099</f>
        <v>132.52861520834398</v>
      </c>
    </row>
    <row r="30" spans="1:27" ht="23" x14ac:dyDescent="0.25">
      <c r="A30">
        <v>40</v>
      </c>
      <c r="B30" t="s">
        <v>453</v>
      </c>
      <c r="C30" t="s">
        <v>454</v>
      </c>
      <c r="E30">
        <v>125.8</v>
      </c>
      <c r="F30" s="70">
        <v>1800</v>
      </c>
      <c r="J30" t="s">
        <v>422</v>
      </c>
      <c r="K30">
        <f>1000/0.701624672</f>
        <v>1425.263449116567</v>
      </c>
      <c r="L30">
        <f>1000/0.6728932327</f>
        <v>1486.1198647926303</v>
      </c>
      <c r="M30">
        <f>1000/0.6186236883</f>
        <v>1616.491606954198</v>
      </c>
      <c r="W30" t="s">
        <v>424</v>
      </c>
      <c r="X30">
        <f>400/6.159019376</f>
        <v>64.945403737271832</v>
      </c>
      <c r="Y30">
        <f>400/4.7144854367</f>
        <v>84.844890364108977</v>
      </c>
      <c r="Z30">
        <f>400/4.405415919</f>
        <v>90.797329322493866</v>
      </c>
      <c r="AA30">
        <f>400/4.7170053348</f>
        <v>84.79956489533204</v>
      </c>
    </row>
    <row r="31" spans="1:27" ht="23" x14ac:dyDescent="0.25">
      <c r="A31">
        <v>40</v>
      </c>
      <c r="B31" t="s">
        <v>453</v>
      </c>
      <c r="C31" t="s">
        <v>454</v>
      </c>
      <c r="E31">
        <v>125.8</v>
      </c>
      <c r="F31" s="70">
        <v>1800</v>
      </c>
      <c r="J31" t="s">
        <v>423</v>
      </c>
      <c r="K31">
        <f>1000/0.3765979543</f>
        <v>2655.3516517601543</v>
      </c>
      <c r="L31">
        <f>1000/0.3510498921</f>
        <v>2848.5979415004072</v>
      </c>
      <c r="M31" s="60">
        <f>1000/0.2809282083</f>
        <v>3559.6282981028075</v>
      </c>
      <c r="W31" t="s">
        <v>425</v>
      </c>
      <c r="X31">
        <f>400/8.2384681092</f>
        <v>48.55271571098455</v>
      </c>
      <c r="Y31">
        <f>400/6.2541167355</f>
        <v>63.957872377004975</v>
      </c>
      <c r="Z31">
        <f>400/5.9351660963</f>
        <v>67.394912544968406</v>
      </c>
      <c r="AA31">
        <f>400/6.4524867398</f>
        <v>61.991603567773979</v>
      </c>
    </row>
    <row r="32" spans="1:27" ht="23" x14ac:dyDescent="0.25">
      <c r="A32">
        <v>40</v>
      </c>
      <c r="B32" t="s">
        <v>455</v>
      </c>
      <c r="C32" t="s">
        <v>456</v>
      </c>
      <c r="E32">
        <v>188.9</v>
      </c>
      <c r="F32" s="70">
        <v>272</v>
      </c>
      <c r="J32" t="s">
        <v>424</v>
      </c>
      <c r="K32" s="60">
        <f>1000/0.2889600067</f>
        <v>3460.686519979929</v>
      </c>
      <c r="L32">
        <f>1000/0.5070705475</f>
        <v>1972.1121743912763</v>
      </c>
      <c r="M32">
        <f>1000/0.4075460723</f>
        <v>2453.710311466054</v>
      </c>
      <c r="W32" t="s">
        <v>426</v>
      </c>
      <c r="X32">
        <f>400/8.8867845947</f>
        <v>45.010655511843559</v>
      </c>
      <c r="Y32">
        <f>400/8.0890480067</f>
        <v>49.449576720114386</v>
      </c>
      <c r="Z32">
        <f>400/7.844908761</f>
        <v>50.988483382821585</v>
      </c>
      <c r="AA32">
        <f>400/8.006634494</f>
        <v>49.958568771904275</v>
      </c>
    </row>
    <row r="33" spans="1:27" ht="23" x14ac:dyDescent="0.25">
      <c r="A33">
        <v>40</v>
      </c>
      <c r="B33" t="s">
        <v>455</v>
      </c>
      <c r="C33" t="s">
        <v>457</v>
      </c>
      <c r="E33">
        <v>188.9</v>
      </c>
      <c r="F33" s="70">
        <v>271</v>
      </c>
      <c r="J33" s="59" t="s">
        <v>493</v>
      </c>
      <c r="K33" s="59">
        <f>AVERAGE(K30:K32)</f>
        <v>2513.7672069522164</v>
      </c>
      <c r="L33" s="59">
        <f t="shared" ref="L33:M33" si="5">AVERAGE(L30:L32)</f>
        <v>2102.2766602281049</v>
      </c>
      <c r="M33" s="59">
        <f t="shared" si="5"/>
        <v>2543.2767388410198</v>
      </c>
      <c r="W33" t="s">
        <v>427</v>
      </c>
      <c r="X33">
        <f>400/8.1305620433</f>
        <v>49.197090910784027</v>
      </c>
      <c r="Y33">
        <f>400/10.1844170708</f>
        <v>39.27568924360434</v>
      </c>
      <c r="Z33">
        <f>400/10.2438485723</f>
        <v>39.047824377414635</v>
      </c>
      <c r="AA33">
        <f>400/9.2909129664</f>
        <v>43.052819614883347</v>
      </c>
    </row>
    <row r="34" spans="1:27" ht="23" x14ac:dyDescent="0.25">
      <c r="A34">
        <v>40</v>
      </c>
      <c r="B34" t="s">
        <v>449</v>
      </c>
      <c r="C34" t="s">
        <v>458</v>
      </c>
      <c r="E34">
        <v>377.5</v>
      </c>
      <c r="F34" s="70">
        <v>363</v>
      </c>
      <c r="J34" t="s">
        <v>497</v>
      </c>
      <c r="K34">
        <f>MAX(K30:K32)</f>
        <v>3460.686519979929</v>
      </c>
      <c r="L34">
        <f t="shared" ref="L34:M34" si="6">MAX(L30:L32)</f>
        <v>2848.5979415004072</v>
      </c>
      <c r="M34">
        <f t="shared" si="6"/>
        <v>3559.6282981028075</v>
      </c>
      <c r="W34" s="71" t="s">
        <v>493</v>
      </c>
      <c r="X34" s="71">
        <f>AVERAGE(X28:X33)</f>
        <v>91.97022612803768</v>
      </c>
      <c r="Y34" s="71">
        <f t="shared" ref="Y34:AA34" si="7">AVERAGE(Y28:Y33)</f>
        <v>102.9344669523217</v>
      </c>
      <c r="Z34" s="71">
        <f t="shared" si="7"/>
        <v>100.82627436802049</v>
      </c>
      <c r="AA34" s="71">
        <f t="shared" si="7"/>
        <v>96.06315581600326</v>
      </c>
    </row>
    <row r="35" spans="1:27" ht="23" x14ac:dyDescent="0.25">
      <c r="A35">
        <v>40</v>
      </c>
      <c r="B35" t="s">
        <v>449</v>
      </c>
      <c r="C35" t="s">
        <v>458</v>
      </c>
      <c r="E35">
        <v>377.5</v>
      </c>
      <c r="F35" s="70">
        <v>363</v>
      </c>
      <c r="W35" s="71" t="s">
        <v>497</v>
      </c>
      <c r="X35" s="71">
        <f>MAX(X28:X33)</f>
        <v>230.72541994318976</v>
      </c>
      <c r="Y35" s="71">
        <f t="shared" ref="Y35:AA35" si="8">MAX(Y28:Y33)</f>
        <v>239.91477862392813</v>
      </c>
      <c r="Z35" s="71">
        <f t="shared" si="8"/>
        <v>212.82175472617374</v>
      </c>
      <c r="AA35" s="71">
        <f t="shared" si="8"/>
        <v>204.04776283778199</v>
      </c>
    </row>
    <row r="36" spans="1:27" ht="23" x14ac:dyDescent="0.25">
      <c r="A36">
        <v>32</v>
      </c>
      <c r="B36" t="s">
        <v>459</v>
      </c>
      <c r="C36" t="s">
        <v>445</v>
      </c>
      <c r="E36">
        <v>125.9</v>
      </c>
      <c r="F36" s="70">
        <v>547</v>
      </c>
    </row>
    <row r="37" spans="1:27" ht="23" x14ac:dyDescent="0.25">
      <c r="A37">
        <v>32</v>
      </c>
      <c r="B37" t="s">
        <v>459</v>
      </c>
      <c r="C37" t="s">
        <v>445</v>
      </c>
      <c r="E37">
        <v>125.9</v>
      </c>
      <c r="F37" s="70">
        <v>547</v>
      </c>
    </row>
    <row r="38" spans="1:27" ht="23" x14ac:dyDescent="0.25">
      <c r="A38">
        <v>32</v>
      </c>
      <c r="B38" t="s">
        <v>459</v>
      </c>
      <c r="C38" t="s">
        <v>445</v>
      </c>
      <c r="E38">
        <v>125.9</v>
      </c>
      <c r="F38" s="70">
        <v>547</v>
      </c>
    </row>
    <row r="39" spans="1:27" ht="23" x14ac:dyDescent="0.25">
      <c r="A39">
        <v>32</v>
      </c>
      <c r="B39" t="s">
        <v>459</v>
      </c>
      <c r="C39" t="s">
        <v>445</v>
      </c>
      <c r="E39">
        <v>125.9</v>
      </c>
      <c r="F39" s="70">
        <v>547</v>
      </c>
    </row>
    <row r="40" spans="1:27" ht="23" x14ac:dyDescent="0.25">
      <c r="A40">
        <v>32</v>
      </c>
      <c r="B40" t="s">
        <v>459</v>
      </c>
      <c r="C40" t="s">
        <v>445</v>
      </c>
      <c r="E40">
        <v>125.9</v>
      </c>
      <c r="F40" s="70">
        <v>547</v>
      </c>
    </row>
    <row r="41" spans="1:27" ht="23" x14ac:dyDescent="0.25">
      <c r="A41">
        <v>32</v>
      </c>
      <c r="B41" t="s">
        <v>459</v>
      </c>
      <c r="C41" t="s">
        <v>445</v>
      </c>
      <c r="E41">
        <v>125.9</v>
      </c>
      <c r="F41" s="70">
        <v>547</v>
      </c>
    </row>
    <row r="42" spans="1:27" ht="23" x14ac:dyDescent="0.25">
      <c r="A42">
        <v>32</v>
      </c>
      <c r="B42" t="s">
        <v>459</v>
      </c>
      <c r="C42" t="s">
        <v>445</v>
      </c>
      <c r="E42">
        <v>125.9</v>
      </c>
      <c r="F42" s="70">
        <v>547</v>
      </c>
    </row>
    <row r="43" spans="1:27" ht="23" x14ac:dyDescent="0.25">
      <c r="A43">
        <v>32</v>
      </c>
      <c r="B43" t="s">
        <v>459</v>
      </c>
      <c r="C43" t="s">
        <v>445</v>
      </c>
      <c r="E43">
        <v>125.9</v>
      </c>
      <c r="F43" s="70">
        <v>547</v>
      </c>
    </row>
    <row r="44" spans="1:27" ht="23" x14ac:dyDescent="0.25">
      <c r="A44">
        <v>32</v>
      </c>
      <c r="B44" t="s">
        <v>459</v>
      </c>
      <c r="C44" t="s">
        <v>445</v>
      </c>
      <c r="E44">
        <v>125.9</v>
      </c>
      <c r="F44" s="70">
        <v>547</v>
      </c>
    </row>
    <row r="45" spans="1:27" ht="23" x14ac:dyDescent="0.25">
      <c r="A45">
        <v>32</v>
      </c>
      <c r="B45" t="s">
        <v>451</v>
      </c>
      <c r="C45" t="s">
        <v>447</v>
      </c>
      <c r="E45">
        <v>125.5</v>
      </c>
      <c r="F45" s="70">
        <v>546</v>
      </c>
    </row>
    <row r="46" spans="1:27" ht="23" x14ac:dyDescent="0.25">
      <c r="A46">
        <v>32</v>
      </c>
      <c r="B46" t="s">
        <v>451</v>
      </c>
      <c r="C46" t="s">
        <v>447</v>
      </c>
      <c r="E46">
        <v>125.5</v>
      </c>
      <c r="F46" s="70">
        <v>546</v>
      </c>
    </row>
    <row r="47" spans="1:27" ht="23" x14ac:dyDescent="0.25">
      <c r="A47">
        <v>32</v>
      </c>
      <c r="B47" t="s">
        <v>451</v>
      </c>
      <c r="C47" t="s">
        <v>447</v>
      </c>
      <c r="E47">
        <v>125.5</v>
      </c>
      <c r="F47" s="70">
        <v>546</v>
      </c>
    </row>
    <row r="48" spans="1:27" ht="23" x14ac:dyDescent="0.25">
      <c r="A48">
        <v>32</v>
      </c>
      <c r="B48" t="s">
        <v>451</v>
      </c>
      <c r="C48" t="s">
        <v>447</v>
      </c>
      <c r="E48">
        <v>125.5</v>
      </c>
      <c r="F48" s="70">
        <v>546</v>
      </c>
    </row>
    <row r="49" spans="1:6" ht="23" x14ac:dyDescent="0.25">
      <c r="A49">
        <v>32</v>
      </c>
      <c r="B49" t="s">
        <v>451</v>
      </c>
      <c r="C49" t="s">
        <v>447</v>
      </c>
      <c r="E49">
        <v>125.5</v>
      </c>
      <c r="F49" s="70">
        <v>546</v>
      </c>
    </row>
    <row r="50" spans="1:6" ht="23" x14ac:dyDescent="0.25">
      <c r="A50">
        <v>32</v>
      </c>
      <c r="B50" t="s">
        <v>451</v>
      </c>
      <c r="C50" t="s">
        <v>447</v>
      </c>
      <c r="E50">
        <v>125.5</v>
      </c>
      <c r="F50" s="70">
        <v>546</v>
      </c>
    </row>
    <row r="51" spans="1:6" ht="23" x14ac:dyDescent="0.25">
      <c r="A51">
        <v>32</v>
      </c>
      <c r="B51" t="s">
        <v>451</v>
      </c>
      <c r="C51" t="s">
        <v>447</v>
      </c>
      <c r="E51">
        <v>125.5</v>
      </c>
      <c r="F51" s="70">
        <v>546</v>
      </c>
    </row>
    <row r="52" spans="1:6" ht="23" x14ac:dyDescent="0.25">
      <c r="A52">
        <v>32</v>
      </c>
      <c r="B52" t="s">
        <v>451</v>
      </c>
      <c r="C52" t="s">
        <v>447</v>
      </c>
      <c r="E52">
        <v>125.5</v>
      </c>
      <c r="F52" s="70">
        <v>546</v>
      </c>
    </row>
    <row r="53" spans="1:6" ht="23" x14ac:dyDescent="0.25">
      <c r="A53">
        <v>32</v>
      </c>
      <c r="B53" t="s">
        <v>451</v>
      </c>
      <c r="C53" t="s">
        <v>447</v>
      </c>
      <c r="E53">
        <v>125.5</v>
      </c>
      <c r="F53" s="70">
        <v>546</v>
      </c>
    </row>
    <row r="54" spans="1:6" ht="23" x14ac:dyDescent="0.25">
      <c r="A54">
        <v>24</v>
      </c>
      <c r="B54" t="s">
        <v>460</v>
      </c>
      <c r="C54" t="s">
        <v>461</v>
      </c>
      <c r="E54">
        <v>31.3</v>
      </c>
      <c r="F54" s="70">
        <v>913</v>
      </c>
    </row>
    <row r="55" spans="1:6" ht="23" x14ac:dyDescent="0.25">
      <c r="A55">
        <v>24</v>
      </c>
      <c r="B55" t="s">
        <v>460</v>
      </c>
      <c r="C55" t="s">
        <v>454</v>
      </c>
      <c r="E55">
        <v>31.3</v>
      </c>
      <c r="F55" s="70">
        <v>1800</v>
      </c>
    </row>
    <row r="56" spans="1:6" ht="23" x14ac:dyDescent="0.25">
      <c r="A56">
        <v>24</v>
      </c>
      <c r="B56" t="s">
        <v>460</v>
      </c>
      <c r="C56" t="s">
        <v>454</v>
      </c>
      <c r="E56">
        <v>31.3</v>
      </c>
      <c r="F56" s="70">
        <v>1800</v>
      </c>
    </row>
    <row r="57" spans="1:6" ht="23" x14ac:dyDescent="0.25">
      <c r="A57">
        <v>24</v>
      </c>
      <c r="B57" t="s">
        <v>460</v>
      </c>
      <c r="C57" t="s">
        <v>454</v>
      </c>
      <c r="E57">
        <v>31.3</v>
      </c>
      <c r="F57" s="70">
        <v>1800</v>
      </c>
    </row>
    <row r="58" spans="1:6" ht="23" x14ac:dyDescent="0.25">
      <c r="A58">
        <v>24</v>
      </c>
      <c r="B58" t="s">
        <v>460</v>
      </c>
      <c r="C58" t="s">
        <v>454</v>
      </c>
      <c r="E58">
        <v>31.3</v>
      </c>
      <c r="F58" s="70">
        <v>1800</v>
      </c>
    </row>
    <row r="59" spans="1:6" ht="23" x14ac:dyDescent="0.25">
      <c r="A59">
        <v>24</v>
      </c>
      <c r="B59" t="s">
        <v>460</v>
      </c>
      <c r="C59" t="s">
        <v>454</v>
      </c>
      <c r="E59">
        <v>31.3</v>
      </c>
      <c r="F59" s="70">
        <v>1800</v>
      </c>
    </row>
    <row r="60" spans="1:6" ht="23" x14ac:dyDescent="0.25">
      <c r="A60">
        <v>24</v>
      </c>
      <c r="B60" t="s">
        <v>460</v>
      </c>
      <c r="C60" t="s">
        <v>454</v>
      </c>
      <c r="E60">
        <v>31.3</v>
      </c>
      <c r="F60" s="70">
        <v>1800</v>
      </c>
    </row>
    <row r="61" spans="1:6" ht="23" x14ac:dyDescent="0.25">
      <c r="A61">
        <v>24</v>
      </c>
      <c r="B61" t="s">
        <v>460</v>
      </c>
      <c r="C61" t="s">
        <v>454</v>
      </c>
      <c r="E61">
        <v>31.3</v>
      </c>
      <c r="F61" s="70">
        <v>1800</v>
      </c>
    </row>
    <row r="62" spans="1:6" ht="23" x14ac:dyDescent="0.25">
      <c r="A62">
        <v>24</v>
      </c>
      <c r="B62" t="s">
        <v>462</v>
      </c>
      <c r="C62" t="s">
        <v>454</v>
      </c>
      <c r="E62">
        <v>15.6</v>
      </c>
      <c r="F62" s="70">
        <v>1800</v>
      </c>
    </row>
    <row r="63" spans="1:6" ht="23" x14ac:dyDescent="0.25">
      <c r="A63">
        <v>24</v>
      </c>
      <c r="B63" t="s">
        <v>462</v>
      </c>
      <c r="C63" t="s">
        <v>454</v>
      </c>
      <c r="E63">
        <v>15.6</v>
      </c>
      <c r="F63" s="70">
        <v>1800</v>
      </c>
    </row>
    <row r="64" spans="1:6" ht="23" x14ac:dyDescent="0.25">
      <c r="A64">
        <v>24</v>
      </c>
      <c r="B64" t="s">
        <v>463</v>
      </c>
      <c r="C64" t="s">
        <v>454</v>
      </c>
      <c r="E64">
        <v>62.8</v>
      </c>
      <c r="F64" s="70">
        <v>1800</v>
      </c>
    </row>
    <row r="65" spans="1:6" ht="23" x14ac:dyDescent="0.25">
      <c r="A65">
        <v>24</v>
      </c>
      <c r="B65" t="s">
        <v>451</v>
      </c>
      <c r="C65" t="s">
        <v>445</v>
      </c>
      <c r="E65">
        <v>125.5</v>
      </c>
      <c r="F65" s="70">
        <v>547</v>
      </c>
    </row>
    <row r="66" spans="1:6" x14ac:dyDescent="0.2">
      <c r="A66">
        <f>SUM(A2:A65)</f>
        <v>2808</v>
      </c>
      <c r="B66">
        <f t="shared" ref="B66:F66" si="9">SUM(B2:B65)</f>
        <v>0</v>
      </c>
      <c r="C66">
        <f t="shared" si="9"/>
        <v>0</v>
      </c>
      <c r="D66">
        <f t="shared" si="9"/>
        <v>0</v>
      </c>
      <c r="E66">
        <f t="shared" si="9"/>
        <v>16263.299999999987</v>
      </c>
      <c r="F66">
        <f t="shared" si="9"/>
        <v>64254</v>
      </c>
    </row>
  </sheetData>
  <sortState xmlns:xlrd2="http://schemas.microsoft.com/office/spreadsheetml/2017/richdata2" ref="I1:I67">
    <sortCondition ref="I1:I67"/>
  </sortState>
  <phoneticPr fontId="20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A930-EF9C-9D4F-B3CE-3A2B745C54D2}">
  <dimension ref="A1:T29"/>
  <sheetViews>
    <sheetView topLeftCell="F1" zoomScale="142" workbookViewId="0">
      <selection activeCell="B3" sqref="B3:H9"/>
    </sheetView>
  </sheetViews>
  <sheetFormatPr baseColWidth="10" defaultRowHeight="16" x14ac:dyDescent="0.2"/>
  <cols>
    <col min="1" max="1" width="28" customWidth="1"/>
    <col min="2" max="2" width="13.6640625" customWidth="1"/>
    <col min="10" max="10" width="11" bestFit="1" customWidth="1"/>
    <col min="11" max="14" width="12.1640625" bestFit="1" customWidth="1"/>
  </cols>
  <sheetData>
    <row r="1" spans="1:20" x14ac:dyDescent="0.2">
      <c r="A1" s="73" t="s">
        <v>429</v>
      </c>
      <c r="C1" s="4" t="s">
        <v>421</v>
      </c>
    </row>
    <row r="2" spans="1:20" x14ac:dyDescent="0.2">
      <c r="A2" s="74"/>
      <c r="J2" t="s">
        <v>433</v>
      </c>
      <c r="P2" t="s">
        <v>434</v>
      </c>
    </row>
    <row r="3" spans="1:20" x14ac:dyDescent="0.2">
      <c r="A3" s="74"/>
      <c r="B3" t="s">
        <v>430</v>
      </c>
      <c r="D3">
        <v>5</v>
      </c>
      <c r="E3">
        <v>10</v>
      </c>
      <c r="F3">
        <v>15</v>
      </c>
      <c r="G3">
        <v>20</v>
      </c>
      <c r="H3">
        <v>25</v>
      </c>
      <c r="J3">
        <v>5</v>
      </c>
      <c r="K3">
        <v>10</v>
      </c>
      <c r="L3">
        <v>15</v>
      </c>
      <c r="M3">
        <v>20</v>
      </c>
      <c r="N3">
        <v>25</v>
      </c>
      <c r="P3">
        <v>5</v>
      </c>
      <c r="Q3">
        <v>10</v>
      </c>
      <c r="R3">
        <v>15</v>
      </c>
      <c r="S3">
        <v>20</v>
      </c>
      <c r="T3">
        <v>25</v>
      </c>
    </row>
    <row r="4" spans="1:20" x14ac:dyDescent="0.2">
      <c r="A4" s="74"/>
      <c r="B4" s="66">
        <f>1000*200</f>
        <v>200000</v>
      </c>
      <c r="C4" t="s">
        <v>422</v>
      </c>
      <c r="D4">
        <f>200/0.3028379042</f>
        <v>660.4193108796452</v>
      </c>
      <c r="E4">
        <f>200/0.1741944448</f>
        <v>1148.1422397231349</v>
      </c>
      <c r="F4">
        <f>200/0.1656261166</f>
        <v>1207.5390289021605</v>
      </c>
      <c r="H4">
        <f>200/0.1564395074</f>
        <v>1278.449435976682</v>
      </c>
      <c r="J4" s="69">
        <f>200/0.3460376527</f>
        <v>577.971785554191</v>
      </c>
      <c r="K4" s="69">
        <f>200/0.1659154328</f>
        <v>1205.4333742484744</v>
      </c>
      <c r="L4" s="69">
        <f>200/0.1386423228</f>
        <v>1442.5609435908846</v>
      </c>
      <c r="M4" s="69">
        <f>200/0.1378565918</f>
        <v>1450.7830012956986</v>
      </c>
      <c r="N4" s="69">
        <f>200/0.1350907812</f>
        <v>1480.4859237870776</v>
      </c>
      <c r="P4">
        <f>200/0.3625597084</f>
        <v>551.63327685421314</v>
      </c>
      <c r="Q4">
        <f>200/0.1746926741</f>
        <v>1144.8676999787251</v>
      </c>
      <c r="R4">
        <f>200/0.1369387575</f>
        <v>1460.5068984943871</v>
      </c>
      <c r="S4">
        <f>200/0.135455346</f>
        <v>1476.5013408920752</v>
      </c>
      <c r="T4">
        <f t="shared" ref="T4:T9" si="0">200/1</f>
        <v>200</v>
      </c>
    </row>
    <row r="5" spans="1:20" x14ac:dyDescent="0.2">
      <c r="A5" s="74"/>
      <c r="B5" s="66">
        <f>B4+200000</f>
        <v>400000</v>
      </c>
      <c r="C5" t="s">
        <v>423</v>
      </c>
      <c r="D5">
        <f>200/0.3762274048</f>
        <v>531.59338593720645</v>
      </c>
      <c r="E5">
        <f>200/0.1537198826</f>
        <v>1301.067868497058</v>
      </c>
      <c r="F5">
        <f>200/0.3080612449</f>
        <v>649.22155354180359</v>
      </c>
      <c r="G5">
        <f>200/0.1548842947</f>
        <v>1291.2865076952182</v>
      </c>
      <c r="H5">
        <f>200/0.2078668203</f>
        <v>962.15451658592576</v>
      </c>
      <c r="J5" s="69">
        <f>200/0.3183661293</f>
        <v>628.20753086939635</v>
      </c>
      <c r="K5" s="69">
        <f>200/0.1559940781</f>
        <v>1282.0999517160519</v>
      </c>
      <c r="L5" s="69">
        <f>200/0.1393585136</f>
        <v>1435.1473392867761</v>
      </c>
      <c r="M5" s="69">
        <f>200/0.1267666381</f>
        <v>1577.7021698897606</v>
      </c>
      <c r="N5" s="69">
        <f>200/0.1213064824</f>
        <v>1648.7165075029825</v>
      </c>
      <c r="P5">
        <f>200/0.2874895756</f>
        <v>695.67739832859525</v>
      </c>
      <c r="Q5">
        <f>200/0.1606409367</f>
        <v>1245.0126605866587</v>
      </c>
      <c r="R5">
        <f>200/0.1362878306</f>
        <v>1467.4824532719506</v>
      </c>
      <c r="S5">
        <f>200/0.1159922272</f>
        <v>1724.2534679082357</v>
      </c>
      <c r="T5">
        <f t="shared" si="0"/>
        <v>200</v>
      </c>
    </row>
    <row r="6" spans="1:20" x14ac:dyDescent="0.2">
      <c r="A6" s="74"/>
      <c r="B6" s="66">
        <f t="shared" ref="B6:B9" si="1">B5+200000</f>
        <v>600000</v>
      </c>
      <c r="C6" t="s">
        <v>424</v>
      </c>
      <c r="D6">
        <f>200/0.4912879093</f>
        <v>407.09326692970177</v>
      </c>
      <c r="E6">
        <f>200/0.238142087</f>
        <v>839.83474957956503</v>
      </c>
      <c r="F6">
        <f>200/0.5117501908</f>
        <v>390.81568232998109</v>
      </c>
      <c r="G6">
        <f>200/0.1802322244</f>
        <v>1109.6794741662191</v>
      </c>
      <c r="H6">
        <f>200/0.3359721928</f>
        <v>595.28736093661621</v>
      </c>
      <c r="J6" s="69">
        <f>200/0.303538176</f>
        <v>658.89570345181232</v>
      </c>
      <c r="K6" s="69">
        <f>200/0.1536651677</f>
        <v>1301.53113417648</v>
      </c>
      <c r="L6" s="69">
        <f>200/0.1307140913</f>
        <v>1530.056920496681</v>
      </c>
      <c r="M6" s="69">
        <f>200/0.1232902298</f>
        <v>1622.1885572314832</v>
      </c>
      <c r="N6" s="69">
        <f>200/0.124614891</f>
        <v>1604.9446289689408</v>
      </c>
      <c r="P6">
        <f>200/0.3406642009</f>
        <v>587.08839811057476</v>
      </c>
      <c r="Q6">
        <f>200/0.1546679033</f>
        <v>1293.0931093833481</v>
      </c>
      <c r="R6">
        <f>200/0.1300802017</f>
        <v>1537.5129911103143</v>
      </c>
      <c r="S6">
        <f>200/0.1195227978</f>
        <v>1673.3209369367692</v>
      </c>
      <c r="T6">
        <f t="shared" si="0"/>
        <v>200</v>
      </c>
    </row>
    <row r="7" spans="1:20" x14ac:dyDescent="0.2">
      <c r="A7" s="74"/>
      <c r="B7" s="66">
        <f t="shared" si="1"/>
        <v>800000</v>
      </c>
      <c r="C7" t="s">
        <v>425</v>
      </c>
      <c r="D7">
        <f>200/0.6003339758</f>
        <v>333.1478944423921</v>
      </c>
      <c r="E7">
        <f>200/0.3304422843</f>
        <v>605.24941722780602</v>
      </c>
      <c r="F7">
        <f>200/0.7209634761</f>
        <v>277.40656306458908</v>
      </c>
      <c r="G7">
        <f>200/0.3106163955</f>
        <v>643.88101496722186</v>
      </c>
      <c r="H7">
        <f>200/0.4953680449</f>
        <v>403.7402130780842</v>
      </c>
      <c r="J7" s="69">
        <f>200/0.3340375591</f>
        <v>598.73506601731128</v>
      </c>
      <c r="K7" s="69">
        <f>200/0.1730661156</f>
        <v>1155.6277166481918</v>
      </c>
      <c r="L7" s="69">
        <f>200/0.1537754323</f>
        <v>1300.5978719007642</v>
      </c>
      <c r="M7" s="69">
        <f>200/0.1528924278</f>
        <v>1308.1092561472165</v>
      </c>
      <c r="N7" s="69">
        <f>200/0.1395458796</f>
        <v>1433.2203901203543</v>
      </c>
      <c r="P7">
        <f>200/0.3179593559</f>
        <v>629.01121256171211</v>
      </c>
      <c r="Q7">
        <f>200/0.1944209925</f>
        <v>1028.6954995356275</v>
      </c>
      <c r="R7">
        <f>200/0.1311784766</f>
        <v>1524.6403616185919</v>
      </c>
      <c r="S7">
        <f>200/0.1490405924</f>
        <v>1341.9162979655466</v>
      </c>
      <c r="T7">
        <f t="shared" si="0"/>
        <v>200</v>
      </c>
    </row>
    <row r="8" spans="1:20" x14ac:dyDescent="0.2">
      <c r="A8" s="74"/>
      <c r="B8" s="66">
        <f t="shared" si="1"/>
        <v>1000000</v>
      </c>
      <c r="C8" t="s">
        <v>426</v>
      </c>
      <c r="D8">
        <f>200/0.3393628593</f>
        <v>589.33968323032695</v>
      </c>
      <c r="E8">
        <f>200/0.4329889237</f>
        <v>461.90558014960146</v>
      </c>
      <c r="F8">
        <f>200/0.9144739516</f>
        <v>218.70497202251858</v>
      </c>
      <c r="G8">
        <f>200/0.4526528382</f>
        <v>441.83971273727451</v>
      </c>
      <c r="H8">
        <f>200/0.6412624007</f>
        <v>311.8848068773105</v>
      </c>
      <c r="J8" s="69">
        <f>200/0.3868533815</f>
        <v>516.99173269343646</v>
      </c>
      <c r="K8" s="69">
        <f>200/0.1700838188</f>
        <v>1175.8908131947469</v>
      </c>
      <c r="L8" s="69">
        <f>200/0.1584663265</f>
        <v>1262.0977870651907</v>
      </c>
      <c r="M8" s="69">
        <f>200/0.1513922457</f>
        <v>1321.0716247404207</v>
      </c>
      <c r="N8" s="69">
        <f>200/0.1386783643</f>
        <v>1442.186032475435</v>
      </c>
      <c r="P8">
        <f>200/0.3566739022</f>
        <v>560.73628815110987</v>
      </c>
      <c r="Q8">
        <f>200/0.178328836</f>
        <v>1121.5236104608455</v>
      </c>
      <c r="R8">
        <f>200/0.1500779332</f>
        <v>1332.6409535069477</v>
      </c>
      <c r="S8">
        <f>200/0.1364717258</f>
        <v>1465.5050255105662</v>
      </c>
      <c r="T8">
        <f t="shared" si="0"/>
        <v>200</v>
      </c>
    </row>
    <row r="9" spans="1:20" x14ac:dyDescent="0.2">
      <c r="A9" s="74"/>
      <c r="B9" s="66">
        <f t="shared" si="1"/>
        <v>1200000</v>
      </c>
      <c r="C9" t="s">
        <v>427</v>
      </c>
      <c r="D9">
        <f>200/0.3911903453</f>
        <v>511.2600615094986</v>
      </c>
      <c r="E9">
        <f>200/0.5421940616</f>
        <v>368.87161657544789</v>
      </c>
      <c r="F9">
        <f>200/1.0870195152</f>
        <v>183.98933708490242</v>
      </c>
      <c r="G9">
        <f>200/0.5786479058</f>
        <v>345.63332554274666</v>
      </c>
      <c r="H9">
        <f>200/0.7854815148</f>
        <v>254.6208869739273</v>
      </c>
      <c r="J9" s="69">
        <f>200/0.3706548894</f>
        <v>539.58548968219816</v>
      </c>
      <c r="K9" s="69">
        <f>200/0.1739155156</f>
        <v>1149.9836533273631</v>
      </c>
      <c r="L9" s="69">
        <f>200/0.1653849223</f>
        <v>1209.3000814016768</v>
      </c>
      <c r="M9" s="69">
        <f>200/0.1502513952</f>
        <v>1331.1024482253858</v>
      </c>
      <c r="N9" s="69">
        <f>200/0.1464998334</f>
        <v>1365.189265805677</v>
      </c>
      <c r="P9">
        <f>200/0.3234512932</f>
        <v>618.33111879485909</v>
      </c>
      <c r="Q9">
        <f>200/0.1758476248</f>
        <v>1137.3483163475746</v>
      </c>
      <c r="R9">
        <f>200/0.1524196153</f>
        <v>1312.1670698771275</v>
      </c>
      <c r="S9">
        <f>200/0.1417742858</f>
        <v>1410.6930524914694</v>
      </c>
      <c r="T9">
        <f t="shared" si="0"/>
        <v>200</v>
      </c>
    </row>
    <row r="10" spans="1:20" x14ac:dyDescent="0.2">
      <c r="D10">
        <f t="shared" ref="D10:H10" si="2">MAX(D4:D9)</f>
        <v>660.4193108796452</v>
      </c>
      <c r="E10">
        <f t="shared" si="2"/>
        <v>1301.067868497058</v>
      </c>
      <c r="F10">
        <f t="shared" si="2"/>
        <v>1207.5390289021605</v>
      </c>
      <c r="G10">
        <f t="shared" si="2"/>
        <v>1291.2865076952182</v>
      </c>
      <c r="H10">
        <f t="shared" si="2"/>
        <v>1278.449435976682</v>
      </c>
      <c r="J10" s="68">
        <f>MAX(J4:J9)</f>
        <v>658.89570345181232</v>
      </c>
      <c r="K10" s="68">
        <f t="shared" ref="K10:N10" si="3">MAX(K4:K9)</f>
        <v>1301.53113417648</v>
      </c>
      <c r="L10" s="68">
        <f t="shared" si="3"/>
        <v>1530.056920496681</v>
      </c>
      <c r="M10" s="68">
        <f t="shared" si="3"/>
        <v>1622.1885572314832</v>
      </c>
      <c r="N10" s="68">
        <f t="shared" si="3"/>
        <v>1648.7165075029825</v>
      </c>
      <c r="P10">
        <f t="shared" ref="P10" si="4">MAX(P4:P9)</f>
        <v>695.67739832859525</v>
      </c>
      <c r="Q10">
        <f t="shared" ref="Q10" si="5">MAX(Q4:Q9)</f>
        <v>1293.0931093833481</v>
      </c>
      <c r="R10">
        <f t="shared" ref="R10" si="6">MAX(R4:R9)</f>
        <v>1537.5129911103143</v>
      </c>
      <c r="S10">
        <f t="shared" ref="S10" si="7">MAX(S4:S9)</f>
        <v>1724.2534679082357</v>
      </c>
      <c r="T10">
        <f t="shared" ref="T10" si="8">MAX(T4:T9)</f>
        <v>200</v>
      </c>
    </row>
    <row r="12" spans="1:20" x14ac:dyDescent="0.2">
      <c r="A12" s="75" t="s">
        <v>431</v>
      </c>
      <c r="C12" s="4" t="s">
        <v>410</v>
      </c>
    </row>
    <row r="13" spans="1:20" x14ac:dyDescent="0.2">
      <c r="A13" s="75"/>
      <c r="B13" t="s">
        <v>430</v>
      </c>
      <c r="D13">
        <v>5</v>
      </c>
      <c r="E13">
        <v>10</v>
      </c>
      <c r="F13">
        <v>15</v>
      </c>
      <c r="G13">
        <v>20</v>
      </c>
      <c r="H13">
        <v>25</v>
      </c>
    </row>
    <row r="14" spans="1:20" x14ac:dyDescent="0.2">
      <c r="A14" s="75"/>
      <c r="B14" s="66">
        <v>10000</v>
      </c>
      <c r="C14" t="s">
        <v>422</v>
      </c>
      <c r="D14">
        <f>1000/1.01922423</f>
        <v>981.13837030738557</v>
      </c>
      <c r="F14">
        <f>1000/0.855674848</f>
        <v>1168.6682182342233</v>
      </c>
      <c r="H14">
        <f>1000/0.7170806426</f>
        <v>1394.5432920545552</v>
      </c>
    </row>
    <row r="15" spans="1:20" x14ac:dyDescent="0.2">
      <c r="A15" s="75"/>
      <c r="B15" s="66">
        <f>B14+10000</f>
        <v>20000</v>
      </c>
      <c r="C15" t="s">
        <v>423</v>
      </c>
      <c r="D15">
        <f>1000/0.5116155864</f>
        <v>1954.5925233367752</v>
      </c>
      <c r="F15">
        <f>1000/0.3615939156</f>
        <v>2765.5332594318688</v>
      </c>
      <c r="H15">
        <f>1000/0.3456229128</f>
        <v>2893.3266949771505</v>
      </c>
    </row>
    <row r="16" spans="1:20" x14ac:dyDescent="0.2">
      <c r="A16" s="75"/>
      <c r="B16" s="66">
        <f t="shared" ref="B16:B19" si="9">B15+10000</f>
        <v>30000</v>
      </c>
      <c r="C16" t="s">
        <v>424</v>
      </c>
      <c r="D16">
        <f>1000/0.3352036516</f>
        <v>2983.2610570522797</v>
      </c>
      <c r="F16">
        <f>1000/0.3715524565</f>
        <v>2691.4100082123932</v>
      </c>
      <c r="H16" s="60">
        <f>1000/0.2852358967</f>
        <v>3505.8700940848307</v>
      </c>
    </row>
    <row r="17" spans="1:8" x14ac:dyDescent="0.2">
      <c r="A17" s="75"/>
      <c r="B17" s="66">
        <f t="shared" si="9"/>
        <v>40000</v>
      </c>
      <c r="C17" t="s">
        <v>425</v>
      </c>
      <c r="D17" s="60">
        <f>1000/0.3226609927</f>
        <v>3099.2280524276712</v>
      </c>
      <c r="F17" s="60">
        <f>1000/0.301625234</f>
        <v>3315.3724797441846</v>
      </c>
      <c r="H17">
        <f>1000/0.3537988218</f>
        <v>2826.4650371427551</v>
      </c>
    </row>
    <row r="18" spans="1:8" x14ac:dyDescent="0.2">
      <c r="A18" s="75"/>
      <c r="B18" s="66">
        <f t="shared" si="9"/>
        <v>50000</v>
      </c>
      <c r="C18" t="s">
        <v>426</v>
      </c>
      <c r="D18">
        <f>1000/0.4937633473</f>
        <v>2025.2617077962684</v>
      </c>
      <c r="F18">
        <f>1000/0.344628182</f>
        <v>2901.6779596974457</v>
      </c>
      <c r="H18">
        <f>1000/0.3378644953</f>
        <v>2959.7664564075312</v>
      </c>
    </row>
    <row r="19" spans="1:8" x14ac:dyDescent="0.2">
      <c r="A19" s="75"/>
      <c r="B19" s="66">
        <f t="shared" si="9"/>
        <v>60000</v>
      </c>
      <c r="C19" t="s">
        <v>427</v>
      </c>
      <c r="D19">
        <f>1000/0.721639114</f>
        <v>1385.7341995461736</v>
      </c>
      <c r="F19">
        <f>1000/0.4716013194</f>
        <v>2120.4351193763855</v>
      </c>
      <c r="H19">
        <f>1000/0.4685385776</f>
        <v>2134.2959743513766</v>
      </c>
    </row>
    <row r="20" spans="1:8" x14ac:dyDescent="0.2">
      <c r="A20" s="75"/>
    </row>
    <row r="24" spans="1:8" x14ac:dyDescent="0.2">
      <c r="A24" s="75" t="s">
        <v>432</v>
      </c>
    </row>
    <row r="25" spans="1:8" x14ac:dyDescent="0.2">
      <c r="A25" s="76"/>
      <c r="B25" t="s">
        <v>430</v>
      </c>
      <c r="D25">
        <v>5</v>
      </c>
      <c r="E25">
        <v>10</v>
      </c>
      <c r="F25">
        <v>15</v>
      </c>
      <c r="G25">
        <v>20</v>
      </c>
    </row>
    <row r="26" spans="1:8" x14ac:dyDescent="0.2">
      <c r="A26" s="76"/>
      <c r="B26">
        <v>10000</v>
      </c>
      <c r="C26" t="s">
        <v>422</v>
      </c>
      <c r="D26" s="67">
        <f>500/0.860962</f>
        <v>580.7457239692344</v>
      </c>
      <c r="E26" s="67">
        <f>500/0.5270889919</f>
        <v>948.60641691196736</v>
      </c>
      <c r="F26" s="67">
        <f>500/0.5227403651</f>
        <v>956.49778242082039</v>
      </c>
      <c r="G26" s="67">
        <f>500/0.4596822513</f>
        <v>1087.7078646956236</v>
      </c>
    </row>
    <row r="27" spans="1:8" x14ac:dyDescent="0.2">
      <c r="A27" s="76"/>
      <c r="B27">
        <f>B26+10000</f>
        <v>20000</v>
      </c>
      <c r="C27" t="s">
        <v>423</v>
      </c>
      <c r="D27" s="67">
        <f>500/0.515761</f>
        <v>969.44127221717031</v>
      </c>
      <c r="E27" s="67">
        <f>500/0.3156988171</f>
        <v>1583.7880059006407</v>
      </c>
      <c r="F27" s="67">
        <f>500/0.372321503</f>
        <v>1342.9253910161617</v>
      </c>
      <c r="G27" s="67">
        <f>500/0.3053610677</f>
        <v>1637.4058545381488</v>
      </c>
    </row>
    <row r="28" spans="1:8" x14ac:dyDescent="0.2">
      <c r="A28" s="76"/>
      <c r="B28">
        <f>B27+10000</f>
        <v>30000</v>
      </c>
      <c r="C28" t="s">
        <v>424</v>
      </c>
      <c r="D28" s="67">
        <f>500/0.533675</f>
        <v>936.89979856654327</v>
      </c>
      <c r="E28" s="67">
        <f>500/0.391769951</f>
        <v>1276.2591891586908</v>
      </c>
      <c r="F28" s="67">
        <f>500/0.2948162468</f>
        <v>1695.97166176257</v>
      </c>
      <c r="G28" s="67">
        <f>500/0.3079036445</f>
        <v>1623.8846435609501</v>
      </c>
    </row>
    <row r="29" spans="1:8" x14ac:dyDescent="0.2">
      <c r="A29" s="76"/>
    </row>
  </sheetData>
  <mergeCells count="3">
    <mergeCell ref="A1:A9"/>
    <mergeCell ref="A12:A20"/>
    <mergeCell ref="A24:A29"/>
  </mergeCells>
  <phoneticPr fontId="20" type="noConversion"/>
  <hyperlinks>
    <hyperlink ref="C12" r:id="rId1" xr:uid="{9013B9E6-D02C-2A49-9603-D69F7A17EE3A}"/>
    <hyperlink ref="C1" r:id="rId2" xr:uid="{A47821D2-F62C-B54A-A029-1A9C89DA08EB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4B4F-8C80-E249-AE8E-243D511A97FD}">
  <dimension ref="A1:G59"/>
  <sheetViews>
    <sheetView topLeftCell="D1" zoomScale="140" zoomScaleNormal="140" workbookViewId="0">
      <selection activeCell="U22" sqref="U22"/>
    </sheetView>
  </sheetViews>
  <sheetFormatPr baseColWidth="10" defaultRowHeight="16" x14ac:dyDescent="0.2"/>
  <sheetData>
    <row r="1" spans="1:7" x14ac:dyDescent="0.2">
      <c r="A1" s="4" t="s">
        <v>435</v>
      </c>
    </row>
    <row r="2" spans="1:7" x14ac:dyDescent="0.2">
      <c r="C2" t="s">
        <v>498</v>
      </c>
      <c r="D2" t="s">
        <v>494</v>
      </c>
      <c r="E2" t="s">
        <v>495</v>
      </c>
      <c r="F2" t="s">
        <v>496</v>
      </c>
      <c r="G2" t="s">
        <v>500</v>
      </c>
    </row>
    <row r="3" spans="1:7" x14ac:dyDescent="0.2">
      <c r="B3" t="s">
        <v>422</v>
      </c>
      <c r="C3">
        <f>200/1.6370370765</f>
        <v>122.1719427562397</v>
      </c>
      <c r="D3">
        <f>200/1.0403951965</f>
        <v>192.23464378999563</v>
      </c>
      <c r="E3">
        <f>200/1.205025203</f>
        <v>165.97163237921092</v>
      </c>
      <c r="F3">
        <f>200/1.0556253895</f>
        <v>189.46114975003638</v>
      </c>
      <c r="G3">
        <f>200/1.1719960245</f>
        <v>170.64904301644242</v>
      </c>
    </row>
    <row r="4" spans="1:7" x14ac:dyDescent="0.2">
      <c r="B4" t="s">
        <v>423</v>
      </c>
      <c r="C4">
        <f>200/0.93827775</f>
        <v>213.15649870201014</v>
      </c>
      <c r="D4">
        <f>200/0.9621710955</f>
        <v>207.86323860214111</v>
      </c>
      <c r="E4">
        <f>200/0.9610164125</f>
        <v>208.11299099431352</v>
      </c>
      <c r="F4">
        <f>200/0.8407936505</f>
        <v>237.87049281481225</v>
      </c>
      <c r="G4">
        <f>200/0.9757949225</f>
        <v>204.96109929286908</v>
      </c>
    </row>
    <row r="5" spans="1:7" x14ac:dyDescent="0.2">
      <c r="B5" t="s">
        <v>424</v>
      </c>
      <c r="C5">
        <f>200/1.2648995065</f>
        <v>158.11532771753832</v>
      </c>
      <c r="D5">
        <f>200/1.6192228535</f>
        <v>123.51604324734785</v>
      </c>
      <c r="E5">
        <f>200/1.5201511465</f>
        <v>131.56586465791941</v>
      </c>
      <c r="F5">
        <f>200/1.0995225615</f>
        <v>181.89713153966966</v>
      </c>
      <c r="G5">
        <f>200/1.419778364</f>
        <v>140.86705719090673</v>
      </c>
    </row>
    <row r="6" spans="1:7" x14ac:dyDescent="0.2">
      <c r="B6" t="s">
        <v>425</v>
      </c>
      <c r="C6">
        <f>200/1.8287252275</f>
        <v>109.3658013748815</v>
      </c>
      <c r="D6">
        <f>200/1.8433730205</f>
        <v>108.49675989385567</v>
      </c>
      <c r="E6">
        <f>200/2.0898674765</f>
        <v>95.699848075988768</v>
      </c>
      <c r="F6">
        <f>200/1.696839454</f>
        <v>117.86618912504376</v>
      </c>
      <c r="G6">
        <f>200/2.078308298</f>
        <v>96.23211348983412</v>
      </c>
    </row>
    <row r="7" spans="1:7" x14ac:dyDescent="0.2">
      <c r="B7" t="s">
        <v>426</v>
      </c>
      <c r="C7">
        <f>200/2.1225048445</f>
        <v>94.228289051144259</v>
      </c>
      <c r="D7">
        <f>200/2.1839719415</f>
        <v>91.576268082746338</v>
      </c>
      <c r="E7">
        <f>200/2.3435931975</f>
        <v>85.339042720104999</v>
      </c>
      <c r="F7">
        <f>200/1.9375003165</f>
        <v>103.22578958918069</v>
      </c>
      <c r="G7">
        <f>200/2.4080954805</f>
        <v>83.053185232702404</v>
      </c>
    </row>
    <row r="8" spans="1:7" x14ac:dyDescent="0.2">
      <c r="B8" t="s">
        <v>427</v>
      </c>
      <c r="C8">
        <f>200/3.005869998</f>
        <v>66.536477004352463</v>
      </c>
      <c r="D8">
        <f>200/2.785327158</f>
        <v>71.804850437608806</v>
      </c>
      <c r="E8">
        <f>200/2.815348215</f>
        <v>71.039169838534519</v>
      </c>
      <c r="F8">
        <f>200/2.246813664</f>
        <v>89.014947347231384</v>
      </c>
      <c r="G8">
        <f>200/2.8411654995</f>
        <v>70.393646563425051</v>
      </c>
    </row>
    <row r="9" spans="1:7" x14ac:dyDescent="0.2">
      <c r="B9" t="s">
        <v>493</v>
      </c>
      <c r="C9">
        <f>AVERAGE(C3:C8)</f>
        <v>127.26238943436105</v>
      </c>
      <c r="D9">
        <f t="shared" ref="D9:G9" si="0">AVERAGE(D3:D8)</f>
        <v>132.58196734228258</v>
      </c>
      <c r="E9">
        <f t="shared" si="0"/>
        <v>126.28809144434535</v>
      </c>
      <c r="F9">
        <f t="shared" si="0"/>
        <v>153.22261669432899</v>
      </c>
      <c r="G9">
        <f t="shared" si="0"/>
        <v>127.69269079769663</v>
      </c>
    </row>
    <row r="10" spans="1:7" x14ac:dyDescent="0.2">
      <c r="B10" t="s">
        <v>497</v>
      </c>
      <c r="C10">
        <f>MAX(C3:C8)</f>
        <v>213.15649870201014</v>
      </c>
      <c r="D10">
        <f t="shared" ref="D10:G10" si="1">MAX(D3:D8)</f>
        <v>207.86323860214111</v>
      </c>
      <c r="E10">
        <f t="shared" si="1"/>
        <v>208.11299099431352</v>
      </c>
      <c r="F10">
        <f t="shared" si="1"/>
        <v>237.87049281481225</v>
      </c>
      <c r="G10">
        <f t="shared" si="1"/>
        <v>204.96109929286908</v>
      </c>
    </row>
    <row r="16" spans="1:7" x14ac:dyDescent="0.2">
      <c r="A16" s="4" t="s">
        <v>436</v>
      </c>
    </row>
    <row r="17" spans="1:7" x14ac:dyDescent="0.2">
      <c r="C17" t="s">
        <v>498</v>
      </c>
      <c r="D17" t="s">
        <v>494</v>
      </c>
      <c r="E17" t="s">
        <v>495</v>
      </c>
      <c r="F17" t="s">
        <v>496</v>
      </c>
      <c r="G17" t="s">
        <v>500</v>
      </c>
    </row>
    <row r="18" spans="1:7" x14ac:dyDescent="0.2">
      <c r="B18" t="s">
        <v>422</v>
      </c>
      <c r="C18">
        <f>300/1.7765740993</f>
        <v>168.86433282923861</v>
      </c>
      <c r="D18">
        <f>300/1.52822677</f>
        <v>196.30594483042591</v>
      </c>
      <c r="F18">
        <f>300/1.483512842</f>
        <v>202.22271860859291</v>
      </c>
      <c r="G18">
        <f>300/1.5431859023</f>
        <v>194.40302011110458</v>
      </c>
    </row>
    <row r="19" spans="1:7" x14ac:dyDescent="0.2">
      <c r="B19" t="s">
        <v>423</v>
      </c>
      <c r="C19">
        <f>300/2.502900741</f>
        <v>119.86092579929442</v>
      </c>
      <c r="D19">
        <f>300/2.017128962</f>
        <v>148.72623696927513</v>
      </c>
      <c r="F19">
        <f>300/2.6054790247</f>
        <v>115.14197472172802</v>
      </c>
      <c r="G19">
        <f>300/1.7088505037</f>
        <v>175.55660916530766</v>
      </c>
    </row>
    <row r="20" spans="1:7" x14ac:dyDescent="0.2">
      <c r="B20" t="s">
        <v>424</v>
      </c>
      <c r="C20">
        <f>300/4.0861178897</f>
        <v>73.419320758272548</v>
      </c>
      <c r="D20">
        <f>300/3.2824502483</f>
        <v>91.395140004139208</v>
      </c>
      <c r="F20">
        <f>300/4.4622068823</f>
        <v>67.23130682039735</v>
      </c>
      <c r="G20">
        <f>300/2.9140818963</f>
        <v>102.94837642720645</v>
      </c>
    </row>
    <row r="21" spans="1:7" x14ac:dyDescent="0.2">
      <c r="B21" t="s">
        <v>425</v>
      </c>
      <c r="C21">
        <f>300/6.0013962363</f>
        <v>49.988367404475355</v>
      </c>
      <c r="D21">
        <f>300/4.5279890517</f>
        <v>66.254577158786915</v>
      </c>
      <c r="F21">
        <f>300/6.3521872823</f>
        <v>47.227826678840614</v>
      </c>
      <c r="G21">
        <f>300/3.9128552093</f>
        <v>76.670355521197337</v>
      </c>
    </row>
    <row r="22" spans="1:7" x14ac:dyDescent="0.2">
      <c r="B22" t="s">
        <v>426</v>
      </c>
      <c r="C22">
        <f>300/8.002699646</f>
        <v>37.487349678298798</v>
      </c>
      <c r="D22">
        <f>300/6.117392294</f>
        <v>49.040503793461639</v>
      </c>
      <c r="F22">
        <f>300/7.2597951913</f>
        <v>41.323479808289122</v>
      </c>
      <c r="G22">
        <f>300/4.667350625</f>
        <v>64.276293791405479</v>
      </c>
    </row>
    <row r="23" spans="1:7" x14ac:dyDescent="0.2">
      <c r="B23" t="s">
        <v>427</v>
      </c>
      <c r="C23">
        <f>300/10.0694270473</f>
        <v>29.793154922398642</v>
      </c>
      <c r="D23">
        <f>300/7.491452603</f>
        <v>40.045638128960874</v>
      </c>
      <c r="F23">
        <f>300/8.4093915467</f>
        <v>35.674400262373979</v>
      </c>
      <c r="G23">
        <f>300/5.8322474123</f>
        <v>51.438147045564421</v>
      </c>
    </row>
    <row r="24" spans="1:7" x14ac:dyDescent="0.2">
      <c r="B24" t="s">
        <v>493</v>
      </c>
      <c r="C24">
        <f>AVERAGE(C18:C23)</f>
        <v>79.902241898663064</v>
      </c>
      <c r="D24">
        <f t="shared" ref="D24" si="2">AVERAGE(D18:D23)</f>
        <v>98.628006814174924</v>
      </c>
      <c r="F24">
        <f t="shared" ref="F24" si="3">AVERAGE(F18:F23)</f>
        <v>84.803617816703664</v>
      </c>
      <c r="G24">
        <f t="shared" ref="G24" si="4">AVERAGE(G18:G23)</f>
        <v>110.88213367696432</v>
      </c>
    </row>
    <row r="25" spans="1:7" x14ac:dyDescent="0.2">
      <c r="B25" t="s">
        <v>497</v>
      </c>
      <c r="C25">
        <f>MAX(C18:C23)</f>
        <v>168.86433282923861</v>
      </c>
      <c r="D25">
        <f t="shared" ref="D25:G25" si="5">MAX(D18:D23)</f>
        <v>196.30594483042591</v>
      </c>
      <c r="F25">
        <f t="shared" si="5"/>
        <v>202.22271860859291</v>
      </c>
      <c r="G25">
        <f t="shared" si="5"/>
        <v>194.40302011110458</v>
      </c>
    </row>
    <row r="32" spans="1:7" x14ac:dyDescent="0.2">
      <c r="A32" s="4" t="s">
        <v>437</v>
      </c>
    </row>
    <row r="33" spans="2:7" x14ac:dyDescent="0.2">
      <c r="C33" t="s">
        <v>498</v>
      </c>
      <c r="D33" t="s">
        <v>494</v>
      </c>
      <c r="E33" t="s">
        <v>495</v>
      </c>
      <c r="F33" t="s">
        <v>496</v>
      </c>
      <c r="G33" t="s">
        <v>500</v>
      </c>
    </row>
    <row r="34" spans="2:7" x14ac:dyDescent="0.2">
      <c r="B34" t="s">
        <v>422</v>
      </c>
      <c r="D34">
        <f>400/1.7336624638</f>
        <v>230.72541994318976</v>
      </c>
      <c r="E34">
        <f>400/1.667258692</f>
        <v>239.91477862392813</v>
      </c>
      <c r="F34">
        <f>400/1.8795071045</f>
        <v>212.82175472617374</v>
      </c>
      <c r="G34">
        <f>400/1.9603253397</f>
        <v>204.04776283778199</v>
      </c>
    </row>
    <row r="35" spans="2:7" x14ac:dyDescent="0.2">
      <c r="B35" t="s">
        <v>423</v>
      </c>
      <c r="D35">
        <f>400/3.5276457333</f>
        <v>113.39007095415241</v>
      </c>
      <c r="E35">
        <f>400/2.8537999488</f>
        <v>140.16399438516945</v>
      </c>
      <c r="F35">
        <f>400/2.7795663157</f>
        <v>143.90734185425069</v>
      </c>
      <c r="G35">
        <f>400/3.018216099</f>
        <v>132.52861520834398</v>
      </c>
    </row>
    <row r="36" spans="2:7" x14ac:dyDescent="0.2">
      <c r="B36" t="s">
        <v>424</v>
      </c>
      <c r="D36">
        <f>400/6.159019376</f>
        <v>64.945403737271832</v>
      </c>
      <c r="E36">
        <f>400/4.7144854367</f>
        <v>84.844890364108977</v>
      </c>
      <c r="F36">
        <f>400/4.405415919</f>
        <v>90.797329322493866</v>
      </c>
      <c r="G36">
        <f>400/4.7170053348</f>
        <v>84.79956489533204</v>
      </c>
    </row>
    <row r="37" spans="2:7" x14ac:dyDescent="0.2">
      <c r="B37" t="s">
        <v>425</v>
      </c>
      <c r="D37">
        <f>400/8.2384681092</f>
        <v>48.55271571098455</v>
      </c>
      <c r="E37">
        <f>400/6.2541167355</f>
        <v>63.957872377004975</v>
      </c>
      <c r="F37">
        <f>400/5.9351660963</f>
        <v>67.394912544968406</v>
      </c>
      <c r="G37">
        <f>400/6.4524867398</f>
        <v>61.991603567773979</v>
      </c>
    </row>
    <row r="38" spans="2:7" x14ac:dyDescent="0.2">
      <c r="B38" t="s">
        <v>426</v>
      </c>
      <c r="D38">
        <f>400/8.8867845947</f>
        <v>45.010655511843559</v>
      </c>
      <c r="E38">
        <f>400/8.0890480067</f>
        <v>49.449576720114386</v>
      </c>
      <c r="F38">
        <f>400/7.844908761</f>
        <v>50.988483382821585</v>
      </c>
      <c r="G38">
        <f>400/8.006634494</f>
        <v>49.958568771904275</v>
      </c>
    </row>
    <row r="39" spans="2:7" x14ac:dyDescent="0.2">
      <c r="B39" t="s">
        <v>427</v>
      </c>
      <c r="D39">
        <f>400/8.1305620433</f>
        <v>49.197090910784027</v>
      </c>
      <c r="E39">
        <f>400/10.1844170708</f>
        <v>39.27568924360434</v>
      </c>
      <c r="F39">
        <f>400/10.2438485723</f>
        <v>39.047824377414635</v>
      </c>
      <c r="G39">
        <f>400/9.2909129664</f>
        <v>43.052819614883347</v>
      </c>
    </row>
    <row r="40" spans="2:7" x14ac:dyDescent="0.2">
      <c r="B40" s="71" t="s">
        <v>493</v>
      </c>
      <c r="C40" s="71"/>
      <c r="D40" s="71">
        <f>AVERAGE(D34:D39)</f>
        <v>91.97022612803768</v>
      </c>
      <c r="E40" s="71">
        <f t="shared" ref="E40:G40" si="6">AVERAGE(E34:E39)</f>
        <v>102.9344669523217</v>
      </c>
      <c r="F40" s="71">
        <f t="shared" si="6"/>
        <v>100.82627436802049</v>
      </c>
      <c r="G40" s="71">
        <f t="shared" si="6"/>
        <v>96.06315581600326</v>
      </c>
    </row>
    <row r="41" spans="2:7" x14ac:dyDescent="0.2">
      <c r="B41" s="71" t="s">
        <v>497</v>
      </c>
      <c r="C41" s="71"/>
      <c r="D41" s="71">
        <f>MAX(D34:D39)</f>
        <v>230.72541994318976</v>
      </c>
      <c r="E41" s="71">
        <f t="shared" ref="E41:G41" si="7">MAX(E34:E39)</f>
        <v>239.91477862392813</v>
      </c>
      <c r="F41" s="71">
        <f t="shared" si="7"/>
        <v>212.82175472617374</v>
      </c>
      <c r="G41" s="71">
        <f t="shared" si="7"/>
        <v>204.04776283778199</v>
      </c>
    </row>
    <row r="50" spans="1:7" x14ac:dyDescent="0.2">
      <c r="A50" s="4" t="s">
        <v>438</v>
      </c>
    </row>
    <row r="51" spans="1:7" x14ac:dyDescent="0.2">
      <c r="C51" t="s">
        <v>498</v>
      </c>
      <c r="D51" t="s">
        <v>494</v>
      </c>
      <c r="E51" t="s">
        <v>495</v>
      </c>
      <c r="F51" t="s">
        <v>496</v>
      </c>
      <c r="G51" t="s">
        <v>500</v>
      </c>
    </row>
    <row r="52" spans="1:7" x14ac:dyDescent="0.2">
      <c r="B52" t="s">
        <v>422</v>
      </c>
      <c r="C52">
        <f>500/2.76246675</f>
        <v>180.99765363691708</v>
      </c>
      <c r="D52">
        <f>500/2.6273858622</f>
        <v>190.30322389773875</v>
      </c>
      <c r="E52">
        <f>500/2.3638411632</f>
        <v>211.52013417142442</v>
      </c>
      <c r="F52">
        <f>500/2.240014506</f>
        <v>223.21284021184815</v>
      </c>
      <c r="G52">
        <f>500/2.3622266722</f>
        <v>211.66470004097351</v>
      </c>
    </row>
    <row r="53" spans="1:7" x14ac:dyDescent="0.2">
      <c r="B53" t="s">
        <v>423</v>
      </c>
      <c r="C53">
        <f>500/5.745011813</f>
        <v>87.032022957478304</v>
      </c>
      <c r="D53">
        <f>500/5.0780277234</f>
        <v>98.463424627627745</v>
      </c>
      <c r="E53">
        <f>500/6.5240123518</f>
        <v>76.639952997950431</v>
      </c>
      <c r="F53">
        <f>500/4.828010148</f>
        <v>103.56233410303098</v>
      </c>
      <c r="G53">
        <f>500/4.576739399</f>
        <v>109.24808174772811</v>
      </c>
    </row>
    <row r="54" spans="1:7" x14ac:dyDescent="0.2">
      <c r="B54" t="s">
        <v>424</v>
      </c>
      <c r="C54">
        <f>500/9.5933607518</f>
        <v>52.119378488522393</v>
      </c>
      <c r="D54">
        <f>500/8.1636679284</f>
        <v>61.246979223712145</v>
      </c>
      <c r="E54">
        <f>500/9.988076314</f>
        <v>50.059689602007175</v>
      </c>
      <c r="F54">
        <f>500/6.7205247848</f>
        <v>74.398951869184984</v>
      </c>
      <c r="G54">
        <f>500/6.9978568444</f>
        <v>71.450447060820125</v>
      </c>
    </row>
    <row r="55" spans="1:7" x14ac:dyDescent="0.2">
      <c r="B55" t="s">
        <v>425</v>
      </c>
      <c r="C55">
        <f>500/12.1097415112</f>
        <v>41.289072895367951</v>
      </c>
      <c r="D55">
        <f>500/7.9638326885</f>
        <v>62.783840338837628</v>
      </c>
      <c r="E55">
        <f>500/13.7613351252</f>
        <v>36.333683865048179</v>
      </c>
      <c r="F55">
        <f>500/7.3595319486</f>
        <v>67.939103123958148</v>
      </c>
      <c r="G55">
        <f>500/9.4843679751</f>
        <v>52.71832570316613</v>
      </c>
    </row>
    <row r="56" spans="1:7" x14ac:dyDescent="0.2">
      <c r="B56" t="s">
        <v>426</v>
      </c>
      <c r="C56">
        <f>500/16.6190033158</f>
        <v>30.086040089097313</v>
      </c>
      <c r="D56">
        <f>500/14.4048758777</f>
        <v>34.710469166488515</v>
      </c>
      <c r="E56">
        <f>500/16.9068376728</f>
        <v>29.573833361185475</v>
      </c>
      <c r="F56">
        <f>500/9.1781493141</f>
        <v>54.477213530604828</v>
      </c>
      <c r="G56">
        <f>500/10.1541349876</f>
        <v>49.241023544653352</v>
      </c>
    </row>
    <row r="57" spans="1:7" x14ac:dyDescent="0.2">
      <c r="B57" t="s">
        <v>427</v>
      </c>
      <c r="C57">
        <f>500/15.5951590814</f>
        <v>32.06123114167773</v>
      </c>
      <c r="D57">
        <f>500/15.1972158234</f>
        <v>32.900763258893917</v>
      </c>
      <c r="E57">
        <f>500/17.7011364143</f>
        <v>28.246774009157466</v>
      </c>
      <c r="F57">
        <f>500/12.4121502546</f>
        <v>40.283108868642458</v>
      </c>
      <c r="G57">
        <f>500/11.3284050787</f>
        <v>44.136839786927702</v>
      </c>
    </row>
    <row r="58" spans="1:7" x14ac:dyDescent="0.2">
      <c r="B58" s="71" t="s">
        <v>493</v>
      </c>
      <c r="C58" s="71">
        <f>AVERAGE(C52:C57)</f>
        <v>70.597566534843466</v>
      </c>
      <c r="D58" s="71">
        <f t="shared" ref="D58:G58" si="8">AVERAGE(D52:D57)</f>
        <v>80.068116752216454</v>
      </c>
      <c r="E58" s="71">
        <f t="shared" si="8"/>
        <v>72.062344667795514</v>
      </c>
      <c r="F58" s="71">
        <f t="shared" si="8"/>
        <v>93.978925284544914</v>
      </c>
      <c r="G58" s="71">
        <f t="shared" si="8"/>
        <v>89.743236314044808</v>
      </c>
    </row>
    <row r="59" spans="1:7" x14ac:dyDescent="0.2">
      <c r="B59" s="71" t="s">
        <v>497</v>
      </c>
      <c r="C59" s="71">
        <f>MAX(C52:C57)</f>
        <v>180.99765363691708</v>
      </c>
      <c r="D59" s="71">
        <f t="shared" ref="D59:G59" si="9">MAX(D52:D57)</f>
        <v>190.30322389773875</v>
      </c>
      <c r="E59" s="71">
        <f t="shared" si="9"/>
        <v>211.52013417142442</v>
      </c>
      <c r="F59" s="71">
        <f t="shared" si="9"/>
        <v>223.21284021184815</v>
      </c>
      <c r="G59" s="71">
        <f t="shared" si="9"/>
        <v>211.66470004097351</v>
      </c>
    </row>
  </sheetData>
  <hyperlinks>
    <hyperlink ref="A1" r:id="rId1" xr:uid="{ADA6D3F3-5EC1-B14F-8B92-F299233D43AD}"/>
    <hyperlink ref="A16" r:id="rId2" xr:uid="{D8D8DCC7-AA76-FF46-A571-E874151B81A8}"/>
    <hyperlink ref="A32" r:id="rId3" xr:uid="{D6A4B9A8-AB8F-EE4A-8B83-96F9A3AB7982}"/>
    <hyperlink ref="A50" r:id="rId4" xr:uid="{DD8B6DF2-AE8D-D14B-8BD5-B6F655EC16EC}"/>
  </hyperlinks>
  <pageMargins left="0.7" right="0.7" top="0.75" bottom="0.75" header="0.3" footer="0.3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A852-9C4E-8440-A8BF-EC9417B35E3C}">
  <dimension ref="A1:C24"/>
  <sheetViews>
    <sheetView zoomScale="150" workbookViewId="0">
      <selection activeCell="A19" sqref="A19:B24"/>
    </sheetView>
  </sheetViews>
  <sheetFormatPr baseColWidth="10" defaultRowHeight="16" x14ac:dyDescent="0.2"/>
  <sheetData>
    <row r="1" spans="1:3" x14ac:dyDescent="0.2">
      <c r="A1" t="s">
        <v>501</v>
      </c>
    </row>
    <row r="2" spans="1:3" x14ac:dyDescent="0.2">
      <c r="B2" t="s">
        <v>494</v>
      </c>
    </row>
    <row r="3" spans="1:3" x14ac:dyDescent="0.2">
      <c r="A3" t="s">
        <v>422</v>
      </c>
      <c r="B3">
        <f>50/11.95276206</f>
        <v>4.1831335509744099</v>
      </c>
      <c r="C3" s="72">
        <v>0.98</v>
      </c>
    </row>
    <row r="4" spans="1:3" x14ac:dyDescent="0.2">
      <c r="A4" t="s">
        <v>423</v>
      </c>
      <c r="B4">
        <f>50/11.2958915</f>
        <v>4.4263881252754596</v>
      </c>
      <c r="C4" s="72">
        <v>1</v>
      </c>
    </row>
    <row r="5" spans="1:3" x14ac:dyDescent="0.2">
      <c r="A5" t="s">
        <v>424</v>
      </c>
      <c r="B5">
        <f>50/13.0893181211</f>
        <v>3.8199086871759902</v>
      </c>
      <c r="C5" s="72">
        <v>0.92</v>
      </c>
    </row>
    <row r="6" spans="1:3" x14ac:dyDescent="0.2">
      <c r="A6" t="s">
        <v>425</v>
      </c>
      <c r="B6">
        <f>50/68.7542758233</f>
        <v>0.72722749823590749</v>
      </c>
    </row>
    <row r="7" spans="1:3" x14ac:dyDescent="0.2">
      <c r="A7" t="s">
        <v>426</v>
      </c>
      <c r="B7">
        <f>50/302.8025</f>
        <v>0.16512413206628082</v>
      </c>
    </row>
    <row r="8" spans="1:3" x14ac:dyDescent="0.2">
      <c r="A8" t="s">
        <v>427</v>
      </c>
      <c r="B8">
        <f>50/281.895412963</f>
        <v>0.17737074709535169</v>
      </c>
    </row>
    <row r="18" spans="1:2" x14ac:dyDescent="0.2">
      <c r="A18" t="s">
        <v>506</v>
      </c>
    </row>
    <row r="19" spans="1:2" x14ac:dyDescent="0.2">
      <c r="B19" t="s">
        <v>498</v>
      </c>
    </row>
    <row r="20" spans="1:2" x14ac:dyDescent="0.2">
      <c r="A20" t="s">
        <v>422</v>
      </c>
      <c r="B20">
        <f>30/8.9650792833</f>
        <v>3.3463173109783311</v>
      </c>
    </row>
    <row r="21" spans="1:2" x14ac:dyDescent="0.2">
      <c r="A21" t="s">
        <v>423</v>
      </c>
      <c r="B21">
        <f>30/6.5146202</f>
        <v>4.6050267059313752</v>
      </c>
    </row>
    <row r="22" spans="1:2" x14ac:dyDescent="0.2">
      <c r="A22" t="s">
        <v>424</v>
      </c>
      <c r="B22">
        <f>30/6.4348460333</f>
        <v>4.6621162098908862</v>
      </c>
    </row>
    <row r="23" spans="1:2" x14ac:dyDescent="0.2">
      <c r="A23" t="s">
        <v>425</v>
      </c>
      <c r="B23">
        <f>30/6.4157505</f>
        <v>4.6759923098630471</v>
      </c>
    </row>
    <row r="24" spans="1:2" x14ac:dyDescent="0.2">
      <c r="A24" t="s">
        <v>426</v>
      </c>
      <c r="B24">
        <f>30/30.6927767213</f>
        <v>0.97742867230323838</v>
      </c>
    </row>
  </sheetData>
  <phoneticPr fontId="20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4729-44EB-C84D-A01D-B6056F44382F}">
  <dimension ref="A2:B7"/>
  <sheetViews>
    <sheetView tabSelected="1" zoomScale="160" zoomScaleNormal="160" workbookViewId="0">
      <selection activeCell="B2" sqref="B2"/>
    </sheetView>
  </sheetViews>
  <sheetFormatPr baseColWidth="10" defaultRowHeight="16" x14ac:dyDescent="0.2"/>
  <sheetData>
    <row r="2" spans="1:2" x14ac:dyDescent="0.2">
      <c r="B2" t="s">
        <v>494</v>
      </c>
    </row>
    <row r="3" spans="1:2" x14ac:dyDescent="0.2">
      <c r="A3" t="s">
        <v>422</v>
      </c>
      <c r="B3">
        <f>30/8.9650792833</f>
        <v>3.3463173109783311</v>
      </c>
    </row>
    <row r="4" spans="1:2" x14ac:dyDescent="0.2">
      <c r="A4" t="s">
        <v>423</v>
      </c>
      <c r="B4">
        <f>30/6.5146202</f>
        <v>4.6050267059313752</v>
      </c>
    </row>
    <row r="5" spans="1:2" x14ac:dyDescent="0.2">
      <c r="A5" t="s">
        <v>424</v>
      </c>
      <c r="B5">
        <f>30/6.4348460333</f>
        <v>4.6621162098908862</v>
      </c>
    </row>
    <row r="6" spans="1:2" x14ac:dyDescent="0.2">
      <c r="A6" t="s">
        <v>425</v>
      </c>
      <c r="B6">
        <f>30/6.4157505</f>
        <v>4.6759923098630471</v>
      </c>
    </row>
    <row r="7" spans="1:2" x14ac:dyDescent="0.2">
      <c r="A7" t="s">
        <v>426</v>
      </c>
      <c r="B7">
        <f>30/30.6927767213</f>
        <v>0.97742867230323838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82C3-CC7A-5147-9A0C-020E0D3C8569}">
  <dimension ref="C8:E9"/>
  <sheetViews>
    <sheetView topLeftCell="A3" zoomScale="164" workbookViewId="0">
      <selection activeCell="H9" sqref="H9"/>
    </sheetView>
  </sheetViews>
  <sheetFormatPr baseColWidth="10" defaultRowHeight="16" x14ac:dyDescent="0.2"/>
  <sheetData>
    <row r="8" spans="3:5" x14ac:dyDescent="0.2">
      <c r="C8">
        <v>100</v>
      </c>
      <c r="D8">
        <v>3000</v>
      </c>
      <c r="E8">
        <v>15000</v>
      </c>
    </row>
    <row r="9" spans="3:5" x14ac:dyDescent="0.2">
      <c r="C9">
        <v>101</v>
      </c>
      <c r="D9">
        <v>106</v>
      </c>
      <c r="E9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2F72-3C09-CD43-8FE1-8B337DC93B59}">
  <dimension ref="A1:I12"/>
  <sheetViews>
    <sheetView zoomScale="120" zoomScaleNormal="120" workbookViewId="0">
      <selection activeCell="C14" sqref="C14"/>
    </sheetView>
  </sheetViews>
  <sheetFormatPr baseColWidth="10" defaultRowHeight="16" x14ac:dyDescent="0.2"/>
  <cols>
    <col min="1" max="1" width="16.6640625" customWidth="1"/>
  </cols>
  <sheetData>
    <row r="1" spans="1:9" x14ac:dyDescent="0.2">
      <c r="A1" t="s">
        <v>5</v>
      </c>
    </row>
    <row r="2" spans="1:9" x14ac:dyDescent="0.2">
      <c r="A2" t="s">
        <v>4</v>
      </c>
      <c r="B2">
        <v>100</v>
      </c>
      <c r="C2">
        <f>B2+200</f>
        <v>300</v>
      </c>
      <c r="D2">
        <f t="shared" ref="D2:I2" si="0">C2+200</f>
        <v>500</v>
      </c>
      <c r="E2">
        <f t="shared" si="0"/>
        <v>700</v>
      </c>
      <c r="F2">
        <f t="shared" si="0"/>
        <v>900</v>
      </c>
      <c r="G2">
        <f t="shared" si="0"/>
        <v>1100</v>
      </c>
      <c r="H2">
        <f t="shared" si="0"/>
        <v>1300</v>
      </c>
      <c r="I2">
        <f t="shared" si="0"/>
        <v>1500</v>
      </c>
    </row>
    <row r="3" spans="1:9" x14ac:dyDescent="0.2">
      <c r="A3" t="s">
        <v>0</v>
      </c>
      <c r="B3">
        <v>1.8280000000000001</v>
      </c>
      <c r="C3" s="4">
        <v>1.76</v>
      </c>
      <c r="D3">
        <v>3.286</v>
      </c>
      <c r="E3" s="4">
        <v>2.0670000000000002</v>
      </c>
      <c r="F3">
        <v>4.7850000000000001</v>
      </c>
      <c r="G3" s="2">
        <v>5.7830000000000004</v>
      </c>
      <c r="H3" s="2">
        <v>5.5389999999999997</v>
      </c>
      <c r="I3" s="2">
        <v>11.936</v>
      </c>
    </row>
    <row r="8" spans="1:9" x14ac:dyDescent="0.2">
      <c r="A8" t="s">
        <v>6</v>
      </c>
    </row>
    <row r="9" spans="1:9" x14ac:dyDescent="0.2">
      <c r="A9" t="s">
        <v>4</v>
      </c>
      <c r="B9">
        <f>B2*2</f>
        <v>200</v>
      </c>
      <c r="C9">
        <f>C2*2</f>
        <v>600</v>
      </c>
      <c r="D9">
        <f>D2*2</f>
        <v>1000</v>
      </c>
      <c r="E9">
        <f>E2*2</f>
        <v>1400</v>
      </c>
      <c r="F9">
        <f>F2*2</f>
        <v>1800</v>
      </c>
    </row>
    <row r="10" spans="1:9" x14ac:dyDescent="0.2">
      <c r="A10" t="s">
        <v>1</v>
      </c>
      <c r="B10">
        <v>3.15</v>
      </c>
      <c r="C10" s="4">
        <v>7.1539999999999999</v>
      </c>
      <c r="D10">
        <v>6.8920000000000003</v>
      </c>
      <c r="E10">
        <v>11.420999999999999</v>
      </c>
      <c r="F10" s="1">
        <v>19.507999999999999</v>
      </c>
    </row>
    <row r="12" spans="1:9" x14ac:dyDescent="0.2">
      <c r="A12" t="s">
        <v>308</v>
      </c>
    </row>
  </sheetData>
  <hyperlinks>
    <hyperlink ref="C3" r:id="rId1" location="/NeutronNetworks.create_and_list_subnets-2" display="http://10.213.43.169:8082/1.8/testcase1_makeup/alcor-create-and-list-subnets_300rps_2021-11-04_16-46-05.html - /NeutronNetworks.create_and_list_subnets-2" xr:uid="{EB4E6922-2A08-DA41-9C49-AEA8EA4D7272}"/>
    <hyperlink ref="E3" r:id="rId2" location="/NeutronNetworks.create_and_list_subnets-2" display="http://10.213.43.169:8082/1.8/testcase1_makeup/alcor-create-and-list-subnets_700rps_2021-11-04_16-49-26.html - /NeutronNetworks.create_and_list_subnets-2" xr:uid="{B6F1D7AA-499E-E24C-98D1-CE301F603119}"/>
    <hyperlink ref="C10" r:id="rId3" location="/NeutronNetworks.create_and_list_subnets-2" display="http://10.213.43.169:8082/1.8/testcase1_makeup/alcor-create-and-list-subnets_300rps_2t_2021-11-04_16-40-20.html - /NeutronNetworks.create_and_list_subnets-2" xr:uid="{D93B277F-EB43-9148-82EE-BBE85EA73CD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877F-CA8A-B344-AD3D-6FE665C6D557}">
  <dimension ref="A1:I10"/>
  <sheetViews>
    <sheetView zoomScale="150" zoomScaleNormal="150" workbookViewId="0">
      <selection activeCell="E18" sqref="E18"/>
    </sheetView>
  </sheetViews>
  <sheetFormatPr baseColWidth="10" defaultRowHeight="16" x14ac:dyDescent="0.2"/>
  <cols>
    <col min="1" max="1" width="15.1640625" customWidth="1"/>
  </cols>
  <sheetData>
    <row r="1" spans="1:9" x14ac:dyDescent="0.2">
      <c r="A1" t="s">
        <v>8</v>
      </c>
    </row>
    <row r="2" spans="1:9" x14ac:dyDescent="0.2">
      <c r="A2" t="s">
        <v>7</v>
      </c>
      <c r="B2">
        <v>100</v>
      </c>
      <c r="C2">
        <f>B2+200</f>
        <v>300</v>
      </c>
      <c r="D2">
        <f t="shared" ref="D2:I2" si="0">C2+200</f>
        <v>500</v>
      </c>
      <c r="E2">
        <f t="shared" si="0"/>
        <v>700</v>
      </c>
      <c r="F2">
        <f t="shared" si="0"/>
        <v>900</v>
      </c>
      <c r="G2">
        <f t="shared" si="0"/>
        <v>1100</v>
      </c>
      <c r="H2">
        <f t="shared" si="0"/>
        <v>1300</v>
      </c>
      <c r="I2">
        <f t="shared" si="0"/>
        <v>1500</v>
      </c>
    </row>
    <row r="3" spans="1:9" x14ac:dyDescent="0.2">
      <c r="A3" t="s">
        <v>0</v>
      </c>
      <c r="B3">
        <v>0.89400000000000002</v>
      </c>
      <c r="C3">
        <v>3.45</v>
      </c>
      <c r="D3">
        <v>5.4359999999999999</v>
      </c>
      <c r="E3" s="4">
        <v>8.5030000000000001</v>
      </c>
      <c r="F3">
        <v>11.282999999999999</v>
      </c>
      <c r="G3">
        <v>15.131</v>
      </c>
      <c r="H3">
        <v>18.131</v>
      </c>
      <c r="I3">
        <v>19.222999999999999</v>
      </c>
    </row>
    <row r="6" spans="1:9" x14ac:dyDescent="0.2">
      <c r="A6" t="s">
        <v>9</v>
      </c>
    </row>
    <row r="7" spans="1:9" x14ac:dyDescent="0.2">
      <c r="A7" t="s">
        <v>7</v>
      </c>
      <c r="B7">
        <f>B2*2</f>
        <v>200</v>
      </c>
      <c r="C7">
        <f t="shared" ref="C7:F7" si="1">C2*2</f>
        <v>600</v>
      </c>
      <c r="D7">
        <f t="shared" si="1"/>
        <v>1000</v>
      </c>
      <c r="E7">
        <f t="shared" si="1"/>
        <v>1400</v>
      </c>
      <c r="F7">
        <f t="shared" si="1"/>
        <v>1800</v>
      </c>
    </row>
    <row r="8" spans="1:9" x14ac:dyDescent="0.2">
      <c r="A8" t="s">
        <v>1</v>
      </c>
      <c r="B8">
        <v>0.82</v>
      </c>
      <c r="C8">
        <v>5.9770000000000003</v>
      </c>
      <c r="D8" s="4">
        <v>13.137</v>
      </c>
      <c r="E8">
        <v>17.623000000000001</v>
      </c>
      <c r="F8">
        <v>23.312999999999999</v>
      </c>
    </row>
    <row r="10" spans="1:9" x14ac:dyDescent="0.2">
      <c r="A10" t="s">
        <v>307</v>
      </c>
    </row>
  </sheetData>
  <hyperlinks>
    <hyperlink ref="D8" r:id="rId1" location="/NeutronNetworks.create_and_list_networks-2" display="http://10.213.43.169:8082/1.8/testcase1_makeup/ym_create-and-list-networks_500rps_2t_2021-11-04_16-54-45.html - /NeutronNetworks.create_and_list_networks-2" xr:uid="{D8BFD4DB-2FA2-DF44-AB4C-EC19A2C11A65}"/>
    <hyperlink ref="E3" r:id="rId2" location="/NeutronNetworks.create_and_list_networks-2" display="http://10.213.43.169:8082/1.8/testcase1_makeup/ym_create-and-list-networks_700rps_2021-11-04_16-58-34.html - /NeutronNetworks.create_and_list_networks-2" xr:uid="{AACC680B-578B-1A4A-9810-C45732D5CB4F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25F-2C8B-5E4A-981A-A7DF87786AEE}">
  <dimension ref="A10:A254"/>
  <sheetViews>
    <sheetView zoomScale="145" zoomScaleNormal="130" workbookViewId="0">
      <selection activeCell="A242" sqref="A242"/>
    </sheetView>
  </sheetViews>
  <sheetFormatPr baseColWidth="10" defaultRowHeight="16" x14ac:dyDescent="0.2"/>
  <cols>
    <col min="1" max="1" width="24" customWidth="1"/>
  </cols>
  <sheetData>
    <row r="10" spans="1:1" x14ac:dyDescent="0.2">
      <c r="A10" t="s">
        <v>39</v>
      </c>
    </row>
    <row r="11" spans="1:1" x14ac:dyDescent="0.2">
      <c r="A11" t="s">
        <v>47</v>
      </c>
    </row>
    <row r="12" spans="1:1" x14ac:dyDescent="0.2">
      <c r="A12" t="s">
        <v>49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144</v>
      </c>
    </row>
    <row r="33" spans="1:1" x14ac:dyDescent="0.2">
      <c r="A33" t="s">
        <v>145</v>
      </c>
    </row>
    <row r="34" spans="1:1" x14ac:dyDescent="0.2">
      <c r="A34" t="s">
        <v>146</v>
      </c>
    </row>
    <row r="35" spans="1:1" x14ac:dyDescent="0.2">
      <c r="A35" t="s">
        <v>147</v>
      </c>
    </row>
    <row r="36" spans="1:1" x14ac:dyDescent="0.2">
      <c r="A36" t="s">
        <v>148</v>
      </c>
    </row>
    <row r="37" spans="1:1" x14ac:dyDescent="0.2">
      <c r="A37" t="s">
        <v>149</v>
      </c>
    </row>
    <row r="38" spans="1:1" x14ac:dyDescent="0.2">
      <c r="A38" t="s">
        <v>150</v>
      </c>
    </row>
    <row r="39" spans="1:1" x14ac:dyDescent="0.2">
      <c r="A39" t="s">
        <v>151</v>
      </c>
    </row>
    <row r="40" spans="1:1" x14ac:dyDescent="0.2">
      <c r="A40" t="s">
        <v>152</v>
      </c>
    </row>
    <row r="41" spans="1:1" x14ac:dyDescent="0.2">
      <c r="A41" t="s">
        <v>153</v>
      </c>
    </row>
    <row r="42" spans="1:1" x14ac:dyDescent="0.2">
      <c r="A42" t="s">
        <v>154</v>
      </c>
    </row>
    <row r="43" spans="1:1" x14ac:dyDescent="0.2">
      <c r="A43" t="s">
        <v>157</v>
      </c>
    </row>
    <row r="44" spans="1:1" x14ac:dyDescent="0.2">
      <c r="A44" t="s">
        <v>155</v>
      </c>
    </row>
    <row r="45" spans="1:1" x14ac:dyDescent="0.2">
      <c r="A45" t="s">
        <v>202</v>
      </c>
    </row>
    <row r="49" spans="1:1" x14ac:dyDescent="0.2">
      <c r="A49" t="s">
        <v>203</v>
      </c>
    </row>
    <row r="51" spans="1:1" x14ac:dyDescent="0.2">
      <c r="A51" t="s">
        <v>66</v>
      </c>
    </row>
    <row r="52" spans="1:1" x14ac:dyDescent="0.2">
      <c r="A52" t="s">
        <v>204</v>
      </c>
    </row>
    <row r="53" spans="1:1" x14ac:dyDescent="0.2">
      <c r="A53" t="s">
        <v>46</v>
      </c>
    </row>
    <row r="54" spans="1:1" x14ac:dyDescent="0.2">
      <c r="A54" t="s">
        <v>156</v>
      </c>
    </row>
    <row r="55" spans="1:1" x14ac:dyDescent="0.2">
      <c r="A55" t="s">
        <v>205</v>
      </c>
    </row>
    <row r="56" spans="1:1" x14ac:dyDescent="0.2">
      <c r="A56" t="s">
        <v>131</v>
      </c>
    </row>
    <row r="57" spans="1:1" x14ac:dyDescent="0.2">
      <c r="A57" t="s">
        <v>59</v>
      </c>
    </row>
    <row r="58" spans="1:1" x14ac:dyDescent="0.2">
      <c r="A58" t="s">
        <v>37</v>
      </c>
    </row>
    <row r="59" spans="1:1" x14ac:dyDescent="0.2">
      <c r="A59" t="s">
        <v>179</v>
      </c>
    </row>
    <row r="60" spans="1:1" x14ac:dyDescent="0.2">
      <c r="A60" t="s">
        <v>77</v>
      </c>
    </row>
    <row r="61" spans="1:1" x14ac:dyDescent="0.2">
      <c r="A61" t="s">
        <v>206</v>
      </c>
    </row>
    <row r="62" spans="1:1" x14ac:dyDescent="0.2">
      <c r="A62" t="s">
        <v>207</v>
      </c>
    </row>
    <row r="63" spans="1:1" x14ac:dyDescent="0.2">
      <c r="A63" t="s">
        <v>126</v>
      </c>
    </row>
    <row r="64" spans="1:1" x14ac:dyDescent="0.2">
      <c r="A64" t="s">
        <v>221</v>
      </c>
    </row>
    <row r="65" spans="1:1" x14ac:dyDescent="0.2">
      <c r="A65" t="s">
        <v>134</v>
      </c>
    </row>
    <row r="66" spans="1:1" x14ac:dyDescent="0.2">
      <c r="A66" t="s">
        <v>121</v>
      </c>
    </row>
    <row r="67" spans="1:1" x14ac:dyDescent="0.2">
      <c r="A67" t="s">
        <v>174</v>
      </c>
    </row>
    <row r="68" spans="1:1" x14ac:dyDescent="0.2">
      <c r="A68" t="s">
        <v>79</v>
      </c>
    </row>
    <row r="69" spans="1:1" x14ac:dyDescent="0.2">
      <c r="A69" t="s">
        <v>44</v>
      </c>
    </row>
    <row r="70" spans="1:1" x14ac:dyDescent="0.2">
      <c r="A70" t="s">
        <v>105</v>
      </c>
    </row>
    <row r="71" spans="1:1" x14ac:dyDescent="0.2">
      <c r="A71" t="s">
        <v>132</v>
      </c>
    </row>
    <row r="72" spans="1:1" x14ac:dyDescent="0.2">
      <c r="A72" t="s">
        <v>35</v>
      </c>
    </row>
    <row r="73" spans="1:1" x14ac:dyDescent="0.2">
      <c r="A73" t="s">
        <v>45</v>
      </c>
    </row>
    <row r="74" spans="1:1" x14ac:dyDescent="0.2">
      <c r="A74" t="s">
        <v>91</v>
      </c>
    </row>
    <row r="75" spans="1:1" x14ac:dyDescent="0.2">
      <c r="A75" t="s">
        <v>94</v>
      </c>
    </row>
    <row r="76" spans="1:1" x14ac:dyDescent="0.2">
      <c r="A76" t="s">
        <v>98</v>
      </c>
    </row>
    <row r="77" spans="1:1" x14ac:dyDescent="0.2">
      <c r="A77" t="s">
        <v>48</v>
      </c>
    </row>
    <row r="78" spans="1:1" x14ac:dyDescent="0.2">
      <c r="A78" t="s">
        <v>161</v>
      </c>
    </row>
    <row r="79" spans="1:1" x14ac:dyDescent="0.2">
      <c r="A79" t="s">
        <v>62</v>
      </c>
    </row>
    <row r="80" spans="1:1" x14ac:dyDescent="0.2">
      <c r="A80" t="s">
        <v>130</v>
      </c>
    </row>
    <row r="81" spans="1:1" x14ac:dyDescent="0.2">
      <c r="A81" t="s">
        <v>89</v>
      </c>
    </row>
    <row r="82" spans="1:1" x14ac:dyDescent="0.2">
      <c r="A82" t="s">
        <v>118</v>
      </c>
    </row>
    <row r="83" spans="1:1" x14ac:dyDescent="0.2">
      <c r="A83" t="s">
        <v>137</v>
      </c>
    </row>
    <row r="84" spans="1:1" x14ac:dyDescent="0.2">
      <c r="A84" t="s">
        <v>119</v>
      </c>
    </row>
    <row r="85" spans="1:1" x14ac:dyDescent="0.2">
      <c r="A85" t="s">
        <v>166</v>
      </c>
    </row>
    <row r="86" spans="1:1" x14ac:dyDescent="0.2">
      <c r="A86" t="s">
        <v>110</v>
      </c>
    </row>
    <row r="87" spans="1:1" x14ac:dyDescent="0.2">
      <c r="A87" t="s">
        <v>170</v>
      </c>
    </row>
    <row r="88" spans="1:1" x14ac:dyDescent="0.2">
      <c r="A88" t="s">
        <v>75</v>
      </c>
    </row>
    <row r="89" spans="1:1" x14ac:dyDescent="0.2">
      <c r="A89" t="s">
        <v>41</v>
      </c>
    </row>
    <row r="90" spans="1:1" x14ac:dyDescent="0.2">
      <c r="A90" t="s">
        <v>117</v>
      </c>
    </row>
    <row r="91" spans="1:1" x14ac:dyDescent="0.2">
      <c r="A91" t="s">
        <v>184</v>
      </c>
    </row>
    <row r="92" spans="1:1" x14ac:dyDescent="0.2">
      <c r="A92" t="s">
        <v>90</v>
      </c>
    </row>
    <row r="93" spans="1:1" x14ac:dyDescent="0.2">
      <c r="A93" t="s">
        <v>172</v>
      </c>
    </row>
    <row r="94" spans="1:1" x14ac:dyDescent="0.2">
      <c r="A94" t="s">
        <v>101</v>
      </c>
    </row>
    <row r="95" spans="1:1" x14ac:dyDescent="0.2">
      <c r="A95" t="s">
        <v>183</v>
      </c>
    </row>
    <row r="96" spans="1:1" x14ac:dyDescent="0.2">
      <c r="A96" t="s">
        <v>71</v>
      </c>
    </row>
    <row r="99" spans="1:1" x14ac:dyDescent="0.2">
      <c r="A99" t="s">
        <v>81</v>
      </c>
    </row>
    <row r="101" spans="1:1" x14ac:dyDescent="0.2">
      <c r="A101" t="s">
        <v>133</v>
      </c>
    </row>
    <row r="102" spans="1:1" x14ac:dyDescent="0.2">
      <c r="A102" t="s">
        <v>188</v>
      </c>
    </row>
    <row r="103" spans="1:1" x14ac:dyDescent="0.2">
      <c r="A103" t="s">
        <v>162</v>
      </c>
    </row>
    <row r="104" spans="1:1" x14ac:dyDescent="0.2">
      <c r="A104" t="s">
        <v>85</v>
      </c>
    </row>
    <row r="105" spans="1:1" x14ac:dyDescent="0.2">
      <c r="A105" t="s">
        <v>87</v>
      </c>
    </row>
    <row r="106" spans="1:1" x14ac:dyDescent="0.2">
      <c r="A106" t="s">
        <v>198</v>
      </c>
    </row>
    <row r="107" spans="1:1" x14ac:dyDescent="0.2">
      <c r="A107" t="s">
        <v>50</v>
      </c>
    </row>
    <row r="108" spans="1:1" x14ac:dyDescent="0.2">
      <c r="A108" t="s">
        <v>114</v>
      </c>
    </row>
    <row r="109" spans="1:1" x14ac:dyDescent="0.2">
      <c r="A109" t="s">
        <v>111</v>
      </c>
    </row>
    <row r="110" spans="1:1" x14ac:dyDescent="0.2">
      <c r="A110" t="s">
        <v>54</v>
      </c>
    </row>
    <row r="111" spans="1:1" x14ac:dyDescent="0.2">
      <c r="A111" t="s">
        <v>80</v>
      </c>
    </row>
    <row r="112" spans="1:1" x14ac:dyDescent="0.2">
      <c r="A112" t="s">
        <v>194</v>
      </c>
    </row>
    <row r="114" spans="1:1" x14ac:dyDescent="0.2">
      <c r="A114" t="s">
        <v>113</v>
      </c>
    </row>
    <row r="115" spans="1:1" x14ac:dyDescent="0.2">
      <c r="A115" t="s">
        <v>56</v>
      </c>
    </row>
    <row r="116" spans="1:1" x14ac:dyDescent="0.2">
      <c r="A116" t="s">
        <v>201</v>
      </c>
    </row>
    <row r="117" spans="1:1" x14ac:dyDescent="0.2">
      <c r="A117" t="s">
        <v>191</v>
      </c>
    </row>
    <row r="118" spans="1:1" x14ac:dyDescent="0.2">
      <c r="A118" t="s">
        <v>164</v>
      </c>
    </row>
    <row r="119" spans="1:1" x14ac:dyDescent="0.2">
      <c r="A119" t="s">
        <v>124</v>
      </c>
    </row>
    <row r="120" spans="1:1" x14ac:dyDescent="0.2">
      <c r="A120" t="s">
        <v>58</v>
      </c>
    </row>
    <row r="121" spans="1:1" x14ac:dyDescent="0.2">
      <c r="A121" t="s">
        <v>40</v>
      </c>
    </row>
    <row r="122" spans="1:1" x14ac:dyDescent="0.2">
      <c r="A122" t="s">
        <v>199</v>
      </c>
    </row>
    <row r="124" spans="1:1" x14ac:dyDescent="0.2">
      <c r="A124" t="s">
        <v>123</v>
      </c>
    </row>
    <row r="125" spans="1:1" x14ac:dyDescent="0.2">
      <c r="A125" t="s">
        <v>13</v>
      </c>
    </row>
    <row r="126" spans="1:1" x14ac:dyDescent="0.2">
      <c r="A126" t="s">
        <v>88</v>
      </c>
    </row>
    <row r="127" spans="1:1" x14ac:dyDescent="0.2">
      <c r="A127" t="s">
        <v>103</v>
      </c>
    </row>
    <row r="128" spans="1:1" x14ac:dyDescent="0.2">
      <c r="A128" t="s">
        <v>219</v>
      </c>
    </row>
    <row r="131" spans="1:1" x14ac:dyDescent="0.2">
      <c r="A131" t="s">
        <v>53</v>
      </c>
    </row>
    <row r="132" spans="1:1" x14ac:dyDescent="0.2">
      <c r="A132" t="s">
        <v>33</v>
      </c>
    </row>
    <row r="133" spans="1:1" x14ac:dyDescent="0.2">
      <c r="A133" t="s">
        <v>65</v>
      </c>
    </row>
    <row r="134" spans="1:1" x14ac:dyDescent="0.2">
      <c r="A134" t="s">
        <v>61</v>
      </c>
    </row>
    <row r="135" spans="1:1" x14ac:dyDescent="0.2">
      <c r="A135" t="s">
        <v>175</v>
      </c>
    </row>
    <row r="136" spans="1:1" x14ac:dyDescent="0.2">
      <c r="A136" t="s">
        <v>182</v>
      </c>
    </row>
    <row r="137" spans="1:1" x14ac:dyDescent="0.2">
      <c r="A137" t="s">
        <v>55</v>
      </c>
    </row>
    <row r="138" spans="1:1" x14ac:dyDescent="0.2">
      <c r="A138" t="s">
        <v>60</v>
      </c>
    </row>
    <row r="139" spans="1:1" x14ac:dyDescent="0.2">
      <c r="A139" t="s">
        <v>112</v>
      </c>
    </row>
    <row r="140" spans="1:1" x14ac:dyDescent="0.2">
      <c r="A140" t="s">
        <v>93</v>
      </c>
    </row>
    <row r="141" spans="1:1" x14ac:dyDescent="0.2">
      <c r="A141" t="s">
        <v>218</v>
      </c>
    </row>
    <row r="142" spans="1:1" x14ac:dyDescent="0.2">
      <c r="A142" t="s">
        <v>86</v>
      </c>
    </row>
    <row r="143" spans="1:1" x14ac:dyDescent="0.2">
      <c r="A143" t="s">
        <v>180</v>
      </c>
    </row>
    <row r="144" spans="1:1" x14ac:dyDescent="0.2">
      <c r="A144" t="s">
        <v>193</v>
      </c>
    </row>
    <row r="145" spans="1:1" x14ac:dyDescent="0.2">
      <c r="A145" t="s">
        <v>70</v>
      </c>
    </row>
    <row r="146" spans="1:1" x14ac:dyDescent="0.2">
      <c r="A146" t="s">
        <v>97</v>
      </c>
    </row>
    <row r="147" spans="1:1" x14ac:dyDescent="0.2">
      <c r="A147" t="s">
        <v>160</v>
      </c>
    </row>
    <row r="148" spans="1:1" x14ac:dyDescent="0.2">
      <c r="A148" t="s">
        <v>142</v>
      </c>
    </row>
    <row r="149" spans="1:1" x14ac:dyDescent="0.2">
      <c r="A149" t="s">
        <v>57</v>
      </c>
    </row>
    <row r="150" spans="1:1" x14ac:dyDescent="0.2">
      <c r="A150" t="s">
        <v>64</v>
      </c>
    </row>
    <row r="151" spans="1:1" x14ac:dyDescent="0.2">
      <c r="A151" t="s">
        <v>116</v>
      </c>
    </row>
    <row r="152" spans="1:1" x14ac:dyDescent="0.2">
      <c r="A152" t="s">
        <v>173</v>
      </c>
    </row>
    <row r="154" spans="1:1" x14ac:dyDescent="0.2">
      <c r="A154" t="s">
        <v>83</v>
      </c>
    </row>
    <row r="155" spans="1:1" x14ac:dyDescent="0.2">
      <c r="A155" t="s">
        <v>216</v>
      </c>
    </row>
    <row r="156" spans="1:1" x14ac:dyDescent="0.2">
      <c r="A156" t="s">
        <v>109</v>
      </c>
    </row>
    <row r="158" spans="1:1" x14ac:dyDescent="0.2">
      <c r="A158" t="s">
        <v>11</v>
      </c>
    </row>
    <row r="159" spans="1:1" x14ac:dyDescent="0.2">
      <c r="A159" t="s">
        <v>108</v>
      </c>
    </row>
    <row r="161" spans="1:1" x14ac:dyDescent="0.2">
      <c r="A161" t="s">
        <v>212</v>
      </c>
    </row>
    <row r="162" spans="1:1" x14ac:dyDescent="0.2">
      <c r="A162" t="s">
        <v>52</v>
      </c>
    </row>
    <row r="164" spans="1:1" x14ac:dyDescent="0.2">
      <c r="A164" t="s">
        <v>115</v>
      </c>
    </row>
    <row r="166" spans="1:1" x14ac:dyDescent="0.2">
      <c r="A166" t="s">
        <v>128</v>
      </c>
    </row>
    <row r="167" spans="1:1" x14ac:dyDescent="0.2">
      <c r="A167" t="s">
        <v>127</v>
      </c>
    </row>
    <row r="168" spans="1:1" x14ac:dyDescent="0.2">
      <c r="A168" t="s">
        <v>165</v>
      </c>
    </row>
    <row r="169" spans="1:1" x14ac:dyDescent="0.2">
      <c r="A169" t="s">
        <v>73</v>
      </c>
    </row>
    <row r="170" spans="1:1" x14ac:dyDescent="0.2">
      <c r="A170" t="s">
        <v>141</v>
      </c>
    </row>
    <row r="172" spans="1:1" x14ac:dyDescent="0.2">
      <c r="A172" t="s">
        <v>214</v>
      </c>
    </row>
    <row r="173" spans="1:1" x14ac:dyDescent="0.2">
      <c r="A173" t="s">
        <v>135</v>
      </c>
    </row>
    <row r="174" spans="1:1" x14ac:dyDescent="0.2">
      <c r="A174" t="s">
        <v>78</v>
      </c>
    </row>
    <row r="175" spans="1:1" x14ac:dyDescent="0.2">
      <c r="A175" t="s">
        <v>181</v>
      </c>
    </row>
    <row r="178" spans="1:1" x14ac:dyDescent="0.2">
      <c r="A178" t="s">
        <v>67</v>
      </c>
    </row>
    <row r="179" spans="1:1" x14ac:dyDescent="0.2">
      <c r="A179" t="s">
        <v>208</v>
      </c>
    </row>
    <row r="180" spans="1:1" x14ac:dyDescent="0.2">
      <c r="A180" t="s">
        <v>120</v>
      </c>
    </row>
    <row r="182" spans="1:1" x14ac:dyDescent="0.2">
      <c r="A182" t="s">
        <v>177</v>
      </c>
    </row>
    <row r="183" spans="1:1" x14ac:dyDescent="0.2">
      <c r="A183" t="s">
        <v>213</v>
      </c>
    </row>
    <row r="184" spans="1:1" x14ac:dyDescent="0.2">
      <c r="A184" t="s">
        <v>12</v>
      </c>
    </row>
    <row r="185" spans="1:1" x14ac:dyDescent="0.2">
      <c r="A185" t="s">
        <v>95</v>
      </c>
    </row>
    <row r="186" spans="1:1" x14ac:dyDescent="0.2">
      <c r="A186" t="s">
        <v>82</v>
      </c>
    </row>
    <row r="188" spans="1:1" x14ac:dyDescent="0.2">
      <c r="A188" t="s">
        <v>102</v>
      </c>
    </row>
    <row r="189" spans="1:1" x14ac:dyDescent="0.2">
      <c r="A189" t="s">
        <v>192</v>
      </c>
    </row>
    <row r="190" spans="1:1" x14ac:dyDescent="0.2">
      <c r="A190" t="s">
        <v>178</v>
      </c>
    </row>
    <row r="192" spans="1:1" x14ac:dyDescent="0.2">
      <c r="A192" t="s">
        <v>169</v>
      </c>
    </row>
    <row r="193" spans="1:1" x14ac:dyDescent="0.2">
      <c r="A193" t="s">
        <v>92</v>
      </c>
    </row>
    <row r="194" spans="1:1" x14ac:dyDescent="0.2">
      <c r="A194" t="s">
        <v>220</v>
      </c>
    </row>
    <row r="195" spans="1:1" x14ac:dyDescent="0.2">
      <c r="A195" t="s">
        <v>42</v>
      </c>
    </row>
    <row r="196" spans="1:1" x14ac:dyDescent="0.2">
      <c r="A196" t="s">
        <v>224</v>
      </c>
    </row>
    <row r="197" spans="1:1" x14ac:dyDescent="0.2">
      <c r="A197" t="s">
        <v>189</v>
      </c>
    </row>
    <row r="198" spans="1:1" x14ac:dyDescent="0.2">
      <c r="A198" t="s">
        <v>176</v>
      </c>
    </row>
    <row r="199" spans="1:1" x14ac:dyDescent="0.2">
      <c r="A199" t="s">
        <v>190</v>
      </c>
    </row>
    <row r="200" spans="1:1" x14ac:dyDescent="0.2">
      <c r="A200" t="s">
        <v>138</v>
      </c>
    </row>
    <row r="201" spans="1:1" x14ac:dyDescent="0.2">
      <c r="A201" t="s">
        <v>210</v>
      </c>
    </row>
    <row r="202" spans="1:1" x14ac:dyDescent="0.2">
      <c r="A202" t="s">
        <v>43</v>
      </c>
    </row>
    <row r="203" spans="1:1" x14ac:dyDescent="0.2">
      <c r="A203" t="s">
        <v>167</v>
      </c>
    </row>
    <row r="205" spans="1:1" x14ac:dyDescent="0.2">
      <c r="A205" t="s">
        <v>69</v>
      </c>
    </row>
    <row r="206" spans="1:1" x14ac:dyDescent="0.2">
      <c r="A206" t="s">
        <v>51</v>
      </c>
    </row>
    <row r="207" spans="1:1" x14ac:dyDescent="0.2">
      <c r="A207" t="s">
        <v>38</v>
      </c>
    </row>
    <row r="208" spans="1:1" x14ac:dyDescent="0.2">
      <c r="A208" t="s">
        <v>74</v>
      </c>
    </row>
    <row r="209" spans="1:1" x14ac:dyDescent="0.2">
      <c r="A209" t="s">
        <v>139</v>
      </c>
    </row>
    <row r="210" spans="1:1" x14ac:dyDescent="0.2">
      <c r="A210" t="s">
        <v>107</v>
      </c>
    </row>
    <row r="212" spans="1:1" x14ac:dyDescent="0.2">
      <c r="A212" t="s">
        <v>197</v>
      </c>
    </row>
    <row r="213" spans="1:1" x14ac:dyDescent="0.2">
      <c r="A213" t="s">
        <v>223</v>
      </c>
    </row>
    <row r="214" spans="1:1" x14ac:dyDescent="0.2">
      <c r="A214" t="s">
        <v>96</v>
      </c>
    </row>
    <row r="215" spans="1:1" x14ac:dyDescent="0.2">
      <c r="A215" t="s">
        <v>215</v>
      </c>
    </row>
    <row r="216" spans="1:1" x14ac:dyDescent="0.2">
      <c r="A216" t="s">
        <v>125</v>
      </c>
    </row>
    <row r="217" spans="1:1" x14ac:dyDescent="0.2">
      <c r="A217" t="s">
        <v>196</v>
      </c>
    </row>
    <row r="218" spans="1:1" x14ac:dyDescent="0.2">
      <c r="A218" t="s">
        <v>104</v>
      </c>
    </row>
    <row r="220" spans="1:1" x14ac:dyDescent="0.2">
      <c r="A220" t="s">
        <v>143</v>
      </c>
    </row>
    <row r="221" spans="1:1" x14ac:dyDescent="0.2">
      <c r="A221" t="s">
        <v>72</v>
      </c>
    </row>
    <row r="222" spans="1:1" x14ac:dyDescent="0.2">
      <c r="A222" t="s">
        <v>140</v>
      </c>
    </row>
    <row r="223" spans="1:1" x14ac:dyDescent="0.2">
      <c r="A223" t="s">
        <v>195</v>
      </c>
    </row>
    <row r="224" spans="1:1" x14ac:dyDescent="0.2">
      <c r="A224" t="s">
        <v>122</v>
      </c>
    </row>
    <row r="226" spans="1:1" x14ac:dyDescent="0.2">
      <c r="A226" t="s">
        <v>158</v>
      </c>
    </row>
    <row r="227" spans="1:1" x14ac:dyDescent="0.2">
      <c r="A227" t="s">
        <v>222</v>
      </c>
    </row>
    <row r="228" spans="1:1" x14ac:dyDescent="0.2">
      <c r="A228" t="s">
        <v>63</v>
      </c>
    </row>
    <row r="229" spans="1:1" x14ac:dyDescent="0.2">
      <c r="A229" t="s">
        <v>185</v>
      </c>
    </row>
    <row r="230" spans="1:1" x14ac:dyDescent="0.2">
      <c r="A230" t="s">
        <v>136</v>
      </c>
    </row>
    <row r="231" spans="1:1" x14ac:dyDescent="0.2">
      <c r="A231" t="s">
        <v>34</v>
      </c>
    </row>
    <row r="233" spans="1:1" x14ac:dyDescent="0.2">
      <c r="A233" t="s">
        <v>84</v>
      </c>
    </row>
    <row r="235" spans="1:1" x14ac:dyDescent="0.2">
      <c r="A235" t="s">
        <v>200</v>
      </c>
    </row>
    <row r="236" spans="1:1" x14ac:dyDescent="0.2">
      <c r="A236" t="s">
        <v>209</v>
      </c>
    </row>
    <row r="238" spans="1:1" x14ac:dyDescent="0.2">
      <c r="A238" t="s">
        <v>36</v>
      </c>
    </row>
    <row r="239" spans="1:1" x14ac:dyDescent="0.2">
      <c r="A239" t="s">
        <v>100</v>
      </c>
    </row>
    <row r="240" spans="1:1" x14ac:dyDescent="0.2">
      <c r="A240" t="s">
        <v>168</v>
      </c>
    </row>
    <row r="241" spans="1:1" x14ac:dyDescent="0.2">
      <c r="A241" t="s">
        <v>171</v>
      </c>
    </row>
    <row r="243" spans="1:1" x14ac:dyDescent="0.2">
      <c r="A243" t="s">
        <v>187</v>
      </c>
    </row>
    <row r="244" spans="1:1" x14ac:dyDescent="0.2">
      <c r="A244" t="s">
        <v>163</v>
      </c>
    </row>
    <row r="245" spans="1:1" x14ac:dyDescent="0.2">
      <c r="A245" t="s">
        <v>186</v>
      </c>
    </row>
    <row r="246" spans="1:1" x14ac:dyDescent="0.2">
      <c r="A246" t="s">
        <v>99</v>
      </c>
    </row>
    <row r="247" spans="1:1" x14ac:dyDescent="0.2">
      <c r="A247" t="s">
        <v>217</v>
      </c>
    </row>
    <row r="248" spans="1:1" x14ac:dyDescent="0.2">
      <c r="A248" t="s">
        <v>129</v>
      </c>
    </row>
    <row r="249" spans="1:1" x14ac:dyDescent="0.2">
      <c r="A249" t="s">
        <v>76</v>
      </c>
    </row>
    <row r="250" spans="1:1" x14ac:dyDescent="0.2">
      <c r="A250" t="s">
        <v>225</v>
      </c>
    </row>
    <row r="251" spans="1:1" x14ac:dyDescent="0.2">
      <c r="A251" t="s">
        <v>159</v>
      </c>
    </row>
    <row r="252" spans="1:1" x14ac:dyDescent="0.2">
      <c r="A252" t="s">
        <v>68</v>
      </c>
    </row>
    <row r="253" spans="1:1" x14ac:dyDescent="0.2">
      <c r="A253" t="s">
        <v>106</v>
      </c>
    </row>
    <row r="254" spans="1:1" x14ac:dyDescent="0.2">
      <c r="A254" t="s">
        <v>211</v>
      </c>
    </row>
  </sheetData>
  <sortState xmlns:xlrd2="http://schemas.microsoft.com/office/spreadsheetml/2017/richdata2" ref="A10:A252">
    <sortCondition ref="A10:A2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411E-C6CF-0348-B343-4C354587C385}">
  <dimension ref="A2:D5"/>
  <sheetViews>
    <sheetView zoomScale="170" zoomScaleNormal="170" workbookViewId="0">
      <selection activeCell="E3" sqref="E3"/>
    </sheetView>
  </sheetViews>
  <sheetFormatPr baseColWidth="10" defaultRowHeight="16" x14ac:dyDescent="0.2"/>
  <sheetData>
    <row r="2" spans="1:4" x14ac:dyDescent="0.2">
      <c r="B2" t="s">
        <v>226</v>
      </c>
      <c r="C2" t="s">
        <v>227</v>
      </c>
      <c r="D2" t="s">
        <v>228</v>
      </c>
    </row>
    <row r="3" spans="1:4" x14ac:dyDescent="0.2">
      <c r="A3" t="s">
        <v>229</v>
      </c>
      <c r="B3">
        <v>5.0140000000000002</v>
      </c>
      <c r="C3">
        <v>17.927</v>
      </c>
      <c r="D3">
        <v>38.218000000000004</v>
      </c>
    </row>
    <row r="4" spans="1:4" x14ac:dyDescent="0.2">
      <c r="A4" t="s">
        <v>230</v>
      </c>
      <c r="B4">
        <v>6.718</v>
      </c>
      <c r="C4">
        <v>21.75</v>
      </c>
      <c r="D4">
        <v>40.484000000000002</v>
      </c>
    </row>
    <row r="5" spans="1:4" x14ac:dyDescent="0.2">
      <c r="B5">
        <v>19.545000000000002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160A-95BA-9044-ADD3-E1EA186A7F7E}">
  <dimension ref="A2:D5"/>
  <sheetViews>
    <sheetView workbookViewId="0">
      <selection activeCell="C10" sqref="C10"/>
    </sheetView>
  </sheetViews>
  <sheetFormatPr baseColWidth="10" defaultRowHeight="16" x14ac:dyDescent="0.2"/>
  <sheetData>
    <row r="2" spans="1:4" x14ac:dyDescent="0.2">
      <c r="A2" t="s">
        <v>231</v>
      </c>
    </row>
    <row r="4" spans="1:4" x14ac:dyDescent="0.2">
      <c r="A4" t="s">
        <v>232</v>
      </c>
      <c r="C4" t="s">
        <v>234</v>
      </c>
      <c r="D4">
        <v>178.10300000000001</v>
      </c>
    </row>
    <row r="5" spans="1:4" x14ac:dyDescent="0.2">
      <c r="A5" t="s">
        <v>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5FB-3FD7-6C4A-8C54-ADE7F6B25CAF}">
  <dimension ref="A2:K31"/>
  <sheetViews>
    <sheetView zoomScale="140" zoomScaleNormal="140" workbookViewId="0">
      <selection activeCell="C20" sqref="C20"/>
    </sheetView>
  </sheetViews>
  <sheetFormatPr baseColWidth="10" defaultRowHeight="16" x14ac:dyDescent="0.2"/>
  <cols>
    <col min="1" max="1" width="48.6640625" customWidth="1"/>
    <col min="2" max="2" width="15" customWidth="1"/>
    <col min="3" max="3" width="18.5" customWidth="1"/>
    <col min="8" max="8" width="15.33203125" customWidth="1"/>
  </cols>
  <sheetData>
    <row r="2" spans="1:11" x14ac:dyDescent="0.2">
      <c r="B2" s="8" t="s">
        <v>251</v>
      </c>
      <c r="C2" t="s">
        <v>252</v>
      </c>
      <c r="H2" t="s">
        <v>256</v>
      </c>
    </row>
    <row r="3" spans="1:11" x14ac:dyDescent="0.2">
      <c r="A3" t="s">
        <v>235</v>
      </c>
      <c r="B3" s="6">
        <v>4801.4129999999996</v>
      </c>
      <c r="C3" s="7">
        <v>2228.6080000000002</v>
      </c>
      <c r="D3" s="4" t="s">
        <v>257</v>
      </c>
      <c r="E3" s="10">
        <v>1600.2550000000001</v>
      </c>
      <c r="F3" s="10">
        <v>2019.88</v>
      </c>
      <c r="I3" s="10">
        <v>1983.61</v>
      </c>
    </row>
    <row r="4" spans="1:11" x14ac:dyDescent="0.2">
      <c r="A4" t="s">
        <v>236</v>
      </c>
      <c r="B4" s="5">
        <v>463.18299999999999</v>
      </c>
      <c r="C4" s="5">
        <v>667.88800000000003</v>
      </c>
      <c r="D4" s="4" t="s">
        <v>257</v>
      </c>
      <c r="E4" s="4">
        <v>417.863</v>
      </c>
      <c r="F4" s="4">
        <v>572.06100000000004</v>
      </c>
      <c r="H4" s="4">
        <v>35.189</v>
      </c>
      <c r="I4" s="4">
        <v>594.68600000000004</v>
      </c>
    </row>
    <row r="5" spans="1:11" x14ac:dyDescent="0.2">
      <c r="A5" t="s">
        <v>237</v>
      </c>
      <c r="B5" s="6">
        <v>3079.1759999999999</v>
      </c>
      <c r="C5" s="7">
        <v>3570.4760000000001</v>
      </c>
      <c r="D5" s="4" t="s">
        <v>257</v>
      </c>
      <c r="E5" t="s">
        <v>257</v>
      </c>
      <c r="F5" s="4" t="s">
        <v>257</v>
      </c>
    </row>
    <row r="6" spans="1:11" x14ac:dyDescent="0.2">
      <c r="A6" t="s">
        <v>238</v>
      </c>
      <c r="B6" s="6">
        <v>2414.1909999999998</v>
      </c>
      <c r="F6" t="s">
        <v>257</v>
      </c>
    </row>
    <row r="7" spans="1:11" x14ac:dyDescent="0.2">
      <c r="A7" t="s">
        <v>239</v>
      </c>
      <c r="B7" s="7">
        <v>3264.0859999999998</v>
      </c>
    </row>
    <row r="8" spans="1:11" ht="17" x14ac:dyDescent="0.25">
      <c r="A8" t="s">
        <v>240</v>
      </c>
      <c r="B8" s="5">
        <v>243.99700000000001</v>
      </c>
      <c r="C8" t="s">
        <v>253</v>
      </c>
      <c r="D8" s="4"/>
      <c r="E8" s="4">
        <v>890.86099999999999</v>
      </c>
      <c r="F8" s="4">
        <v>775.65899999999999</v>
      </c>
      <c r="I8" s="4">
        <v>857.95299999999997</v>
      </c>
      <c r="K8" s="9">
        <v>739.03159700000003</v>
      </c>
    </row>
    <row r="12" spans="1:11" x14ac:dyDescent="0.2">
      <c r="A12" t="s">
        <v>241</v>
      </c>
      <c r="B12" s="6">
        <v>6425.19</v>
      </c>
      <c r="C12" s="10">
        <v>2274.0360000000001</v>
      </c>
      <c r="D12" s="4" t="s">
        <v>257</v>
      </c>
      <c r="H12" s="4">
        <v>35.189</v>
      </c>
    </row>
    <row r="13" spans="1:11" x14ac:dyDescent="0.2">
      <c r="A13" t="s">
        <v>242</v>
      </c>
      <c r="B13" s="7">
        <v>12242.5</v>
      </c>
      <c r="C13" s="7">
        <v>3678.9180000000001</v>
      </c>
    </row>
    <row r="14" spans="1:11" x14ac:dyDescent="0.2">
      <c r="A14" t="s">
        <v>243</v>
      </c>
      <c r="B14" s="6">
        <v>1684.13</v>
      </c>
      <c r="C14" s="5">
        <v>710.50199999999995</v>
      </c>
      <c r="D14" s="4">
        <v>740.96</v>
      </c>
      <c r="H14" s="4" t="s">
        <v>257</v>
      </c>
    </row>
    <row r="15" spans="1:11" x14ac:dyDescent="0.2">
      <c r="A15" t="s">
        <v>244</v>
      </c>
      <c r="B15" s="7">
        <v>10012.1</v>
      </c>
      <c r="C15" s="7">
        <v>8844.94</v>
      </c>
    </row>
    <row r="16" spans="1:11" ht="17" x14ac:dyDescent="0.25">
      <c r="A16" t="s">
        <v>245</v>
      </c>
      <c r="B16" s="7">
        <v>1824.09</v>
      </c>
      <c r="C16" s="9">
        <v>653.83052899999996</v>
      </c>
      <c r="D16" s="10">
        <v>1145.067</v>
      </c>
      <c r="H16" s="10">
        <v>1114.7380000000001</v>
      </c>
    </row>
    <row r="17" spans="1:8" x14ac:dyDescent="0.2">
      <c r="A17" t="s">
        <v>246</v>
      </c>
      <c r="B17" s="7">
        <v>2872.76</v>
      </c>
      <c r="C17" t="s">
        <v>253</v>
      </c>
    </row>
    <row r="18" spans="1:8" x14ac:dyDescent="0.2">
      <c r="A18" t="s">
        <v>247</v>
      </c>
      <c r="B18" s="7">
        <v>2538.33</v>
      </c>
    </row>
    <row r="19" spans="1:8" x14ac:dyDescent="0.2">
      <c r="A19" t="s">
        <v>248</v>
      </c>
      <c r="B19" s="7">
        <v>3739.62</v>
      </c>
    </row>
    <row r="20" spans="1:8" x14ac:dyDescent="0.2">
      <c r="A20" t="s">
        <v>249</v>
      </c>
      <c r="B20" s="7">
        <v>9852.2999999999993</v>
      </c>
    </row>
    <row r="21" spans="1:8" x14ac:dyDescent="0.2">
      <c r="A21" t="s">
        <v>250</v>
      </c>
      <c r="B21" s="5">
        <v>547.053</v>
      </c>
    </row>
    <row r="22" spans="1:8" ht="17" x14ac:dyDescent="0.25">
      <c r="A22" t="s">
        <v>254</v>
      </c>
      <c r="B22" s="5">
        <v>54.058999999999997</v>
      </c>
      <c r="C22" s="9">
        <v>35.189095000000002</v>
      </c>
      <c r="D22" s="4">
        <v>48.73</v>
      </c>
      <c r="F22" s="4">
        <v>119.23099999999999</v>
      </c>
      <c r="H22" s="4">
        <v>50.548999999999999</v>
      </c>
    </row>
    <row r="24" spans="1:8" x14ac:dyDescent="0.2">
      <c r="C24" t="s">
        <v>255</v>
      </c>
    </row>
    <row r="27" spans="1:8" x14ac:dyDescent="0.2">
      <c r="A27" t="s">
        <v>258</v>
      </c>
      <c r="B27" s="4">
        <v>77.497</v>
      </c>
    </row>
    <row r="28" spans="1:8" x14ac:dyDescent="0.2">
      <c r="A28" t="s">
        <v>259</v>
      </c>
      <c r="B28" s="4" t="s">
        <v>257</v>
      </c>
    </row>
    <row r="29" spans="1:8" x14ac:dyDescent="0.2">
      <c r="A29" t="s">
        <v>260</v>
      </c>
      <c r="B29" s="4">
        <v>370.17899999999997</v>
      </c>
    </row>
    <row r="30" spans="1:8" x14ac:dyDescent="0.2">
      <c r="A30" t="s">
        <v>261</v>
      </c>
      <c r="B30" s="4">
        <v>350.06900000000002</v>
      </c>
    </row>
    <row r="31" spans="1:8" x14ac:dyDescent="0.2">
      <c r="A31" t="s">
        <v>262</v>
      </c>
      <c r="B31" s="4" t="s">
        <v>257</v>
      </c>
    </row>
  </sheetData>
  <hyperlinks>
    <hyperlink ref="C12" r:id="rId1" location="/NeutronPerformancePlugin.neutron_network_scalability" display="http://10.213.43.169:8082/1.8/ym_benchmark_run2/Neutron-TestSuite3-Network_100n-20t-10c_2021-11-21_23-01-43.html - /NeutronPerformancePlugin.neutron_network_scalability" xr:uid="{E0D1A204-B775-3D4F-9307-20D398FC03E5}"/>
    <hyperlink ref="D3" r:id="rId2" location="/NeutronPerformancePlugin.neutron_network_scalability/failures" xr:uid="{436FF11B-FE69-254E-ACCA-CE7A399753BF}"/>
    <hyperlink ref="D4" r:id="rId3" location="/NeutronPerformancePlugin.neutron_network_scalability/overview" display="http://10.213.43.169:8082/1.8/ym_benchmark_run3/Alcor-TestSuite3-network_30n-10t-5c_2021-11-24_11-26-59.html - /NeutronPerformancePlugin.neutron_network_scalability/overview" xr:uid="{D0C88E2D-620E-E44E-A24B-325431B5503A}"/>
    <hyperlink ref="D14" r:id="rId4" location="/NeutronPerformancePlugin.neutron_network_scalability" display="http://10.213.43.169:8082/1.8/ym_benchmark_run3/Neutron-TestSuite3-Network_30n-10t-5c_2021-11-24_12-37-24.html - /NeutronPerformancePlugin.neutron_network_scalability" xr:uid="{94AD2A95-4D36-AC41-A5C2-FE8CBC153967}"/>
    <hyperlink ref="D12" r:id="rId5" location="/NeutronPerformancePlugin.neutron_network_scalability/failures" xr:uid="{6266515B-DEDE-7E4C-AF71-67F8E2600E61}"/>
    <hyperlink ref="D16" r:id="rId6" location="/NeutronPerformancePlugin.neutron_network_scalability" display="http://10.213.43.169:8082/1.8/ym_benchmark_run3/Neutron-TestSuite4-server_10-5-10-2-u_2021-11-24_12-51-36.html - /NeutronPerformancePlugin.neutron_network_scalability" xr:uid="{A0D0E966-F898-224B-AD84-85748480EE59}"/>
    <hyperlink ref="D22" r:id="rId7" location="/NeutronPerformancePlugin.neutron_server_scalability" display="http://10.213.43.169:8082/1.8/ym_benchmark_run3/Neutron-TestSuite5_1n-10s-10p-1t-1c_2021-11-24_13-12-31.html - /NeutronPerformancePlugin.neutron_server_scalability" xr:uid="{F403D36B-FBB9-5A45-AB06-2E1D16E09BCD}"/>
    <hyperlink ref="H4" r:id="rId8" location="/NeutronPerformancePlugin.neutron_server_scalability" display="http://10.213.43.169:8082/1.8/ym_benchmark_linkerd/Alcor-TestSuite3-network_30n-10t-5c_2021-11-23_15-37-20.html - /NeutronPerformancePlugin.neutron_server_scalability" xr:uid="{41B40135-D137-2348-B915-77023CF1C02E}"/>
    <hyperlink ref="H14" r:id="rId9" location="/NeutronPerformancePlugin.neutron_network_scalability" xr:uid="{57236B25-0A9E-EB4F-A9FB-4DCE9C0B88CA}"/>
    <hyperlink ref="H12" r:id="rId10" location="/NeutronPerformancePlugin.neutron_server_scalability" display="http://10.213.43.169:8082/1.8/ym_benchmark_linkerd/Neutron-TestSuite3-Network_100n-20t-10c_2021-11-23_15-38-59.html - /NeutronPerformancePlugin.neutron_server_scalability" xr:uid="{E3D0506E-3686-F54E-BFE1-C39F92A30C9D}"/>
    <hyperlink ref="H16" r:id="rId11" location="/NeutronPerformancePlugin.neutron_network_scalability" display="http://10.213.43.169:8082/1.8/ym_benchmark_linkerd/Neutron-TestSuite4-server_10-5-10-2-u_2021-11-23_18-48-59.html - /NeutronPerformancePlugin.neutron_network_scalability" xr:uid="{B4CAFBF8-8B97-E648-A663-957B35801CD6}"/>
    <hyperlink ref="H22" r:id="rId12" location="/NeutronPerformancePlugin.neutron_server_scalability" display="http://10.213.43.169:8082/1.8/ym_benchmark_linkerd/Neutron-TestSuite5_1n-10s-10p-1t-1c_2021-11-23_19-09-25.html - /NeutronPerformancePlugin.neutron_server_scalability" xr:uid="{3450915E-07AD-A640-B447-1AE24D1290ED}"/>
    <hyperlink ref="E4" r:id="rId13" location="/NeutronPerformancePlugin.neutron_network_scalability" display="http://10.213.43.169:8082/1.8/ym_benchmark_run3/Alcor-TestSuite3-network_30n-10t-5c_2021-11-30_15-04-42.html - /NeutronPerformancePlugin.neutron_network_scalability" xr:uid="{337ED9BD-07E5-6C45-B8C4-8295956E0E2A}"/>
    <hyperlink ref="E3" r:id="rId14" location="/NeutronPerformancePlugin.neutron_network_scalability" display="http://10.213.43.169:8082/1.8/ym_benchmark_run3/Alcor-TestSuite3-network_100n-20t-10c_2021-11-30_16-26-45.html - /NeutronPerformancePlugin.neutron_network_scalability" xr:uid="{4D471B2C-4ABD-234F-9BD7-659B96F04537}"/>
    <hyperlink ref="D5" r:id="rId15" location="/NeutronPerformancePlugin.neutron_network_scalability/task" xr:uid="{AEE59701-A0CC-1D40-A2B7-8A8B03867A41}"/>
    <hyperlink ref="E8" r:id="rId16" location="/AlcorPerformancePlugin.alcor_server_scalability" display="http://10.213.43.169:8082/1.8/ym_benchmark_run3/Alcor-TestSuite4-server_10n-10s-5t-5c_2021-12-01_14-12-35.html - /AlcorPerformancePlugin.alcor_server_scalability" xr:uid="{2E9A5D3A-7764-CC40-A6BD-9D9B94BE0A16}"/>
    <hyperlink ref="F4" r:id="rId17" location="/NeutronPerformancePlugin.neutron_network_scalability" display="http://10.213.43.169:8082/1.8/ym_benchmark_run3/Alcor-TestSuite3-network_30n-10t-5c_2021-12-01_17-19-39.html - /NeutronPerformancePlugin.neutron_network_scalability" xr:uid="{8E8AD7A8-8F32-5A4F-9297-BBAAE7E98A6A}"/>
    <hyperlink ref="F3" r:id="rId18" location="/NeutronPerformancePlugin.neutron_network_scalability" display="http://10.213.43.169:8082/1.8/ym_benchmark_run3/Alcor-TestSuite3-network_100n-20t-10c_2021-12-01_20-17-27.html - /NeutronPerformancePlugin.neutron_network_scalability" xr:uid="{447FBBD7-7E8A-5B42-9FA2-46A4A35986CA}"/>
    <hyperlink ref="F8" r:id="rId19" location="/AlcorPerformancePlugin.alcor_server_scalability" display="http://10.213.43.169:8082/1.8/ym_benchmark_run3/Alcor-TestSuite4-server_10n-10s-5t-5c_2021-12-01_21-02-39.html - /AlcorPerformancePlugin.alcor_server_scalability" xr:uid="{8EDED5CC-BD7F-A447-883B-AE06A8CFB27C}"/>
    <hyperlink ref="F5" r:id="rId20" location="/AlcorPerformancePlugin.alcor_server_scalability/overview" xr:uid="{84DEFE6E-7720-FF43-91C0-B16CC9CFE88D}"/>
    <hyperlink ref="F22" r:id="rId21" location="/AlcorPerformancePlugin.alcor_server_scalability" display="http://10.213.43.169:8082/1.8/ym_benchmark_run3/Neutron-TestSuite5_1n-10s-10p-1t-1c_2021-12-02_10-51-10.html - /AlcorPerformancePlugin.alcor_server_scalability" xr:uid="{74A1A587-4755-AF46-814A-D23010DDFF8D}"/>
    <hyperlink ref="B27" r:id="rId22" location="/NovaServers.boot_and_delete_server" display="http://10.213.43.169:8082/1.8/ym_benchmark_run3/boot-and-delete-server1_2021-12-02_14-47-06.html - /NovaServers.boot_and_delete_server" xr:uid="{F1297340-FECC-0D49-B346-22C059C388C1}"/>
    <hyperlink ref="B28" r:id="rId23" location="/NovaServers.boot_and_delete_server" xr:uid="{FAD02AFE-A027-F042-8237-F5AE151465A3}"/>
    <hyperlink ref="B29" r:id="rId24" location="/NovaServers.boot_and_delete_server" display="http://10.213.43.169:8082/1.8/ym_benchmark_run3/boot-and-delete-server1_2021-12-02_15-12-17.html - /NovaServers.boot_and_delete_server" xr:uid="{44F5D1BD-37ED-DA43-8165-BF604C3E9272}"/>
    <hyperlink ref="I4" r:id="rId25" location="/NeutronPerformancePlugin.neutron_network_scalability/overview" display="http://10.213.43.169:8082/1.8/ncm/Alcor-TestSuite3-network_30n-10t-5c_2021-12-02_17-01-22.html - /NeutronPerformancePlugin.neutron_network_scalability/overview" xr:uid="{369827C2-F12C-E240-87AB-24164FDD5CC5}"/>
    <hyperlink ref="I3" r:id="rId26" location="/NeutronPerformancePlugin.neutron_network_scalability" display="http://10.213.43.169:8082/1.8/ncm/Alcor-TestSuite3-network_100n-20t-10c_2021-12-02_18-26-54.html - /NeutronPerformancePlugin.neutron_network_scalability" xr:uid="{E8AF8FB7-D130-C646-928E-0953C6E72C2C}"/>
    <hyperlink ref="I8" r:id="rId27" location="/AlcorPerformancePlugin.alcor_server_scalability" display="http://10.213.43.169:8082/1.8/ncm/Alcor-TestSuite4-server_10n-10s-5t-5c_2021-12-02_23-47-36.html - /AlcorPerformancePlugin.alcor_server_scalability" xr:uid="{8CDAB700-909E-7949-8F48-D6DE9F43EA24}"/>
    <hyperlink ref="B30" r:id="rId28" location="/NovaServers.boot_and_delete_server/overview" display="http://10.213.43.169:8082/1.8/ncm/boot-and-delete-server1_2021-12-03_09-28-01.html - /NovaServers.boot_and_delete_server/overview" xr:uid="{3B46CA0C-D202-F64E-9F61-C413F145EADF}"/>
    <hyperlink ref="B31" r:id="rId29" location="/NovaServers.boot_and_delete_server/overview" xr:uid="{84B528F5-F701-B74A-B495-FD6DA7B294E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BFCD-3582-C048-9A76-3BE7E891A3DA}">
  <dimension ref="B1:I18"/>
  <sheetViews>
    <sheetView workbookViewId="0">
      <selection activeCell="E30" sqref="E30"/>
    </sheetView>
  </sheetViews>
  <sheetFormatPr baseColWidth="10" defaultRowHeight="16" x14ac:dyDescent="0.2"/>
  <cols>
    <col min="2" max="2" width="66.33203125" customWidth="1"/>
    <col min="3" max="3" width="17.1640625" customWidth="1"/>
    <col min="5" max="5" width="24.83203125" customWidth="1"/>
  </cols>
  <sheetData>
    <row r="1" spans="2:9" x14ac:dyDescent="0.2">
      <c r="B1" s="4" t="s">
        <v>264</v>
      </c>
      <c r="C1" s="11">
        <v>44587.613888888889</v>
      </c>
      <c r="D1" t="s">
        <v>265</v>
      </c>
      <c r="E1" t="s">
        <v>289</v>
      </c>
    </row>
    <row r="2" spans="2:9" x14ac:dyDescent="0.2">
      <c r="B2" s="4" t="s">
        <v>266</v>
      </c>
      <c r="C2" s="11">
        <v>44587.640277777777</v>
      </c>
      <c r="D2" t="s">
        <v>267</v>
      </c>
      <c r="E2" t="s">
        <v>289</v>
      </c>
    </row>
    <row r="3" spans="2:9" x14ac:dyDescent="0.2">
      <c r="B3" s="4" t="s">
        <v>268</v>
      </c>
      <c r="C3" s="11">
        <v>44587.670138888891</v>
      </c>
      <c r="D3" t="s">
        <v>269</v>
      </c>
      <c r="E3" t="s">
        <v>289</v>
      </c>
    </row>
    <row r="4" spans="2:9" x14ac:dyDescent="0.2">
      <c r="B4" s="4" t="s">
        <v>290</v>
      </c>
      <c r="C4" s="11">
        <v>44587.672222222223</v>
      </c>
      <c r="D4" t="s">
        <v>267</v>
      </c>
      <c r="E4" t="s">
        <v>289</v>
      </c>
    </row>
    <row r="5" spans="2:9" x14ac:dyDescent="0.2">
      <c r="B5" s="4" t="s">
        <v>270</v>
      </c>
      <c r="C5" s="11">
        <v>44587.679166666669</v>
      </c>
      <c r="D5" t="s">
        <v>271</v>
      </c>
      <c r="E5" t="s">
        <v>291</v>
      </c>
      <c r="G5" t="s">
        <v>296</v>
      </c>
    </row>
    <row r="6" spans="2:9" x14ac:dyDescent="0.2">
      <c r="B6" s="4" t="s">
        <v>272</v>
      </c>
      <c r="C6" s="11">
        <v>44587.681944444441</v>
      </c>
      <c r="D6" t="s">
        <v>273</v>
      </c>
      <c r="E6" t="s">
        <v>291</v>
      </c>
      <c r="G6" t="s">
        <v>296</v>
      </c>
    </row>
    <row r="7" spans="2:9" x14ac:dyDescent="0.2">
      <c r="B7" s="4" t="s">
        <v>274</v>
      </c>
      <c r="C7" s="11">
        <v>44587.68472222222</v>
      </c>
      <c r="D7" t="s">
        <v>273</v>
      </c>
      <c r="E7" t="s">
        <v>291</v>
      </c>
      <c r="G7" t="s">
        <v>296</v>
      </c>
    </row>
    <row r="8" spans="2:9" x14ac:dyDescent="0.2">
      <c r="B8" s="4" t="s">
        <v>275</v>
      </c>
      <c r="C8" s="11">
        <v>44587.695138888892</v>
      </c>
      <c r="D8" t="s">
        <v>276</v>
      </c>
      <c r="E8" t="s">
        <v>291</v>
      </c>
      <c r="G8" t="s">
        <v>297</v>
      </c>
    </row>
    <row r="9" spans="2:9" x14ac:dyDescent="0.2">
      <c r="B9" s="4" t="s">
        <v>277</v>
      </c>
      <c r="C9" s="11">
        <v>44587.731944444444</v>
      </c>
      <c r="D9" t="s">
        <v>278</v>
      </c>
      <c r="E9" t="s">
        <v>291</v>
      </c>
      <c r="G9" t="s">
        <v>296</v>
      </c>
    </row>
    <row r="10" spans="2:9" x14ac:dyDescent="0.2">
      <c r="B10" s="4" t="s">
        <v>279</v>
      </c>
      <c r="C10" s="11">
        <v>44587.742361111108</v>
      </c>
      <c r="D10" t="s">
        <v>280</v>
      </c>
      <c r="E10" t="s">
        <v>291</v>
      </c>
      <c r="F10" t="s">
        <v>294</v>
      </c>
    </row>
    <row r="11" spans="2:9" x14ac:dyDescent="0.2">
      <c r="B11" s="4" t="s">
        <v>281</v>
      </c>
      <c r="C11" s="11">
        <v>44588.459027777775</v>
      </c>
      <c r="D11" t="s">
        <v>282</v>
      </c>
      <c r="E11" t="s">
        <v>291</v>
      </c>
      <c r="F11" t="s">
        <v>293</v>
      </c>
      <c r="G11" t="s">
        <v>295</v>
      </c>
    </row>
    <row r="12" spans="2:9" x14ac:dyDescent="0.2">
      <c r="B12" s="4" t="s">
        <v>283</v>
      </c>
      <c r="C12" s="11">
        <v>44588.488194444442</v>
      </c>
      <c r="D12" t="s">
        <v>284</v>
      </c>
      <c r="E12" t="s">
        <v>291</v>
      </c>
      <c r="F12" t="s">
        <v>293</v>
      </c>
      <c r="G12" t="s">
        <v>295</v>
      </c>
    </row>
    <row r="13" spans="2:9" x14ac:dyDescent="0.2">
      <c r="B13" s="4" t="s">
        <v>285</v>
      </c>
      <c r="C13" s="11">
        <v>44588.491666666669</v>
      </c>
      <c r="D13" t="s">
        <v>286</v>
      </c>
      <c r="E13" t="s">
        <v>291</v>
      </c>
      <c r="F13" t="s">
        <v>292</v>
      </c>
    </row>
    <row r="14" spans="2:9" x14ac:dyDescent="0.2">
      <c r="B14" s="4" t="s">
        <v>287</v>
      </c>
      <c r="C14" s="11">
        <v>44588.50277777778</v>
      </c>
      <c r="D14" t="s">
        <v>288</v>
      </c>
      <c r="E14" t="s">
        <v>289</v>
      </c>
    </row>
    <row r="15" spans="2:9" x14ac:dyDescent="0.2">
      <c r="B15" s="4" t="s">
        <v>298</v>
      </c>
      <c r="C15" s="11">
        <v>44588.623611111114</v>
      </c>
      <c r="D15" t="s">
        <v>299</v>
      </c>
      <c r="E15" t="s">
        <v>291</v>
      </c>
      <c r="F15" t="s">
        <v>300</v>
      </c>
      <c r="I15" t="s">
        <v>301</v>
      </c>
    </row>
    <row r="16" spans="2:9" x14ac:dyDescent="0.2">
      <c r="B16" s="4" t="s">
        <v>302</v>
      </c>
      <c r="C16" s="11">
        <v>44588.680555555555</v>
      </c>
      <c r="D16" t="s">
        <v>303</v>
      </c>
      <c r="E16" t="s">
        <v>289</v>
      </c>
    </row>
    <row r="17" spans="2:5" x14ac:dyDescent="0.2">
      <c r="B17" s="4" t="s">
        <v>304</v>
      </c>
      <c r="C17" s="11">
        <v>44588.685416666667</v>
      </c>
      <c r="D17" t="s">
        <v>303</v>
      </c>
      <c r="E17" t="s">
        <v>289</v>
      </c>
    </row>
    <row r="18" spans="2:5" x14ac:dyDescent="0.2">
      <c r="B18" s="4" t="s">
        <v>306</v>
      </c>
      <c r="C18" s="11">
        <v>44588.696527777778</v>
      </c>
      <c r="D18" t="s">
        <v>303</v>
      </c>
      <c r="E18" t="s">
        <v>289</v>
      </c>
    </row>
  </sheetData>
  <hyperlinks>
    <hyperlink ref="B1" r:id="rId1" display="http://10.213.43.169:8082/1_30/alcor-network-performance_5n-10t-5c_2022-01-26_14-42-22.html" xr:uid="{214434DD-42CF-A34C-84F8-F53B1070B1C6}"/>
    <hyperlink ref="B2" r:id="rId2" display="http://10.213.43.169:8082/1_30/alcor-server-performance_10n-10s-4t-2c_2022-01-26_15-00-29.html" xr:uid="{AF4C85F7-F7C4-CF4B-AB96-B5384DD8EFDE}"/>
    <hyperlink ref="B3" r:id="rId3" display="http://10.213.43.169:8082/1_30/ym_alcor-network-performance_2022-01-26_16-04-03.html" xr:uid="{B22A7BF2-E517-F24B-A4EB-80528E101996}"/>
    <hyperlink ref="B4" r:id="rId4" display="http://10.213.43.169:8082/1_30/alcor-server-performance-vms_2022-01-26_16-07-08.html" xr:uid="{281501C1-AF43-A74B-B75A-594051305E8D}"/>
    <hyperlink ref="B5" r:id="rId5" display="http://10.213.43.169:8082/1_30/alcor-port_5n-20s-10p-10t-50c_2022-01-26_16-17-41.html" xr:uid="{3B56ED10-6A12-8648-96B3-8E5BE9828490}"/>
    <hyperlink ref="B6" r:id="rId6" display="http://10.213.43.169:8082/1_30/alcor-port_5n-20s-10p-10t-5c_2022-01-26_16-21-41.html" xr:uid="{257FA33F-A166-0647-8585-C2C41F0769CE}"/>
    <hyperlink ref="B7" r:id="rId7" display="http://10.213.43.169:8082/1_30/alcor-port_5n-20s-10p-10t-5c_2022-01-26_16-25-32.html" xr:uid="{48392AD7-F832-EF44-9B39-BF98951392D7}"/>
    <hyperlink ref="B8" r:id="rId8" display="http://10.213.43.169:8082/1_30/alcor-port_5n-20s-10p-10t-5c_2022-01-26_16-28-29.html" xr:uid="{0F708B3F-BE75-B64D-ACC3-670B3975A7A7}"/>
    <hyperlink ref="B9" r:id="rId9" display="http://10.213.43.169:8082/1_30/alcor-port_5n-20s-10p-10t-5c_2022-01-26_16-42-19.html" xr:uid="{2BC84A7B-8422-E540-B77F-A2906E011AB4}"/>
    <hyperlink ref="B10" r:id="rId10" display="http://10.213.43.169:8082/1_30/alcor-server-performance_2022-01-26_17-49-42.html" xr:uid="{E0D6B459-579F-4847-A1CD-1E4E0D6AAFD7}"/>
    <hyperlink ref="B11" r:id="rId11" display="http://10.213.43.169:8082/1_30/alcor-create-and-list-ports_3000t_1500c_2022-01-27_10-56-09.html" xr:uid="{438F6663-0AA4-1F43-91B6-F719A2BF2B2B}"/>
    <hyperlink ref="B12" r:id="rId12" display="http://10.213.43.169:8082/1_30/alcor-create-and-list-ports_3000t-1500rps_2022-01-27_11-03-53.html" xr:uid="{42DFAC84-3717-8548-BC47-FD0D4E8190B9}"/>
    <hyperlink ref="B13" r:id="rId13" display="http://10.213.43.169:8082/1_30/alcor-create-and-list-ports_1000t_500c_2022-01-27_11-47-09.html" xr:uid="{9CC40512-F60F-D542-918A-1CE1AEB9F94C}"/>
    <hyperlink ref="B14" r:id="rId14" display="http://10.213.43.169:8082/1_30/alcor-create-and-list-ports_1000t-500c_2022-01-27_11-49-51.html" xr:uid="{EAE63886-FE93-F54F-BEC8-0CB806DC95F4}"/>
    <hyperlink ref="B15" r:id="rId15" display="http://10.213.43.169:8082/1_30/alcor-port_2n-10s-10p-10t-5c_2022-01-27_13-52-14.html" xr:uid="{E46BD3E0-53BC-1149-AD33-C834FC634ABB}"/>
    <hyperlink ref="B16" r:id="rId16" display="http://10.213.43.169:8082/1_30/alcor-port_2n-10s-10p-10t-5c_2022-01-27_16-17-54.html" xr:uid="{022CFAD7-9CF9-B246-A5F8-E62C3AEF0E78}"/>
    <hyperlink ref="B17" r:id="rId17" display="http://10.213.43.169:8082/1_30/alcor-port_5n-10s-10p-10t-5c_2022-01-27_16-23-23.html" xr:uid="{EFEA264D-D2DF-3B46-9D05-D0E891C5F27F}"/>
    <hyperlink ref="B18" r:id="rId18" display="http://10.213.43.169:8082/1_30/alcor-port_5n-20s-10p-10t-5c_2022-01-27_16-29-24.html" xr:uid="{671F714A-7B75-BC46-A6EE-84D71696A673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Port</vt:lpstr>
      <vt:lpstr>Sheet3</vt:lpstr>
      <vt:lpstr>Subnet</vt:lpstr>
      <vt:lpstr>VPC</vt:lpstr>
      <vt:lpstr>Sheet5</vt:lpstr>
      <vt:lpstr>p_test</vt:lpstr>
      <vt:lpstr>testcase4</vt:lpstr>
      <vt:lpstr>BaseLine</vt:lpstr>
      <vt:lpstr>1_30</vt:lpstr>
      <vt:lpstr>1-30-Test Scenarios</vt:lpstr>
      <vt:lpstr>1-30 Test Results</vt:lpstr>
      <vt:lpstr>Sheet4</vt:lpstr>
      <vt:lpstr>Sheet1</vt:lpstr>
      <vt:lpstr>subnet2</vt:lpstr>
      <vt:lpstr>e2e ts3</vt:lpstr>
      <vt:lpstr>e2e ts4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Mo</dc:creator>
  <cp:lastModifiedBy>Yan Mo</cp:lastModifiedBy>
  <dcterms:created xsi:type="dcterms:W3CDTF">2021-11-03T20:36:47Z</dcterms:created>
  <dcterms:modified xsi:type="dcterms:W3CDTF">2022-03-07T10:19:13Z</dcterms:modified>
</cp:coreProperties>
</file>