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v124_ic_ac_uk/Documents/Documents/Individual Project Report Version/Results/"/>
    </mc:Choice>
  </mc:AlternateContent>
  <xr:revisionPtr revIDLastSave="3214" documentId="8_{03B9790A-DFA5-4D81-B333-A16BB486151C}" xr6:coauthVersionLast="47" xr6:coauthVersionMax="47" xr10:uidLastSave="{1F969B19-0D06-4E96-885C-DBAB6540A145}"/>
  <bookViews>
    <workbookView xWindow="-108" yWindow="-108" windowWidth="23256" windowHeight="12456" firstSheet="1" activeTab="2" xr2:uid="{844A5098-A0C8-452D-A786-0F1B8095EFE2}"/>
  </bookViews>
  <sheets>
    <sheet name="Tactile Main Results" sheetId="1" r:id="rId1"/>
    <sheet name="Tactile Ablation Study Results" sheetId="2" r:id="rId2"/>
    <sheet name="Tactile Rank Tests" sheetId="3" r:id="rId3"/>
    <sheet name="VLA" sheetId="4" r:id="rId4"/>
    <sheet name="LLM" sheetId="6" r:id="rId5"/>
    <sheet name="Pipeline Test" sheetId="5" r:id="rId6"/>
  </sheets>
  <externalReferences>
    <externalReference r:id="rId7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0" i="5" l="1"/>
  <c r="U45" i="5"/>
  <c r="Q59" i="5"/>
  <c r="R59" i="5"/>
  <c r="S59" i="5"/>
  <c r="U59" i="5"/>
  <c r="P59" i="5"/>
  <c r="Q58" i="5"/>
  <c r="R58" i="5"/>
  <c r="S58" i="5"/>
  <c r="U58" i="5"/>
  <c r="C57" i="5"/>
  <c r="P58" i="5"/>
  <c r="Q43" i="5"/>
  <c r="R43" i="5"/>
  <c r="S43" i="5"/>
  <c r="U43" i="5"/>
  <c r="Q44" i="5"/>
  <c r="R44" i="5"/>
  <c r="S44" i="5"/>
  <c r="U44" i="5"/>
  <c r="P44" i="5"/>
  <c r="P43" i="5"/>
  <c r="Q28" i="5"/>
  <c r="R28" i="5"/>
  <c r="S28" i="5"/>
  <c r="U28" i="5"/>
  <c r="P28" i="5"/>
  <c r="B59" i="5"/>
  <c r="B44" i="5"/>
  <c r="B30" i="5"/>
  <c r="B15" i="5"/>
  <c r="Q14" i="5"/>
  <c r="R14" i="5"/>
  <c r="S14" i="5"/>
  <c r="U14" i="5"/>
  <c r="P14" i="5"/>
  <c r="E59" i="5"/>
  <c r="G59" i="5"/>
  <c r="H59" i="5"/>
  <c r="I59" i="5"/>
  <c r="K59" i="5"/>
  <c r="L59" i="5"/>
  <c r="E58" i="5"/>
  <c r="G58" i="5"/>
  <c r="H58" i="5"/>
  <c r="I58" i="5"/>
  <c r="K58" i="5"/>
  <c r="L58" i="5"/>
  <c r="D59" i="5"/>
  <c r="D58" i="5"/>
  <c r="E43" i="5"/>
  <c r="G43" i="5"/>
  <c r="I43" i="5"/>
  <c r="K43" i="5"/>
  <c r="L43" i="5"/>
  <c r="E42" i="5"/>
  <c r="G42" i="5"/>
  <c r="I42" i="5"/>
  <c r="K42" i="5"/>
  <c r="L42" i="5"/>
  <c r="D42" i="5"/>
  <c r="D43" i="5"/>
  <c r="E29" i="5"/>
  <c r="G29" i="5"/>
  <c r="I29" i="5"/>
  <c r="D29" i="5"/>
  <c r="E14" i="5"/>
  <c r="F14" i="5"/>
  <c r="G14" i="5"/>
  <c r="H14" i="5"/>
  <c r="I14" i="5"/>
  <c r="K14" i="5"/>
  <c r="L14" i="5"/>
  <c r="D14" i="5"/>
  <c r="E28" i="5"/>
  <c r="G28" i="5"/>
  <c r="I28" i="5"/>
  <c r="L28" i="5"/>
  <c r="D28" i="5"/>
  <c r="D27" i="5"/>
  <c r="H33" i="5"/>
  <c r="H34" i="5"/>
  <c r="H35" i="5"/>
  <c r="H42" i="5" s="1"/>
  <c r="H36" i="5"/>
  <c r="H39" i="5"/>
  <c r="H40" i="5"/>
  <c r="H41" i="5"/>
  <c r="H32" i="5"/>
  <c r="H43" i="5" s="1"/>
  <c r="H18" i="5"/>
  <c r="H19" i="5"/>
  <c r="H20" i="5"/>
  <c r="H21" i="5"/>
  <c r="H22" i="5"/>
  <c r="H23" i="5"/>
  <c r="H24" i="5"/>
  <c r="H26" i="5"/>
  <c r="H17" i="5"/>
  <c r="P42" i="5"/>
  <c r="Q42" i="5"/>
  <c r="R42" i="5"/>
  <c r="S42" i="5"/>
  <c r="U42" i="5"/>
  <c r="P57" i="5"/>
  <c r="Q57" i="5"/>
  <c r="R57" i="5"/>
  <c r="S57" i="5"/>
  <c r="U57" i="5"/>
  <c r="D57" i="5"/>
  <c r="E57" i="5"/>
  <c r="G57" i="5"/>
  <c r="I57" i="5"/>
  <c r="L57" i="5"/>
  <c r="F48" i="5"/>
  <c r="F49" i="5"/>
  <c r="F50" i="5"/>
  <c r="F51" i="5"/>
  <c r="F52" i="5"/>
  <c r="F53" i="5"/>
  <c r="F54" i="5"/>
  <c r="F56" i="5"/>
  <c r="F47" i="5"/>
  <c r="F59" i="5" s="1"/>
  <c r="F33" i="5"/>
  <c r="F34" i="5"/>
  <c r="F35" i="5"/>
  <c r="F36" i="5"/>
  <c r="F39" i="5"/>
  <c r="F40" i="5"/>
  <c r="F41" i="5"/>
  <c r="F32" i="5"/>
  <c r="F42" i="5" s="1"/>
  <c r="F22" i="5"/>
  <c r="F19" i="5"/>
  <c r="F20" i="5"/>
  <c r="F21" i="5"/>
  <c r="F23" i="5"/>
  <c r="F24" i="5"/>
  <c r="F26" i="5"/>
  <c r="F18" i="5"/>
  <c r="P27" i="5"/>
  <c r="Q27" i="5"/>
  <c r="R27" i="5"/>
  <c r="S27" i="5"/>
  <c r="U27" i="5"/>
  <c r="E27" i="5"/>
  <c r="G27" i="5"/>
  <c r="I27" i="5"/>
  <c r="L27" i="5"/>
  <c r="P13" i="5"/>
  <c r="Q13" i="5"/>
  <c r="R13" i="5"/>
  <c r="S13" i="5"/>
  <c r="U13" i="5"/>
  <c r="E13" i="5"/>
  <c r="G13" i="5"/>
  <c r="I13" i="5"/>
  <c r="L13" i="5"/>
  <c r="D13" i="5"/>
  <c r="O7" i="4"/>
  <c r="O8" i="4" s="1"/>
  <c r="P7" i="4"/>
  <c r="P8" i="4" s="1"/>
  <c r="C108" i="6"/>
  <c r="D108" i="6"/>
  <c r="B108" i="6"/>
  <c r="C107" i="6"/>
  <c r="B107" i="6"/>
  <c r="D107" i="6"/>
  <c r="C106" i="6"/>
  <c r="D106" i="6"/>
  <c r="B106" i="6"/>
  <c r="B44" i="4"/>
  <c r="D103" i="6"/>
  <c r="C103" i="6"/>
  <c r="B103" i="6"/>
  <c r="C102" i="6"/>
  <c r="D102" i="6"/>
  <c r="D104" i="6" s="1"/>
  <c r="B102" i="6"/>
  <c r="E61" i="4"/>
  <c r="E62" i="4" s="1"/>
  <c r="F61" i="4"/>
  <c r="C61" i="4"/>
  <c r="C62" i="4" s="1"/>
  <c r="B61" i="4"/>
  <c r="B62" i="4" s="1"/>
  <c r="J9" i="5"/>
  <c r="O42" i="5"/>
  <c r="T53" i="5"/>
  <c r="B57" i="5"/>
  <c r="N57" i="5"/>
  <c r="O57" i="5"/>
  <c r="N27" i="5"/>
  <c r="N13" i="5"/>
  <c r="B13" i="5"/>
  <c r="B27" i="5"/>
  <c r="B42" i="5"/>
  <c r="N42" i="5"/>
  <c r="O13" i="5"/>
  <c r="C13" i="5"/>
  <c r="O27" i="5"/>
  <c r="C27" i="5"/>
  <c r="C42" i="5"/>
  <c r="T47" i="5"/>
  <c r="T48" i="5"/>
  <c r="T59" i="5" s="1"/>
  <c r="T49" i="5"/>
  <c r="T50" i="5"/>
  <c r="T51" i="5"/>
  <c r="T52" i="5"/>
  <c r="T54" i="5"/>
  <c r="T55" i="5"/>
  <c r="T58" i="5" s="1"/>
  <c r="T56" i="5"/>
  <c r="J47" i="5"/>
  <c r="J58" i="5" s="1"/>
  <c r="J48" i="5"/>
  <c r="J49" i="5"/>
  <c r="J50" i="5"/>
  <c r="J51" i="5"/>
  <c r="J52" i="5"/>
  <c r="J53" i="5"/>
  <c r="J54" i="5"/>
  <c r="J55" i="5"/>
  <c r="J56" i="5"/>
  <c r="J26" i="5"/>
  <c r="J17" i="5"/>
  <c r="J18" i="5"/>
  <c r="J19" i="5"/>
  <c r="J20" i="5"/>
  <c r="J21" i="5"/>
  <c r="J22" i="5"/>
  <c r="J23" i="5"/>
  <c r="J24" i="5"/>
  <c r="J25" i="5"/>
  <c r="J32" i="5"/>
  <c r="J42" i="5" s="1"/>
  <c r="J33" i="5"/>
  <c r="J34" i="5"/>
  <c r="J35" i="5"/>
  <c r="J36" i="5"/>
  <c r="J38" i="5"/>
  <c r="J39" i="5"/>
  <c r="J40" i="5"/>
  <c r="J41" i="5"/>
  <c r="T41" i="5"/>
  <c r="T36" i="5"/>
  <c r="T33" i="5"/>
  <c r="T34" i="5"/>
  <c r="T35" i="5"/>
  <c r="T38" i="5"/>
  <c r="T39" i="5"/>
  <c r="T40" i="5"/>
  <c r="T12" i="5"/>
  <c r="T17" i="5"/>
  <c r="T28" i="5" s="1"/>
  <c r="T18" i="5"/>
  <c r="T19" i="5"/>
  <c r="T20" i="5"/>
  <c r="T21" i="5"/>
  <c r="T22" i="5"/>
  <c r="T23" i="5"/>
  <c r="T24" i="5"/>
  <c r="T25" i="5"/>
  <c r="T26" i="5"/>
  <c r="T32" i="5"/>
  <c r="T44" i="5" s="1"/>
  <c r="T6" i="5"/>
  <c r="T7" i="5"/>
  <c r="T8" i="5"/>
  <c r="T9" i="5"/>
  <c r="T10" i="5"/>
  <c r="T3" i="5"/>
  <c r="T14" i="5" s="1"/>
  <c r="T4" i="5"/>
  <c r="T5" i="5"/>
  <c r="J4" i="5"/>
  <c r="J5" i="5"/>
  <c r="J6" i="5"/>
  <c r="J7" i="5"/>
  <c r="J8" i="5"/>
  <c r="J10" i="5"/>
  <c r="J12" i="5"/>
  <c r="J3" i="5"/>
  <c r="C47" i="4"/>
  <c r="D47" i="4"/>
  <c r="E47" i="4"/>
  <c r="F47" i="4"/>
  <c r="G47" i="4"/>
  <c r="H47" i="4"/>
  <c r="J47" i="4"/>
  <c r="K47" i="4"/>
  <c r="L47" i="4"/>
  <c r="B47" i="4"/>
  <c r="C44" i="4"/>
  <c r="D44" i="4"/>
  <c r="E44" i="4"/>
  <c r="E45" i="4" s="1"/>
  <c r="F44" i="4"/>
  <c r="G44" i="4"/>
  <c r="H44" i="4"/>
  <c r="H46" i="4" s="1"/>
  <c r="J44" i="4"/>
  <c r="K44" i="4"/>
  <c r="L44" i="4"/>
  <c r="B43" i="4"/>
  <c r="F43" i="4"/>
  <c r="F46" i="4" s="1"/>
  <c r="G43" i="4"/>
  <c r="H43" i="4"/>
  <c r="I43" i="4"/>
  <c r="J43" i="4"/>
  <c r="K43" i="4"/>
  <c r="L43" i="4"/>
  <c r="C43" i="4"/>
  <c r="D43" i="4"/>
  <c r="D46" i="4" s="1"/>
  <c r="E43" i="4"/>
  <c r="I31" i="4"/>
  <c r="I47" i="4" s="1"/>
  <c r="C57" i="4" a="1"/>
  <c r="E57" i="4" a="1"/>
  <c r="K57" i="4" a="1"/>
  <c r="F57" i="4" a="1"/>
  <c r="I57" i="4" a="1"/>
  <c r="L57" i="4" a="1"/>
  <c r="D57" i="4" a="1"/>
  <c r="J57" i="4" a="1"/>
  <c r="G57" i="4" a="1"/>
  <c r="H57" i="4" a="1"/>
  <c r="B57" i="4" a="1"/>
  <c r="L44" i="5" l="1"/>
  <c r="U15" i="5"/>
  <c r="L60" i="5"/>
  <c r="J43" i="5"/>
  <c r="T43" i="5"/>
  <c r="J29" i="5"/>
  <c r="H29" i="5"/>
  <c r="F58" i="5"/>
  <c r="F43" i="5"/>
  <c r="J59" i="5"/>
  <c r="J28" i="5"/>
  <c r="F29" i="5"/>
  <c r="J14" i="5"/>
  <c r="H28" i="5"/>
  <c r="L29" i="5" s="1"/>
  <c r="F28" i="5"/>
  <c r="H27" i="5"/>
  <c r="F27" i="5"/>
  <c r="F57" i="5"/>
  <c r="T42" i="5"/>
  <c r="J57" i="5"/>
  <c r="T57" i="5"/>
  <c r="J27" i="5"/>
  <c r="T13" i="5"/>
  <c r="J13" i="5"/>
  <c r="L15" i="5" s="1"/>
  <c r="T27" i="5"/>
  <c r="U29" i="5" s="1"/>
  <c r="B46" i="4"/>
  <c r="F45" i="4"/>
  <c r="D45" i="4"/>
  <c r="C45" i="4"/>
  <c r="I44" i="4"/>
  <c r="I46" i="4" s="1"/>
  <c r="J57" i="4"/>
  <c r="H57" i="4"/>
  <c r="I57" i="4"/>
  <c r="G57" i="4"/>
  <c r="D57" i="4"/>
  <c r="L57" i="4"/>
  <c r="F57" i="4"/>
  <c r="K57" i="4"/>
  <c r="E57" i="4"/>
  <c r="C57" i="4"/>
  <c r="B57" i="4"/>
  <c r="L45" i="4"/>
  <c r="G45" i="4"/>
  <c r="G46" i="4"/>
  <c r="J45" i="4"/>
  <c r="J46" i="4"/>
  <c r="H45" i="4"/>
  <c r="L46" i="4"/>
  <c r="C46" i="4"/>
  <c r="K46" i="4"/>
  <c r="K45" i="4"/>
  <c r="E46" i="4"/>
  <c r="B45" i="4"/>
  <c r="I45" i="4" l="1"/>
  <c r="A43" i="3" l="1"/>
  <c r="A43" i="3" a="1"/>
  <c r="A42" i="3"/>
  <c r="A42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<sst xmlns="http://schemas.openxmlformats.org/spreadsheetml/2006/main" count="537" uniqueCount="285">
  <si>
    <t>Model</t>
  </si>
  <si>
    <t>Pretraining Scale</t>
  </si>
  <si>
    <t>Number of Layers</t>
  </si>
  <si>
    <t>Number of Images</t>
  </si>
  <si>
    <t>RMSE +- Std</t>
  </si>
  <si>
    <t>R²</t>
  </si>
  <si>
    <t>Spearman Correlation</t>
  </si>
  <si>
    <t>CNN LSTM</t>
  </si>
  <si>
    <t>Full</t>
  </si>
  <si>
    <t>Half</t>
  </si>
  <si>
    <t>/</t>
  </si>
  <si>
    <t>7.18 + 11.52</t>
  </si>
  <si>
    <t>FINETUNED</t>
  </si>
  <si>
    <t>PRETRAINED</t>
  </si>
  <si>
    <t>9.11 + 12.64</t>
  </si>
  <si>
    <t>6.87 + 11.97</t>
  </si>
  <si>
    <t>9.03 + 13.91</t>
  </si>
  <si>
    <t>4.33 + 5.27</t>
  </si>
  <si>
    <t>6.23 + 9.71</t>
  </si>
  <si>
    <t>5.01  + 6.45</t>
  </si>
  <si>
    <t>Effect of LSTM Depth (assuming pretraining on full scale)</t>
  </si>
  <si>
    <t>Stage</t>
  </si>
  <si>
    <t>Pretraining</t>
  </si>
  <si>
    <t>Finetuned</t>
  </si>
  <si>
    <t>10.733 + 17.30</t>
  </si>
  <si>
    <t>7.43 + 12.12</t>
  </si>
  <si>
    <t>Effect of Number of Contact Images</t>
  </si>
  <si>
    <t>6.86 + 11.59</t>
  </si>
  <si>
    <t>6.27 + 8.14</t>
  </si>
  <si>
    <t>Effect of Pretraining</t>
  </si>
  <si>
    <t>Effect of CNN Backbone</t>
  </si>
  <si>
    <t>7.13 + 11.30</t>
  </si>
  <si>
    <t>CNN50</t>
  </si>
  <si>
    <t>CNN101</t>
  </si>
  <si>
    <t>7.46 + 11.21</t>
  </si>
  <si>
    <t>VGG</t>
  </si>
  <si>
    <t>4.30 + 4.20</t>
  </si>
  <si>
    <t>Due to prediction in glass wiper, more complex, so having 3 layers makes more robus</t>
  </si>
  <si>
    <t>Due to prediction in glass wiper, more complex, so having the model focus on 2 images makes more robus</t>
  </si>
  <si>
    <t>8.80 + 15.91</t>
  </si>
  <si>
    <t>Pretrained +Finetuned</t>
  </si>
  <si>
    <t>Directly trained</t>
  </si>
  <si>
    <t>Model Collapsing due to lower data amount, quality and spread, even penalty term cannot solve it, or introduces great instability during training</t>
  </si>
  <si>
    <t>Notes</t>
  </si>
  <si>
    <t>9.40+10.11</t>
  </si>
  <si>
    <t xml:space="preserve">6.83 +10.57 </t>
  </si>
  <si>
    <t>CNN50 LSTM</t>
  </si>
  <si>
    <t>CNN34</t>
  </si>
  <si>
    <t xml:space="preserve">6.50 +12.55 </t>
  </si>
  <si>
    <t>7.79 +14.24</t>
  </si>
  <si>
    <t xml:space="preserve">Just note worse results is due to glass wiper again, say we are confident that they could work as well especially due to the good spearman correlation but that </t>
  </si>
  <si>
    <t>we find out that cnn50 gives good balance between complexity, robtustness, speed and generalization capabilities</t>
  </si>
  <si>
    <t>Mango 1</t>
  </si>
  <si>
    <t>Mango 2</t>
  </si>
  <si>
    <t>Lime 1</t>
  </si>
  <si>
    <t>Lime 2</t>
  </si>
  <si>
    <t>Tomato 1</t>
  </si>
  <si>
    <t>Tomato 2</t>
  </si>
  <si>
    <t>Banana 1</t>
  </si>
  <si>
    <t>Banana 2</t>
  </si>
  <si>
    <t>Banana 3</t>
  </si>
  <si>
    <t>Avocado 1</t>
  </si>
  <si>
    <t>Avocado 2</t>
  </si>
  <si>
    <t>Full CNN50 LSTM</t>
  </si>
  <si>
    <t>Fruit</t>
  </si>
  <si>
    <t>Intervals</t>
  </si>
  <si>
    <t>Significantly different?</t>
  </si>
  <si>
    <t>tvalue, pvalue?</t>
  </si>
  <si>
    <t>Pairwise Accuracy</t>
  </si>
  <si>
    <t>mean=86.337, 95% CI=(81.243, 91.430)</t>
  </si>
  <si>
    <t>mean=78.836, 95% CI=(76.805, 80.867)</t>
  </si>
  <si>
    <t>t = 2.863, p &lt; 0.01</t>
  </si>
  <si>
    <t>yes</t>
  </si>
  <si>
    <t>mean=75.928, 95% CI=(72.682, 79.174)</t>
  </si>
  <si>
    <t>mean=70.121, 95% CI=(67.345, 72.898)</t>
  </si>
  <si>
    <t>t = 2.845, p&lt; 0.01</t>
  </si>
  <si>
    <t>mean=74.8993, 95% CI=(72.648, 77.151)</t>
  </si>
  <si>
    <t>mean=72.3107, 95% CI=(69.773, 74.848)</t>
  </si>
  <si>
    <t>mean=66.4056, 95% CI=(65.1654, 67.6458)</t>
  </si>
  <si>
    <t>Hard vs Medium: raw p = 0.118625, Bonf p = 0.355874, Holm p = 0.118625</t>
  </si>
  <si>
    <t>Medium vs Soft: raw p = 0.000156, Bonf p = 0.000469, Holm p = 0.000313</t>
  </si>
  <si>
    <t>Hard vs Soft: raw p = 0.000000, Bonf p = 0.000000, Holm p = 0.000000</t>
  </si>
  <si>
    <t>no</t>
  </si>
  <si>
    <t>Medium vs Soft 0.8100</t>
  </si>
  <si>
    <t>Hard vs Medium  0.6400</t>
  </si>
  <si>
    <t>Hard vs Soft 0.9450</t>
  </si>
  <si>
    <t>mean=78.764, 95% CI=(76.620, 80.908)</t>
  </si>
  <si>
    <t>mean=72.588, 95% CI=(71.054, 74.121)</t>
  </si>
  <si>
    <t>t = 4.904, p&lt;0.01</t>
  </si>
  <si>
    <t>mean=64.197, 95% CI=(63.840, 64.554)</t>
  </si>
  <si>
    <t>mean=63.684, 95% CI=(63.398, 63.970)</t>
  </si>
  <si>
    <t>t = 2.348, pvalue = 0.024</t>
  </si>
  <si>
    <t>mean=72.102, 95% CI=(68.673, 75.532)</t>
  </si>
  <si>
    <t>mean=65.172, 95% CI=(63.364, 66.980)</t>
  </si>
  <si>
    <t>t = 3.741, p&lt;0.01</t>
  </si>
  <si>
    <t>mean=78.704, 95% CI=(75.747, 81.661)</t>
  </si>
  <si>
    <t>t = 4.937, p&lt;0.01</t>
  </si>
  <si>
    <t>mean=69.205, 95% CI=(66.471, 71.939)</t>
  </si>
  <si>
    <t>mean=74.0185, 95% CI=(70.3622, 77.6749)</t>
  </si>
  <si>
    <t>mean=68.2803, 95% CI=(66.2326, 70.3281)</t>
  </si>
  <si>
    <t>mean=63.7734, 95% CI=(62.9458, 64.6010)</t>
  </si>
  <si>
    <t>Medium vs Soft: raw p = 0.000246, Bonf p = 0.000737, Holm p = 0.000491</t>
  </si>
  <si>
    <t>Hard vs Medium: raw p = 0.007548, Bonf p = 0.022644, Holm p = 0.007548</t>
  </si>
  <si>
    <t>Hard vs Soft: raw p = 0.000011, Bonf p = 0.000034, Holm p = 0.000034</t>
  </si>
  <si>
    <t>SINGLE</t>
  </si>
  <si>
    <t>Fruit Requested</t>
  </si>
  <si>
    <t>YOLO</t>
  </si>
  <si>
    <t>Confidence Score</t>
  </si>
  <si>
    <t>Segmentation Score (IoU)</t>
  </si>
  <si>
    <t>Error (mm)</t>
  </si>
  <si>
    <t>SR</t>
  </si>
  <si>
    <t>GSAM</t>
  </si>
  <si>
    <t>Confidence Score (CS)</t>
  </si>
  <si>
    <t>Because more long term dependency, less downgrade</t>
  </si>
  <si>
    <t>Transformer</t>
  </si>
  <si>
    <t>Banana</t>
  </si>
  <si>
    <t>Lemon</t>
  </si>
  <si>
    <t>Lime</t>
  </si>
  <si>
    <t>Corn</t>
  </si>
  <si>
    <t>Pepper</t>
  </si>
  <si>
    <t>Patato</t>
  </si>
  <si>
    <t>Strawberry</t>
  </si>
  <si>
    <t>Inference Time</t>
  </si>
  <si>
    <t>Load Time</t>
  </si>
  <si>
    <t>Carrot</t>
  </si>
  <si>
    <t>Kiwi</t>
  </si>
  <si>
    <t>Garlic</t>
  </si>
  <si>
    <t>Zuchini</t>
  </si>
  <si>
    <t>Zucchini</t>
  </si>
  <si>
    <t>AVERAGE</t>
  </si>
  <si>
    <t>Lower Bound</t>
  </si>
  <si>
    <t>Uppper Bound</t>
  </si>
  <si>
    <t>Half Transformer</t>
  </si>
  <si>
    <t>Stdev</t>
  </si>
  <si>
    <t>Avocado 3</t>
  </si>
  <si>
    <t>mean=64.588, 95% CI=(63.436, 65.740)</t>
  </si>
  <si>
    <t>mean=63.744, 95% CI=(63.298, 64.191)</t>
  </si>
  <si>
    <t>mean=61.786, 95% CI=(60.393, 63.179)</t>
  </si>
  <si>
    <t>Yes</t>
  </si>
  <si>
    <t>No</t>
  </si>
  <si>
    <t>Hard vs Medium: raw p = 0.165689, Bonf p = 0.497067, Holm p = 0.165689, t = 1.428</t>
  </si>
  <si>
    <t>Medium vs Soft: raw p = 0.010161, Bonf p = 0.030483, Holm p = 0.020322, t= 2.8019</t>
  </si>
  <si>
    <t>Hard vs Soft: raw p = 0.002517, Bonf p = 0.007550, Holm p = 0.00755, t=3.243</t>
  </si>
  <si>
    <t>mean=68.2022, 95% CI=(66.7481, 69.6563)</t>
  </si>
  <si>
    <t>mean=69.1926, 95% CI=(67.1359, 71.2493)</t>
  </si>
  <si>
    <t>mean=64.8606, 95% CI=(64.1599, 65.5612)</t>
  </si>
  <si>
    <t>Hard vs Medium: raw p = 0.416201, Bonf p = 1.000000, Holm p = 0.416201, t=-0.82</t>
  </si>
  <si>
    <t>Medium vs Soft: raw p = 0.000356, Bonf p = 0.001069, Holm p = 0.000713, t=4.17</t>
  </si>
  <si>
    <t>Hard vs Soft: raw p = 0.000178, Bonf p = 0.000534, Holm p = 0.000534, 4.33</t>
  </si>
  <si>
    <t>Conv</t>
  </si>
  <si>
    <t>Collapse</t>
  </si>
  <si>
    <t>No model Collapsing in case of resnet, but there is model collapsing in case of conv or vgg</t>
  </si>
  <si>
    <r>
      <t>ConvNeXt</t>
    </r>
    <r>
      <rPr>
        <sz val="11"/>
        <color theme="1"/>
        <rFont val="Aptos Narrow"/>
        <family val="2"/>
        <scheme val="minor"/>
      </rPr>
      <t xml:space="preserve"> was explicitly designed to </t>
    </r>
    <r>
      <rPr>
        <b/>
        <sz val="11"/>
        <color theme="1"/>
        <rFont val="Aptos Narrow"/>
        <family val="2"/>
        <scheme val="minor"/>
      </rPr>
      <t>bridge CNNs and Transformers, that is reason why only this was used to connect to transformer</t>
    </r>
  </si>
  <si>
    <t>Full Pipeline Test</t>
  </si>
  <si>
    <t>VLA Computation Time</t>
  </si>
  <si>
    <t>Tactile Collection Time</t>
  </si>
  <si>
    <t>SAM</t>
  </si>
  <si>
    <t>Movement Time</t>
  </si>
  <si>
    <t>Tactile Predictio + Feedback</t>
  </si>
  <si>
    <t>Total</t>
  </si>
  <si>
    <t>Rest Time</t>
  </si>
  <si>
    <t xml:space="preserve">Lemon </t>
  </si>
  <si>
    <t>Note</t>
  </si>
  <si>
    <t>2. Identify the ripest [object]</t>
  </si>
  <si>
    <t>Not identifying</t>
  </si>
  <si>
    <t>Wrong hoover</t>
  </si>
  <si>
    <t>Banana, Lemon, Corn</t>
  </si>
  <si>
    <t>Pepper, Lime, Banana</t>
  </si>
  <si>
    <t>Lemon, Zucchini, Strawberry</t>
  </si>
  <si>
    <t>Zucchini, Lemon, Carrot</t>
  </si>
  <si>
    <t>Lime, Corn, Kiwi</t>
  </si>
  <si>
    <t>Lime, Lemon, Kiwi</t>
  </si>
  <si>
    <t>Banana, Lemon, Corn, Zucchini, Carrot</t>
  </si>
  <si>
    <t>Patato, Banana, Banana, Corn, Zucchini</t>
  </si>
  <si>
    <t>Kiwi, Patato, Strawberry, Carrot, Carrot</t>
  </si>
  <si>
    <t>Kiwi, Carrot, Lime, Strawberry, Zucchini</t>
  </si>
  <si>
    <t>Kiwi, Lime, Strawberry, Zucchini, Patato</t>
  </si>
  <si>
    <t>Lemon, Pepper, Corn, Patato, Pepper</t>
  </si>
  <si>
    <t>1. Identify the hardness of [object]</t>
  </si>
  <si>
    <t>3. Summarize the ripeness of the [object],  [object] and [object]</t>
  </si>
  <si>
    <t>4. Summarize the ripeness of all fruits in the scene</t>
  </si>
  <si>
    <t>Object-Level SR</t>
  </si>
  <si>
    <t>Task-Level SR</t>
  </si>
  <si>
    <t xml:space="preserve"> </t>
  </si>
  <si>
    <t>Banana, Strawberry, Zucchini</t>
  </si>
  <si>
    <t>Kiwi not recognized, lime not well located</t>
  </si>
  <si>
    <t xml:space="preserve">Kiwi not recognized </t>
  </si>
  <si>
    <t>Not accurate banana</t>
  </si>
  <si>
    <t>not recognized</t>
  </si>
  <si>
    <t>kiw not recognized</t>
  </si>
  <si>
    <t>not recognized + not accurate</t>
  </si>
  <si>
    <t>Potato</t>
  </si>
  <si>
    <t>Patato/Potato</t>
  </si>
  <si>
    <t>Carrot, Lime, Potato</t>
  </si>
  <si>
    <t>Carrot, Corn, Potato</t>
  </si>
  <si>
    <t>Potato, Kiwi, Strawberry</t>
  </si>
  <si>
    <t>Lime, Lime, Lemon, Strawberry, Zucchini</t>
  </si>
  <si>
    <t>Pepper, Pepper, Corn, Lemon, Banana</t>
  </si>
  <si>
    <t>not selected</t>
  </si>
  <si>
    <t>not accurate hoover</t>
  </si>
  <si>
    <t>zucchini not recognized</t>
  </si>
  <si>
    <t xml:space="preserve">bad hoover to patato and banana, wel 5 getest </t>
  </si>
  <si>
    <t>no kiwi and strawberry</t>
  </si>
  <si>
    <t>a lime was a lemon, strawberry an apple</t>
  </si>
  <si>
    <t>Carrot, Patato, Lemon, Pepper, Corn</t>
  </si>
  <si>
    <t>Banana, Lime, Kiwi, Kiwi, Strawberry</t>
  </si>
  <si>
    <t>one kiwi bad movement, other wrongly labeled as strawberry</t>
  </si>
  <si>
    <t>again strawberry is apple and kiwi not recognized</t>
  </si>
  <si>
    <t>only patato and lime</t>
  </si>
  <si>
    <t>Patato not good</t>
  </si>
  <si>
    <t>patatao and corn not</t>
  </si>
  <si>
    <t>3 identfied, but pepper not good hoover</t>
  </si>
  <si>
    <t>kiwi not recognized</t>
  </si>
  <si>
    <t>lime not accurate</t>
  </si>
  <si>
    <t>Mention p-values on pretrained results but not on finetuned, as 7 objects are generaly not reliable for taking conclusions. Therefore, results after finetuning are merely judged based on the ability of keeping ranks between objects and holding linear trends (r²)</t>
  </si>
  <si>
    <t>Normality violated in some cases --&gt; wilcoxon rank test most optimal</t>
  </si>
  <si>
    <t>78.70 +- 6.16</t>
  </si>
  <si>
    <t>69.20 +-- 5.69</t>
  </si>
  <si>
    <t>p&lt;0.01</t>
  </si>
  <si>
    <t>64.20 +- 0.74</t>
  </si>
  <si>
    <t>63.68 +- 0.60</t>
  </si>
  <si>
    <t>p = 0.0111</t>
  </si>
  <si>
    <t>72.10+- 7.14</t>
  </si>
  <si>
    <t>65.17+-3.76</t>
  </si>
  <si>
    <t>Hard vs medium, u = 288, p &lt; 0.01</t>
  </si>
  <si>
    <t>Medium vs soft, u = 362, p&lt; 0.01</t>
  </si>
  <si>
    <t>Hard vs soft , u = 368, p&lt; 0.01</t>
  </si>
  <si>
    <t>74.02 +- 7.61</t>
  </si>
  <si>
    <t>68 +- 4.27</t>
  </si>
  <si>
    <t>63 +- 1.73</t>
  </si>
  <si>
    <t>u = 285</t>
  </si>
  <si>
    <t>u = 343</t>
  </si>
  <si>
    <t>p = 0.0018</t>
  </si>
  <si>
    <t>u = 308</t>
  </si>
  <si>
    <t>64.59 +- 2.40</t>
  </si>
  <si>
    <t>Hard vs medium, u = 299, p &lt; 0.01</t>
  </si>
  <si>
    <t>63.74 +- 0.93</t>
  </si>
  <si>
    <t>61.79 +- 2.91</t>
  </si>
  <si>
    <t>Hard vs soft , u = 373, p&lt; 0.01</t>
  </si>
  <si>
    <t>Medium vs soft, u = 359, p&lt; 0.01</t>
  </si>
  <si>
    <t>78.76 +- 4.46</t>
  </si>
  <si>
    <t>72.59 +- 3.19</t>
  </si>
  <si>
    <t>u = 362</t>
  </si>
  <si>
    <t>p &lt; 0.01</t>
  </si>
  <si>
    <t>86.33 +- 10.61</t>
  </si>
  <si>
    <t>78.84+-4.23</t>
  </si>
  <si>
    <t>u = 289</t>
  </si>
  <si>
    <t>75.93 +- 6.76</t>
  </si>
  <si>
    <t>70.12 +- 5.78</t>
  </si>
  <si>
    <t>u = 0.69</t>
  </si>
  <si>
    <t>Medium vs soft, u = 324, p&lt; 0.01</t>
  </si>
  <si>
    <t>Hard vs soft , u = 378, p&lt; 0.01</t>
  </si>
  <si>
    <t>Hard vs medium, u = 256, p = 0.067</t>
  </si>
  <si>
    <t>74.90 +- 4.69</t>
  </si>
  <si>
    <t>72.31 +- 5.28</t>
  </si>
  <si>
    <t>66.41 +- 2.58</t>
  </si>
  <si>
    <t>68.20 +- 3.09</t>
  </si>
  <si>
    <t>69.19 +- 4.28</t>
  </si>
  <si>
    <t>64.86 +- 1.46</t>
  </si>
  <si>
    <t>Hard vs medium, u = 182, p = 0.692</t>
  </si>
  <si>
    <t xml:space="preserve">   </t>
  </si>
  <si>
    <t>t value</t>
  </si>
  <si>
    <t>p value</t>
  </si>
  <si>
    <t>Equal to 5</t>
  </si>
  <si>
    <t>independent t-test (assumed large sample size, and also following levene's test we assumed unequal variances)</t>
  </si>
  <si>
    <t>Acc</t>
  </si>
  <si>
    <t>Completeness</t>
  </si>
  <si>
    <t>Clarity and coherence</t>
  </si>
  <si>
    <t>AVG</t>
  </si>
  <si>
    <t>STD</t>
  </si>
  <si>
    <t>Report bounds mean value (95% CI) and then t-test results</t>
  </si>
  <si>
    <t>Attention for multiple comparisons in testing if times are different</t>
  </si>
  <si>
    <t>median</t>
  </si>
  <si>
    <t>25th percentile</t>
  </si>
  <si>
    <t>75th percentile</t>
  </si>
  <si>
    <t>Hard vs soft , u = 336, p&lt; 0.01</t>
  </si>
  <si>
    <t>Medium vs soft = 328, p&lt;0.01</t>
  </si>
  <si>
    <t>MEDIAN</t>
  </si>
  <si>
    <t>report mean +- std</t>
  </si>
  <si>
    <t>IQR 0.25</t>
  </si>
  <si>
    <t>IQR 0.75</t>
  </si>
  <si>
    <t>Collapse!</t>
  </si>
  <si>
    <t>Wilcoxon test</t>
  </si>
  <si>
    <t>Model1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</si>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</sst>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vertical="center"/>
    </xf>
    <xf numFmtId="12" fontId="1" fillId="0" borderId="0" xfId="0" applyNumberFormat="1" applyFont="1"/>
    <xf numFmtId="1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RealStats.xlam" TargetMode="External"/><Relationship Id="rId1" Type="http://schemas.openxmlformats.org/officeDocument/2006/relationships/externalLinkPath" Target="file:///D: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AF7B-A47E-425B-90B5-B6E4A1E8673A}">
  <sheetPr>
    <tabColor theme="5" tint="0.59999389629810485"/>
  </sheetPr>
  <dimension ref="A1:G15"/>
  <sheetViews>
    <sheetView zoomScale="101" workbookViewId="0">
      <selection activeCell="E2" sqref="E2"/>
    </sheetView>
  </sheetViews>
  <sheetFormatPr defaultRowHeight="14.4" x14ac:dyDescent="0.3"/>
  <cols>
    <col min="1" max="1" width="16.21875" customWidth="1"/>
    <col min="2" max="2" width="14.6640625" bestFit="1" customWidth="1"/>
    <col min="3" max="3" width="15.109375" bestFit="1" customWidth="1"/>
    <col min="4" max="4" width="15.6640625" bestFit="1" customWidth="1"/>
    <col min="5" max="5" width="13.109375" customWidth="1"/>
    <col min="7" max="7" width="18.77734375" bestFit="1" customWidth="1"/>
  </cols>
  <sheetData>
    <row r="1" spans="1:7" x14ac:dyDescent="0.3">
      <c r="A1" s="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46</v>
      </c>
      <c r="B3" t="s">
        <v>8</v>
      </c>
      <c r="C3">
        <v>3</v>
      </c>
      <c r="D3">
        <v>2</v>
      </c>
      <c r="E3" t="s">
        <v>11</v>
      </c>
      <c r="F3">
        <v>0.93</v>
      </c>
      <c r="G3">
        <v>0.95</v>
      </c>
    </row>
    <row r="4" spans="1:7" x14ac:dyDescent="0.3">
      <c r="A4" t="s">
        <v>46</v>
      </c>
      <c r="B4" t="s">
        <v>9</v>
      </c>
      <c r="C4">
        <v>3</v>
      </c>
      <c r="D4">
        <v>2</v>
      </c>
      <c r="E4" t="s">
        <v>14</v>
      </c>
      <c r="F4">
        <v>0.63</v>
      </c>
      <c r="G4">
        <v>0.77</v>
      </c>
    </row>
    <row r="5" spans="1:7" x14ac:dyDescent="0.3">
      <c r="A5" t="s">
        <v>114</v>
      </c>
      <c r="B5" t="s">
        <v>8</v>
      </c>
      <c r="C5" t="s">
        <v>10</v>
      </c>
      <c r="D5">
        <v>2</v>
      </c>
      <c r="E5" t="s">
        <v>15</v>
      </c>
      <c r="F5">
        <v>0.93</v>
      </c>
      <c r="G5">
        <v>0.94</v>
      </c>
    </row>
    <row r="6" spans="1:7" x14ac:dyDescent="0.3">
      <c r="A6" t="s">
        <v>114</v>
      </c>
      <c r="B6" t="s">
        <v>9</v>
      </c>
      <c r="C6" t="s">
        <v>10</v>
      </c>
      <c r="D6">
        <v>2</v>
      </c>
      <c r="E6" t="s">
        <v>16</v>
      </c>
      <c r="F6">
        <v>0.65</v>
      </c>
      <c r="G6">
        <v>0.8</v>
      </c>
    </row>
    <row r="10" spans="1:7" x14ac:dyDescent="0.3">
      <c r="A10" s="1" t="s">
        <v>12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3">
      <c r="A12" t="s">
        <v>46</v>
      </c>
      <c r="B12" t="s">
        <v>8</v>
      </c>
      <c r="C12">
        <v>3</v>
      </c>
      <c r="D12">
        <v>2</v>
      </c>
      <c r="E12" t="s">
        <v>36</v>
      </c>
      <c r="F12">
        <v>0.73</v>
      </c>
      <c r="G12">
        <v>0.88</v>
      </c>
    </row>
    <row r="13" spans="1:7" x14ac:dyDescent="0.3">
      <c r="A13" t="s">
        <v>46</v>
      </c>
      <c r="B13" t="s">
        <v>9</v>
      </c>
      <c r="C13">
        <v>3</v>
      </c>
      <c r="D13">
        <v>2</v>
      </c>
      <c r="E13" t="s">
        <v>19</v>
      </c>
      <c r="F13">
        <v>0.64</v>
      </c>
      <c r="G13">
        <v>0.86</v>
      </c>
    </row>
    <row r="14" spans="1:7" x14ac:dyDescent="0.3">
      <c r="A14" t="s">
        <v>114</v>
      </c>
      <c r="B14" t="s">
        <v>8</v>
      </c>
      <c r="C14" t="s">
        <v>10</v>
      </c>
      <c r="D14">
        <v>2</v>
      </c>
      <c r="E14" t="s">
        <v>18</v>
      </c>
      <c r="F14">
        <v>0.44</v>
      </c>
      <c r="G14">
        <v>0.77</v>
      </c>
    </row>
    <row r="15" spans="1:7" x14ac:dyDescent="0.3">
      <c r="A15" t="s">
        <v>114</v>
      </c>
      <c r="B15" t="s">
        <v>9</v>
      </c>
      <c r="C15" t="s">
        <v>10</v>
      </c>
      <c r="D15">
        <v>2</v>
      </c>
      <c r="E15" t="s">
        <v>17</v>
      </c>
      <c r="F15">
        <v>0.73</v>
      </c>
      <c r="G15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7E5E-4986-4102-BBBA-3335F43A08B1}">
  <sheetPr>
    <tabColor theme="5" tint="0.59999389629810485"/>
  </sheetPr>
  <dimension ref="A1:I37"/>
  <sheetViews>
    <sheetView zoomScale="87" zoomScaleNormal="70" workbookViewId="0">
      <selection activeCell="F4" sqref="F4"/>
    </sheetView>
  </sheetViews>
  <sheetFormatPr defaultRowHeight="14.4" x14ac:dyDescent="0.3"/>
  <cols>
    <col min="1" max="2" width="15.6640625" customWidth="1"/>
    <col min="3" max="3" width="14.6640625" bestFit="1" customWidth="1"/>
    <col min="4" max="4" width="15.109375" bestFit="1" customWidth="1"/>
    <col min="5" max="5" width="15.6640625" bestFit="1" customWidth="1"/>
    <col min="6" max="6" width="10.44140625" bestFit="1" customWidth="1"/>
    <col min="8" max="8" width="18.77734375" bestFit="1" customWidth="1"/>
  </cols>
  <sheetData>
    <row r="1" spans="1:9" x14ac:dyDescent="0.3">
      <c r="A1" s="1" t="s">
        <v>20</v>
      </c>
      <c r="B1" s="1"/>
    </row>
    <row r="2" spans="1:9" x14ac:dyDescent="0.3">
      <c r="A2" t="s">
        <v>0</v>
      </c>
      <c r="B2" t="s">
        <v>21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43</v>
      </c>
    </row>
    <row r="3" spans="1:9" x14ac:dyDescent="0.3">
      <c r="A3" t="s">
        <v>7</v>
      </c>
      <c r="B3" t="s">
        <v>22</v>
      </c>
      <c r="C3" t="s">
        <v>8</v>
      </c>
      <c r="D3">
        <v>1</v>
      </c>
      <c r="E3">
        <v>2</v>
      </c>
      <c r="F3">
        <v>7.43</v>
      </c>
      <c r="G3">
        <v>0.93</v>
      </c>
      <c r="H3">
        <v>0.95</v>
      </c>
    </row>
    <row r="4" spans="1:9" x14ac:dyDescent="0.3">
      <c r="A4" t="s">
        <v>7</v>
      </c>
      <c r="B4" t="s">
        <v>22</v>
      </c>
      <c r="C4" t="s">
        <v>8</v>
      </c>
      <c r="D4">
        <v>3</v>
      </c>
      <c r="E4">
        <v>2</v>
      </c>
      <c r="F4" t="s">
        <v>25</v>
      </c>
      <c r="G4">
        <v>0.93</v>
      </c>
      <c r="H4">
        <v>0.95</v>
      </c>
    </row>
    <row r="5" spans="1:9" x14ac:dyDescent="0.3">
      <c r="A5" t="s">
        <v>7</v>
      </c>
      <c r="B5" t="s">
        <v>23</v>
      </c>
      <c r="C5" t="s">
        <v>8</v>
      </c>
      <c r="D5">
        <v>1</v>
      </c>
      <c r="E5">
        <v>2</v>
      </c>
      <c r="F5" t="s">
        <v>24</v>
      </c>
      <c r="G5">
        <v>-0.65</v>
      </c>
      <c r="H5">
        <v>0.78</v>
      </c>
      <c r="I5" t="s">
        <v>37</v>
      </c>
    </row>
    <row r="6" spans="1:9" x14ac:dyDescent="0.3">
      <c r="A6" t="s">
        <v>7</v>
      </c>
      <c r="B6" t="s">
        <v>23</v>
      </c>
      <c r="C6" t="s">
        <v>8</v>
      </c>
      <c r="D6">
        <v>3</v>
      </c>
      <c r="E6">
        <v>2</v>
      </c>
      <c r="F6" t="s">
        <v>36</v>
      </c>
      <c r="G6">
        <v>0.73</v>
      </c>
      <c r="H6">
        <v>0.88</v>
      </c>
    </row>
    <row r="8" spans="1:9" x14ac:dyDescent="0.3">
      <c r="A8" s="1" t="s">
        <v>26</v>
      </c>
    </row>
    <row r="9" spans="1:9" x14ac:dyDescent="0.3">
      <c r="A9" t="s">
        <v>7</v>
      </c>
      <c r="B9" t="s">
        <v>22</v>
      </c>
      <c r="C9" t="s">
        <v>8</v>
      </c>
      <c r="D9">
        <v>3</v>
      </c>
      <c r="E9">
        <v>2</v>
      </c>
      <c r="F9" t="s">
        <v>11</v>
      </c>
      <c r="G9">
        <v>0.93</v>
      </c>
      <c r="H9">
        <v>0.95</v>
      </c>
    </row>
    <row r="10" spans="1:9" x14ac:dyDescent="0.3">
      <c r="A10" t="s">
        <v>7</v>
      </c>
      <c r="B10" t="s">
        <v>22</v>
      </c>
      <c r="C10" t="s">
        <v>8</v>
      </c>
      <c r="D10">
        <v>3</v>
      </c>
      <c r="E10">
        <v>4</v>
      </c>
      <c r="F10" t="s">
        <v>31</v>
      </c>
      <c r="G10">
        <v>0.93</v>
      </c>
      <c r="H10">
        <v>0.96</v>
      </c>
    </row>
    <row r="11" spans="1:9" x14ac:dyDescent="0.3">
      <c r="A11" t="s">
        <v>114</v>
      </c>
      <c r="B11" t="s">
        <v>22</v>
      </c>
      <c r="C11" t="s">
        <v>8</v>
      </c>
      <c r="D11" t="s">
        <v>10</v>
      </c>
      <c r="E11">
        <v>2</v>
      </c>
      <c r="F11" t="s">
        <v>15</v>
      </c>
      <c r="G11">
        <v>0.93</v>
      </c>
      <c r="H11">
        <v>0.94</v>
      </c>
    </row>
    <row r="12" spans="1:9" x14ac:dyDescent="0.3">
      <c r="A12" t="s">
        <v>114</v>
      </c>
      <c r="B12" t="s">
        <v>22</v>
      </c>
      <c r="C12" t="s">
        <v>8</v>
      </c>
      <c r="D12" t="s">
        <v>10</v>
      </c>
      <c r="E12">
        <v>4</v>
      </c>
      <c r="F12" t="s">
        <v>27</v>
      </c>
      <c r="G12">
        <v>0.93</v>
      </c>
      <c r="H12">
        <v>0.95</v>
      </c>
    </row>
    <row r="13" spans="1:9" x14ac:dyDescent="0.3">
      <c r="A13" t="s">
        <v>7</v>
      </c>
      <c r="B13" t="s">
        <v>23</v>
      </c>
      <c r="C13" t="s">
        <v>8</v>
      </c>
      <c r="D13">
        <v>3</v>
      </c>
      <c r="E13">
        <v>2</v>
      </c>
      <c r="F13" t="s">
        <v>36</v>
      </c>
      <c r="G13">
        <v>0.73</v>
      </c>
      <c r="H13">
        <v>0.88</v>
      </c>
    </row>
    <row r="14" spans="1:9" x14ac:dyDescent="0.3">
      <c r="A14" t="s">
        <v>7</v>
      </c>
      <c r="B14" t="s">
        <v>23</v>
      </c>
      <c r="C14" t="s">
        <v>8</v>
      </c>
      <c r="D14">
        <v>3</v>
      </c>
      <c r="E14">
        <v>4</v>
      </c>
      <c r="F14" t="s">
        <v>39</v>
      </c>
      <c r="G14">
        <v>-0.11</v>
      </c>
      <c r="H14">
        <v>0.73</v>
      </c>
      <c r="I14" t="s">
        <v>38</v>
      </c>
    </row>
    <row r="15" spans="1:9" x14ac:dyDescent="0.3">
      <c r="A15" t="s">
        <v>114</v>
      </c>
      <c r="B15" t="s">
        <v>23</v>
      </c>
      <c r="C15" t="s">
        <v>8</v>
      </c>
      <c r="D15" t="s">
        <v>10</v>
      </c>
      <c r="E15">
        <v>2</v>
      </c>
      <c r="F15" t="s">
        <v>18</v>
      </c>
      <c r="G15">
        <v>0.44</v>
      </c>
      <c r="H15">
        <v>0.77</v>
      </c>
    </row>
    <row r="16" spans="1:9" x14ac:dyDescent="0.3">
      <c r="A16" t="s">
        <v>114</v>
      </c>
      <c r="B16" t="s">
        <v>23</v>
      </c>
      <c r="C16" t="s">
        <v>8</v>
      </c>
      <c r="D16" t="s">
        <v>10</v>
      </c>
      <c r="E16">
        <v>4</v>
      </c>
      <c r="F16" t="s">
        <v>28</v>
      </c>
      <c r="G16">
        <v>0.44</v>
      </c>
      <c r="H16">
        <v>0.76</v>
      </c>
      <c r="I16" t="s">
        <v>113</v>
      </c>
    </row>
    <row r="18" spans="1:9" x14ac:dyDescent="0.3">
      <c r="A18" s="1" t="s">
        <v>29</v>
      </c>
    </row>
    <row r="19" spans="1:9" x14ac:dyDescent="0.3">
      <c r="A19" t="s">
        <v>7</v>
      </c>
      <c r="B19" t="s">
        <v>40</v>
      </c>
      <c r="C19" t="s">
        <v>8</v>
      </c>
      <c r="D19">
        <v>3</v>
      </c>
      <c r="E19">
        <v>2</v>
      </c>
      <c r="F19" t="s">
        <v>36</v>
      </c>
      <c r="G19">
        <v>0.73</v>
      </c>
      <c r="H19">
        <v>0.88</v>
      </c>
    </row>
    <row r="20" spans="1:9" x14ac:dyDescent="0.3">
      <c r="A20" t="s">
        <v>7</v>
      </c>
      <c r="B20" t="s">
        <v>41</v>
      </c>
      <c r="C20" t="s">
        <v>10</v>
      </c>
      <c r="D20">
        <v>3</v>
      </c>
      <c r="E20">
        <v>2</v>
      </c>
      <c r="F20" t="s">
        <v>44</v>
      </c>
      <c r="G20">
        <v>4.5999999999999999E-2</v>
      </c>
      <c r="H20">
        <v>0.21</v>
      </c>
      <c r="I20" t="s">
        <v>42</v>
      </c>
    </row>
    <row r="22" spans="1:9" x14ac:dyDescent="0.3">
      <c r="A22" s="1" t="s">
        <v>30</v>
      </c>
    </row>
    <row r="23" spans="1:9" x14ac:dyDescent="0.3">
      <c r="A23" t="s">
        <v>32</v>
      </c>
      <c r="B23" t="s">
        <v>22</v>
      </c>
      <c r="C23" t="s">
        <v>8</v>
      </c>
      <c r="D23">
        <v>3</v>
      </c>
      <c r="E23">
        <v>2</v>
      </c>
      <c r="F23" t="s">
        <v>11</v>
      </c>
      <c r="G23">
        <v>0.93</v>
      </c>
      <c r="H23">
        <v>0.95</v>
      </c>
    </row>
    <row r="24" spans="1:9" x14ac:dyDescent="0.3">
      <c r="A24" t="s">
        <v>33</v>
      </c>
      <c r="B24" t="s">
        <v>22</v>
      </c>
      <c r="C24" t="s">
        <v>8</v>
      </c>
      <c r="D24">
        <v>3</v>
      </c>
      <c r="E24">
        <v>2</v>
      </c>
      <c r="F24" t="s">
        <v>34</v>
      </c>
      <c r="G24">
        <v>0.92</v>
      </c>
      <c r="H24">
        <v>0.95</v>
      </c>
    </row>
    <row r="25" spans="1:9" x14ac:dyDescent="0.3">
      <c r="A25" t="s">
        <v>47</v>
      </c>
      <c r="B25" t="s">
        <v>22</v>
      </c>
      <c r="C25" t="s">
        <v>8</v>
      </c>
      <c r="D25">
        <v>3</v>
      </c>
      <c r="E25">
        <v>2</v>
      </c>
      <c r="F25" t="s">
        <v>45</v>
      </c>
      <c r="G25">
        <v>0.94</v>
      </c>
      <c r="H25">
        <v>0.96</v>
      </c>
    </row>
    <row r="26" spans="1:9" x14ac:dyDescent="0.3">
      <c r="A26" t="s">
        <v>149</v>
      </c>
      <c r="B26" t="s">
        <v>22</v>
      </c>
      <c r="C26" t="s">
        <v>8</v>
      </c>
      <c r="D26">
        <v>3</v>
      </c>
      <c r="E26">
        <v>2</v>
      </c>
      <c r="F26" t="s">
        <v>150</v>
      </c>
      <c r="I26" t="s">
        <v>151</v>
      </c>
    </row>
    <row r="27" spans="1:9" x14ac:dyDescent="0.3">
      <c r="A27" t="s">
        <v>35</v>
      </c>
      <c r="B27" t="s">
        <v>22</v>
      </c>
      <c r="C27" t="s">
        <v>8</v>
      </c>
      <c r="D27">
        <v>3</v>
      </c>
      <c r="E27">
        <v>2</v>
      </c>
      <c r="F27">
        <v>27.978999999999999</v>
      </c>
      <c r="G27">
        <v>-1.0999999999999999E-2</v>
      </c>
      <c r="H27">
        <v>-0.03</v>
      </c>
      <c r="I27" t="s">
        <v>281</v>
      </c>
    </row>
    <row r="28" spans="1:9" x14ac:dyDescent="0.3">
      <c r="A28" t="s">
        <v>32</v>
      </c>
      <c r="B28" t="s">
        <v>23</v>
      </c>
      <c r="C28" t="s">
        <v>8</v>
      </c>
      <c r="D28">
        <v>3</v>
      </c>
      <c r="E28">
        <v>2</v>
      </c>
      <c r="F28" t="s">
        <v>36</v>
      </c>
      <c r="G28">
        <v>0.73</v>
      </c>
      <c r="H28">
        <v>0.88</v>
      </c>
    </row>
    <row r="29" spans="1:9" x14ac:dyDescent="0.3">
      <c r="A29" t="s">
        <v>33</v>
      </c>
      <c r="B29" t="s">
        <v>23</v>
      </c>
      <c r="C29" t="s">
        <v>8</v>
      </c>
      <c r="D29">
        <v>3</v>
      </c>
      <c r="E29">
        <v>2</v>
      </c>
      <c r="F29" t="s">
        <v>49</v>
      </c>
      <c r="G29">
        <v>0.16</v>
      </c>
      <c r="H29">
        <v>0.86</v>
      </c>
      <c r="I29" t="s">
        <v>50</v>
      </c>
    </row>
    <row r="30" spans="1:9" x14ac:dyDescent="0.3">
      <c r="A30" t="s">
        <v>47</v>
      </c>
      <c r="B30" t="s">
        <v>23</v>
      </c>
      <c r="C30" t="s">
        <v>8</v>
      </c>
      <c r="D30">
        <v>3</v>
      </c>
      <c r="E30">
        <v>2</v>
      </c>
      <c r="F30" t="s">
        <v>48</v>
      </c>
      <c r="G30">
        <v>0.4</v>
      </c>
      <c r="H30">
        <v>0.89</v>
      </c>
      <c r="I30" t="s">
        <v>51</v>
      </c>
    </row>
    <row r="31" spans="1:9" x14ac:dyDescent="0.3">
      <c r="A31" t="s">
        <v>35</v>
      </c>
      <c r="B31" t="s">
        <v>23</v>
      </c>
      <c r="C31" t="s">
        <v>8</v>
      </c>
      <c r="D31">
        <v>3</v>
      </c>
      <c r="E31">
        <v>2</v>
      </c>
      <c r="F31">
        <v>20.99</v>
      </c>
      <c r="G31">
        <v>-1.0999999999999999E-2</v>
      </c>
      <c r="H31">
        <v>-0.03</v>
      </c>
    </row>
    <row r="35" spans="2:2" x14ac:dyDescent="0.3">
      <c r="B35" s="1" t="s">
        <v>152</v>
      </c>
    </row>
    <row r="37" spans="2:2" x14ac:dyDescent="0.3">
      <c r="B3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E1B-D6D7-477B-9262-F7DA86546BA5}">
  <sheetPr>
    <tabColor theme="5" tint="0.59999389629810485"/>
  </sheetPr>
  <dimension ref="A1:I59"/>
  <sheetViews>
    <sheetView tabSelected="1" topLeftCell="C34" zoomScale="88" workbookViewId="0">
      <selection activeCell="H56" sqref="H56"/>
    </sheetView>
  </sheetViews>
  <sheetFormatPr defaultRowHeight="14.4" x14ac:dyDescent="0.3"/>
  <cols>
    <col min="2" max="2" width="36.88671875" bestFit="1" customWidth="1"/>
    <col min="3" max="3" width="61.77734375" bestFit="1" customWidth="1"/>
    <col min="4" max="4" width="18.77734375" bestFit="1" customWidth="1"/>
    <col min="5" max="5" width="20.44140625" bestFit="1" customWidth="1"/>
    <col min="6" max="6" width="36.88671875" bestFit="1" customWidth="1"/>
    <col min="7" max="7" width="61.77734375" bestFit="1" customWidth="1"/>
  </cols>
  <sheetData>
    <row r="1" spans="1:9" x14ac:dyDescent="0.3">
      <c r="B1" t="s">
        <v>132</v>
      </c>
      <c r="F1" t="s">
        <v>63</v>
      </c>
    </row>
    <row r="2" spans="1:9" x14ac:dyDescent="0.3">
      <c r="A2" t="s">
        <v>64</v>
      </c>
      <c r="B2" t="s">
        <v>65</v>
      </c>
      <c r="C2" t="s">
        <v>67</v>
      </c>
      <c r="D2" t="s">
        <v>66</v>
      </c>
      <c r="E2" t="s">
        <v>68</v>
      </c>
      <c r="F2" t="s">
        <v>65</v>
      </c>
      <c r="G2" t="s">
        <v>67</v>
      </c>
      <c r="H2" t="s">
        <v>66</v>
      </c>
      <c r="I2" t="s">
        <v>68</v>
      </c>
    </row>
    <row r="3" spans="1:9" x14ac:dyDescent="0.3">
      <c r="A3" t="s">
        <v>52</v>
      </c>
      <c r="B3" t="s">
        <v>86</v>
      </c>
      <c r="F3" t="s">
        <v>95</v>
      </c>
    </row>
    <row r="4" spans="1:9" x14ac:dyDescent="0.3">
      <c r="A4" t="s">
        <v>53</v>
      </c>
      <c r="B4" t="s">
        <v>87</v>
      </c>
      <c r="C4" t="s">
        <v>88</v>
      </c>
      <c r="D4" t="s">
        <v>72</v>
      </c>
      <c r="E4">
        <v>0.91</v>
      </c>
      <c r="F4" t="s">
        <v>97</v>
      </c>
      <c r="G4" t="s">
        <v>96</v>
      </c>
      <c r="H4" t="s">
        <v>72</v>
      </c>
      <c r="I4">
        <v>0.86</v>
      </c>
    </row>
    <row r="6" spans="1:9" x14ac:dyDescent="0.3">
      <c r="A6" t="s">
        <v>54</v>
      </c>
      <c r="B6" t="s">
        <v>69</v>
      </c>
      <c r="F6" t="s">
        <v>89</v>
      </c>
    </row>
    <row r="7" spans="1:9" x14ac:dyDescent="0.3">
      <c r="A7" t="s">
        <v>55</v>
      </c>
      <c r="B7" t="s">
        <v>70</v>
      </c>
      <c r="C7" t="s">
        <v>71</v>
      </c>
      <c r="D7" t="s">
        <v>72</v>
      </c>
      <c r="E7">
        <v>0.73</v>
      </c>
      <c r="F7" t="s">
        <v>90</v>
      </c>
      <c r="G7" t="s">
        <v>91</v>
      </c>
      <c r="H7" t="s">
        <v>72</v>
      </c>
      <c r="I7">
        <v>0.71</v>
      </c>
    </row>
    <row r="9" spans="1:9" x14ac:dyDescent="0.3">
      <c r="A9" t="s">
        <v>56</v>
      </c>
      <c r="B9" t="s">
        <v>73</v>
      </c>
      <c r="F9" t="s">
        <v>92</v>
      </c>
    </row>
    <row r="10" spans="1:9" x14ac:dyDescent="0.3">
      <c r="A10" t="s">
        <v>57</v>
      </c>
      <c r="B10" t="s">
        <v>74</v>
      </c>
      <c r="C10" t="s">
        <v>75</v>
      </c>
      <c r="D10" t="s">
        <v>72</v>
      </c>
      <c r="E10">
        <v>0.74</v>
      </c>
      <c r="F10" t="s">
        <v>93</v>
      </c>
      <c r="G10" t="s">
        <v>94</v>
      </c>
      <c r="H10" t="s">
        <v>72</v>
      </c>
      <c r="I10">
        <v>0.78</v>
      </c>
    </row>
    <row r="12" spans="1:9" x14ac:dyDescent="0.3">
      <c r="A12" t="s">
        <v>58</v>
      </c>
      <c r="B12" t="s">
        <v>76</v>
      </c>
      <c r="C12" t="s">
        <v>79</v>
      </c>
      <c r="D12" t="s">
        <v>82</v>
      </c>
      <c r="E12" t="s">
        <v>84</v>
      </c>
      <c r="F12" t="s">
        <v>98</v>
      </c>
      <c r="G12" t="s">
        <v>102</v>
      </c>
      <c r="H12" t="s">
        <v>72</v>
      </c>
      <c r="I12">
        <v>0.72</v>
      </c>
    </row>
    <row r="13" spans="1:9" x14ac:dyDescent="0.3">
      <c r="A13" t="s">
        <v>59</v>
      </c>
      <c r="B13" t="s">
        <v>77</v>
      </c>
      <c r="C13" t="s">
        <v>80</v>
      </c>
      <c r="D13" t="s">
        <v>72</v>
      </c>
      <c r="E13" t="s">
        <v>83</v>
      </c>
      <c r="F13" t="s">
        <v>99</v>
      </c>
      <c r="G13" t="s">
        <v>101</v>
      </c>
      <c r="H13" t="s">
        <v>72</v>
      </c>
      <c r="I13">
        <v>0.91</v>
      </c>
    </row>
    <row r="14" spans="1:9" x14ac:dyDescent="0.3">
      <c r="A14" t="s">
        <v>60</v>
      </c>
      <c r="B14" t="s">
        <v>78</v>
      </c>
      <c r="C14" t="s">
        <v>81</v>
      </c>
      <c r="D14" t="s">
        <v>72</v>
      </c>
      <c r="E14" t="s">
        <v>85</v>
      </c>
      <c r="F14" t="s">
        <v>100</v>
      </c>
      <c r="G14" t="s">
        <v>103</v>
      </c>
      <c r="H14" t="s">
        <v>72</v>
      </c>
      <c r="I14">
        <v>0.92</v>
      </c>
    </row>
    <row r="16" spans="1:9" x14ac:dyDescent="0.3">
      <c r="A16" t="s">
        <v>61</v>
      </c>
      <c r="B16" t="s">
        <v>143</v>
      </c>
      <c r="C16" s="4" t="s">
        <v>146</v>
      </c>
      <c r="D16" t="s">
        <v>82</v>
      </c>
      <c r="E16">
        <v>0.46</v>
      </c>
      <c r="F16" t="s">
        <v>135</v>
      </c>
      <c r="G16" t="s">
        <v>140</v>
      </c>
      <c r="H16" t="s">
        <v>139</v>
      </c>
      <c r="I16">
        <v>0.75</v>
      </c>
    </row>
    <row r="17" spans="1:9" x14ac:dyDescent="0.3">
      <c r="A17" t="s">
        <v>62</v>
      </c>
      <c r="B17" t="s">
        <v>144</v>
      </c>
      <c r="C17" t="s">
        <v>147</v>
      </c>
      <c r="D17" t="s">
        <v>72</v>
      </c>
      <c r="E17">
        <v>0.82</v>
      </c>
      <c r="F17" t="s">
        <v>136</v>
      </c>
      <c r="G17" t="s">
        <v>141</v>
      </c>
      <c r="H17" t="s">
        <v>138</v>
      </c>
      <c r="I17">
        <v>0.93</v>
      </c>
    </row>
    <row r="18" spans="1:9" x14ac:dyDescent="0.3">
      <c r="A18" t="s">
        <v>134</v>
      </c>
      <c r="B18" t="s">
        <v>145</v>
      </c>
      <c r="C18" t="s">
        <v>148</v>
      </c>
      <c r="D18" t="s">
        <v>72</v>
      </c>
      <c r="E18">
        <v>0.84</v>
      </c>
      <c r="F18" t="s">
        <v>137</v>
      </c>
      <c r="G18" s="4" t="s">
        <v>142</v>
      </c>
      <c r="H18" t="s">
        <v>138</v>
      </c>
      <c r="I18">
        <v>0.9</v>
      </c>
    </row>
    <row r="22" spans="1:9" x14ac:dyDescent="0.3">
      <c r="B22" t="s">
        <v>215</v>
      </c>
    </row>
    <row r="23" spans="1:9" x14ac:dyDescent="0.3">
      <c r="A23" t="s">
        <v>52</v>
      </c>
      <c r="B23" t="s">
        <v>240</v>
      </c>
      <c r="C23" t="s">
        <v>242</v>
      </c>
      <c r="F23" t="s">
        <v>216</v>
      </c>
      <c r="G23" t="s">
        <v>231</v>
      </c>
    </row>
    <row r="24" spans="1:9" x14ac:dyDescent="0.3">
      <c r="A24" t="s">
        <v>53</v>
      </c>
      <c r="B24" t="s">
        <v>241</v>
      </c>
      <c r="C24" t="s">
        <v>243</v>
      </c>
      <c r="F24" t="s">
        <v>217</v>
      </c>
      <c r="G24" t="s">
        <v>218</v>
      </c>
      <c r="H24" t="s">
        <v>72</v>
      </c>
    </row>
    <row r="26" spans="1:9" x14ac:dyDescent="0.3">
      <c r="A26" t="s">
        <v>54</v>
      </c>
      <c r="B26" t="s">
        <v>244</v>
      </c>
      <c r="C26" t="s">
        <v>246</v>
      </c>
      <c r="F26" t="s">
        <v>219</v>
      </c>
      <c r="G26" t="s">
        <v>230</v>
      </c>
    </row>
    <row r="27" spans="1:9" x14ac:dyDescent="0.3">
      <c r="A27" t="s">
        <v>55</v>
      </c>
      <c r="B27" t="s">
        <v>245</v>
      </c>
      <c r="C27" t="s">
        <v>218</v>
      </c>
      <c r="F27" t="s">
        <v>220</v>
      </c>
      <c r="G27" t="s">
        <v>221</v>
      </c>
      <c r="H27" t="s">
        <v>72</v>
      </c>
    </row>
    <row r="29" spans="1:9" x14ac:dyDescent="0.3">
      <c r="A29" t="s">
        <v>56</v>
      </c>
      <c r="B29" t="s">
        <v>247</v>
      </c>
      <c r="C29" t="s">
        <v>249</v>
      </c>
      <c r="F29" t="s">
        <v>222</v>
      </c>
      <c r="G29" t="s">
        <v>233</v>
      </c>
    </row>
    <row r="30" spans="1:9" x14ac:dyDescent="0.3">
      <c r="A30" t="s">
        <v>57</v>
      </c>
      <c r="B30" t="s">
        <v>248</v>
      </c>
      <c r="C30" t="s">
        <v>243</v>
      </c>
      <c r="F30" t="s">
        <v>223</v>
      </c>
      <c r="G30" t="s">
        <v>232</v>
      </c>
      <c r="H30" t="s">
        <v>72</v>
      </c>
    </row>
    <row r="32" spans="1:9" x14ac:dyDescent="0.3">
      <c r="A32" t="s">
        <v>58</v>
      </c>
      <c r="B32" t="s">
        <v>253</v>
      </c>
      <c r="C32" t="s">
        <v>252</v>
      </c>
      <c r="F32" t="s">
        <v>227</v>
      </c>
      <c r="G32" t="s">
        <v>224</v>
      </c>
      <c r="H32" t="s">
        <v>72</v>
      </c>
    </row>
    <row r="33" spans="1:9" x14ac:dyDescent="0.3">
      <c r="A33" t="s">
        <v>59</v>
      </c>
      <c r="B33" t="s">
        <v>254</v>
      </c>
      <c r="C33" t="s">
        <v>250</v>
      </c>
      <c r="F33" t="s">
        <v>228</v>
      </c>
      <c r="G33" t="s">
        <v>225</v>
      </c>
      <c r="H33" t="s">
        <v>72</v>
      </c>
    </row>
    <row r="34" spans="1:9" x14ac:dyDescent="0.3">
      <c r="A34" t="s">
        <v>60</v>
      </c>
      <c r="B34" t="s">
        <v>255</v>
      </c>
      <c r="C34" t="s">
        <v>251</v>
      </c>
      <c r="F34" t="s">
        <v>229</v>
      </c>
      <c r="G34" t="s">
        <v>226</v>
      </c>
      <c r="H34" t="s">
        <v>72</v>
      </c>
    </row>
    <row r="36" spans="1:9" x14ac:dyDescent="0.3">
      <c r="A36" t="s">
        <v>61</v>
      </c>
      <c r="B36" t="s">
        <v>256</v>
      </c>
      <c r="C36" t="s">
        <v>259</v>
      </c>
      <c r="F36" t="s">
        <v>234</v>
      </c>
      <c r="G36" t="s">
        <v>235</v>
      </c>
      <c r="H36" t="s">
        <v>72</v>
      </c>
    </row>
    <row r="37" spans="1:9" x14ac:dyDescent="0.3">
      <c r="A37" t="s">
        <v>62</v>
      </c>
      <c r="B37" t="s">
        <v>257</v>
      </c>
      <c r="C37" t="s">
        <v>276</v>
      </c>
      <c r="F37" t="s">
        <v>236</v>
      </c>
      <c r="G37" t="s">
        <v>239</v>
      </c>
      <c r="H37" t="s">
        <v>72</v>
      </c>
    </row>
    <row r="38" spans="1:9" x14ac:dyDescent="0.3">
      <c r="A38" t="s">
        <v>134</v>
      </c>
      <c r="B38" t="s">
        <v>258</v>
      </c>
      <c r="C38" t="s">
        <v>275</v>
      </c>
      <c r="F38" t="s">
        <v>237</v>
      </c>
      <c r="G38" t="s">
        <v>238</v>
      </c>
      <c r="H38" t="s">
        <v>72</v>
      </c>
    </row>
    <row r="40" spans="1:9" x14ac:dyDescent="0.3">
      <c r="A40" t="s">
        <v>183</v>
      </c>
    </row>
    <row r="42" spans="1:9" x14ac:dyDescent="0.3">
      <c r="A42" cm="1">
        <f t="array" aca="1" ref="A42" ca="1">A42:I59</f>
        <v>0</v>
      </c>
      <c r="B42" t="s">
        <v>283</v>
      </c>
      <c r="F42" t="s">
        <v>284</v>
      </c>
    </row>
    <row r="43" spans="1:9" x14ac:dyDescent="0.3">
      <c r="A43" cm="1">
        <f t="array" aca="1" ref="A43" ca="1">A43:I59</f>
        <v>0</v>
      </c>
      <c r="B43" t="s">
        <v>272</v>
      </c>
      <c r="C43" t="s">
        <v>273</v>
      </c>
      <c r="D43" t="s">
        <v>274</v>
      </c>
      <c r="E43" t="s">
        <v>282</v>
      </c>
      <c r="F43" t="s">
        <v>272</v>
      </c>
      <c r="G43" t="s">
        <v>273</v>
      </c>
      <c r="H43" t="s">
        <v>274</v>
      </c>
    </row>
    <row r="44" spans="1:9" x14ac:dyDescent="0.3">
      <c r="A44" t="s">
        <v>52</v>
      </c>
      <c r="B44">
        <v>79.88</v>
      </c>
      <c r="C44">
        <v>78.86</v>
      </c>
      <c r="D44">
        <v>81.03</v>
      </c>
      <c r="E44" t="s">
        <v>242</v>
      </c>
      <c r="F44">
        <v>79.47</v>
      </c>
      <c r="G44">
        <v>72.89</v>
      </c>
      <c r="H44">
        <v>84.59</v>
      </c>
      <c r="I44" t="s">
        <v>231</v>
      </c>
    </row>
    <row r="45" spans="1:9" x14ac:dyDescent="0.3">
      <c r="A45" t="s">
        <v>53</v>
      </c>
      <c r="B45">
        <v>72.989999999999995</v>
      </c>
      <c r="C45">
        <v>71.78</v>
      </c>
      <c r="D45">
        <v>74.3</v>
      </c>
      <c r="E45" t="s">
        <v>243</v>
      </c>
      <c r="F45">
        <v>67.75</v>
      </c>
      <c r="G45">
        <v>65.599999999999994</v>
      </c>
      <c r="H45">
        <v>72.78</v>
      </c>
      <c r="I45" t="s">
        <v>218</v>
      </c>
    </row>
    <row r="47" spans="1:9" x14ac:dyDescent="0.3">
      <c r="A47" t="s">
        <v>54</v>
      </c>
      <c r="B47">
        <v>89.09</v>
      </c>
      <c r="C47">
        <v>75.84</v>
      </c>
      <c r="D47">
        <v>96.36</v>
      </c>
      <c r="E47" t="s">
        <v>246</v>
      </c>
      <c r="F47">
        <v>64.13</v>
      </c>
      <c r="G47">
        <v>63.78</v>
      </c>
      <c r="H47">
        <v>64.64</v>
      </c>
      <c r="I47" t="s">
        <v>230</v>
      </c>
    </row>
    <row r="48" spans="1:9" x14ac:dyDescent="0.3">
      <c r="A48" t="s">
        <v>55</v>
      </c>
      <c r="B48">
        <v>79.209999999999994</v>
      </c>
      <c r="C48">
        <v>78.400000000000006</v>
      </c>
      <c r="D48">
        <v>81.239999999999995</v>
      </c>
      <c r="E48" t="s">
        <v>218</v>
      </c>
      <c r="F48">
        <v>63.84</v>
      </c>
      <c r="G48">
        <v>63.73</v>
      </c>
      <c r="H48">
        <v>63.93</v>
      </c>
      <c r="I48" t="s">
        <v>221</v>
      </c>
    </row>
    <row r="50" spans="1:9" x14ac:dyDescent="0.3">
      <c r="A50" t="s">
        <v>56</v>
      </c>
      <c r="B50">
        <v>77.5</v>
      </c>
      <c r="C50">
        <v>71.739999999999995</v>
      </c>
      <c r="D50">
        <v>81.47</v>
      </c>
      <c r="E50" t="s">
        <v>249</v>
      </c>
      <c r="F50">
        <v>71.02</v>
      </c>
      <c r="G50">
        <v>65.69</v>
      </c>
      <c r="H50">
        <v>79.91</v>
      </c>
      <c r="I50" t="s">
        <v>233</v>
      </c>
    </row>
    <row r="51" spans="1:9" x14ac:dyDescent="0.3">
      <c r="A51" t="s">
        <v>57</v>
      </c>
      <c r="B51">
        <v>68.489999999999995</v>
      </c>
      <c r="C51">
        <v>65.28</v>
      </c>
      <c r="D51">
        <v>74.400000000000006</v>
      </c>
      <c r="E51" t="s">
        <v>243</v>
      </c>
      <c r="F51">
        <v>64.14</v>
      </c>
      <c r="G51">
        <v>63.13</v>
      </c>
      <c r="H51">
        <v>65.98</v>
      </c>
      <c r="I51" t="s">
        <v>232</v>
      </c>
    </row>
    <row r="53" spans="1:9" x14ac:dyDescent="0.3">
      <c r="A53" t="s">
        <v>58</v>
      </c>
      <c r="B53">
        <v>75.22</v>
      </c>
      <c r="C53">
        <v>71.25</v>
      </c>
      <c r="D53">
        <v>79.44</v>
      </c>
      <c r="E53" t="s">
        <v>252</v>
      </c>
      <c r="F53">
        <v>72.63</v>
      </c>
      <c r="G53">
        <v>67.5</v>
      </c>
      <c r="H53">
        <v>82.53</v>
      </c>
      <c r="I53" t="s">
        <v>224</v>
      </c>
    </row>
    <row r="54" spans="1:9" x14ac:dyDescent="0.3">
      <c r="A54" t="s">
        <v>59</v>
      </c>
      <c r="B54">
        <v>71.86</v>
      </c>
      <c r="C54">
        <v>69.260000000000005</v>
      </c>
      <c r="D54">
        <v>77.59</v>
      </c>
      <c r="E54" t="s">
        <v>250</v>
      </c>
      <c r="F54">
        <v>66.87</v>
      </c>
      <c r="G54">
        <v>66.31</v>
      </c>
      <c r="H54">
        <v>67.62</v>
      </c>
      <c r="I54" t="s">
        <v>225</v>
      </c>
    </row>
    <row r="55" spans="1:9" x14ac:dyDescent="0.3">
      <c r="A55" t="s">
        <v>60</v>
      </c>
      <c r="B55">
        <v>65.95</v>
      </c>
      <c r="C55">
        <v>64.55</v>
      </c>
      <c r="D55">
        <v>67.61</v>
      </c>
      <c r="E55" t="s">
        <v>251</v>
      </c>
      <c r="F55">
        <v>63.05</v>
      </c>
      <c r="G55">
        <v>62.85</v>
      </c>
      <c r="H55">
        <v>63.89</v>
      </c>
      <c r="I55" t="s">
        <v>226</v>
      </c>
    </row>
    <row r="57" spans="1:9" x14ac:dyDescent="0.3">
      <c r="A57" t="s">
        <v>61</v>
      </c>
      <c r="B57">
        <v>67.91</v>
      </c>
      <c r="C57">
        <v>66.13</v>
      </c>
      <c r="D57">
        <v>70.239999999999995</v>
      </c>
      <c r="E57" t="s">
        <v>259</v>
      </c>
      <c r="F57">
        <v>65.25</v>
      </c>
      <c r="G57">
        <v>64.02</v>
      </c>
      <c r="H57">
        <v>65.92</v>
      </c>
      <c r="I57" t="s">
        <v>235</v>
      </c>
    </row>
    <row r="58" spans="1:9" x14ac:dyDescent="0.3">
      <c r="A58" t="s">
        <v>62</v>
      </c>
      <c r="B58">
        <v>68.06</v>
      </c>
      <c r="C58">
        <v>65.489999999999995</v>
      </c>
      <c r="D58">
        <v>71.599999999999994</v>
      </c>
      <c r="E58" t="s">
        <v>276</v>
      </c>
      <c r="F58">
        <v>63.54</v>
      </c>
      <c r="G58">
        <v>63.39</v>
      </c>
      <c r="H58">
        <v>64.12</v>
      </c>
      <c r="I58" t="s">
        <v>239</v>
      </c>
    </row>
    <row r="59" spans="1:9" x14ac:dyDescent="0.3">
      <c r="A59" t="s">
        <v>134</v>
      </c>
      <c r="B59">
        <v>64.72</v>
      </c>
      <c r="C59">
        <v>64.069999999999993</v>
      </c>
      <c r="D59">
        <v>65.819999999999993</v>
      </c>
      <c r="E59" t="s">
        <v>275</v>
      </c>
      <c r="F59">
        <v>61.73</v>
      </c>
      <c r="G59">
        <v>60.97</v>
      </c>
      <c r="H59">
        <v>62.15</v>
      </c>
      <c r="I5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D413-DAB4-4F9C-804A-61D7C8E344A4}">
  <sheetPr>
    <tabColor theme="9" tint="0.59999389629810485"/>
  </sheetPr>
  <dimension ref="A1:P66"/>
  <sheetViews>
    <sheetView zoomScale="62" workbookViewId="0">
      <selection activeCell="F43" sqref="F43"/>
    </sheetView>
  </sheetViews>
  <sheetFormatPr defaultRowHeight="14.4" x14ac:dyDescent="0.3"/>
  <cols>
    <col min="1" max="1" width="24.109375" customWidth="1"/>
    <col min="2" max="2" width="20.44140625" customWidth="1"/>
    <col min="3" max="3" width="25.6640625" bestFit="1" customWidth="1"/>
    <col min="4" max="4" width="23.21875" customWidth="1"/>
    <col min="5" max="5" width="20" customWidth="1"/>
    <col min="6" max="6" width="23.6640625" customWidth="1"/>
    <col min="7" max="7" width="23.21875" bestFit="1" customWidth="1"/>
    <col min="8" max="8" width="25.6640625" bestFit="1" customWidth="1"/>
    <col min="9" max="9" width="17.109375" customWidth="1"/>
    <col min="10" max="10" width="15.21875" bestFit="1" customWidth="1"/>
    <col min="11" max="11" width="9.88671875" bestFit="1" customWidth="1"/>
    <col min="12" max="12" width="15.21875" bestFit="1" customWidth="1"/>
    <col min="14" max="14" width="13.6640625" customWidth="1"/>
  </cols>
  <sheetData>
    <row r="1" spans="1:16" x14ac:dyDescent="0.3">
      <c r="A1" s="1" t="s">
        <v>104</v>
      </c>
      <c r="B1" s="1" t="s">
        <v>106</v>
      </c>
      <c r="G1" s="1" t="s">
        <v>111</v>
      </c>
    </row>
    <row r="2" spans="1:16" x14ac:dyDescent="0.3">
      <c r="A2" t="s">
        <v>105</v>
      </c>
      <c r="B2" t="s">
        <v>112</v>
      </c>
      <c r="C2" t="s">
        <v>108</v>
      </c>
      <c r="D2" t="s">
        <v>122</v>
      </c>
      <c r="E2" t="s">
        <v>109</v>
      </c>
      <c r="F2" t="s">
        <v>110</v>
      </c>
      <c r="G2" t="s">
        <v>107</v>
      </c>
      <c r="H2" t="s">
        <v>108</v>
      </c>
      <c r="I2" t="s">
        <v>123</v>
      </c>
      <c r="J2" t="s">
        <v>122</v>
      </c>
      <c r="K2" t="s">
        <v>109</v>
      </c>
      <c r="L2" t="s">
        <v>110</v>
      </c>
    </row>
    <row r="3" spans="1:16" x14ac:dyDescent="0.3">
      <c r="A3" t="s">
        <v>115</v>
      </c>
      <c r="B3">
        <v>1</v>
      </c>
      <c r="C3">
        <v>0.87</v>
      </c>
      <c r="D3">
        <v>3</v>
      </c>
      <c r="E3">
        <v>1</v>
      </c>
      <c r="F3">
        <v>1</v>
      </c>
      <c r="G3">
        <v>0.79</v>
      </c>
      <c r="H3">
        <v>0.91</v>
      </c>
      <c r="I3">
        <v>35.200000000000003</v>
      </c>
      <c r="J3">
        <v>32.840000000000003</v>
      </c>
      <c r="K3">
        <v>0</v>
      </c>
      <c r="L3">
        <v>1</v>
      </c>
      <c r="N3">
        <v>5</v>
      </c>
    </row>
    <row r="4" spans="1:16" x14ac:dyDescent="0.3">
      <c r="A4" t="s">
        <v>117</v>
      </c>
      <c r="B4">
        <v>0.97</v>
      </c>
      <c r="C4">
        <v>0.91</v>
      </c>
      <c r="D4">
        <v>3.5</v>
      </c>
      <c r="E4">
        <v>8</v>
      </c>
      <c r="F4">
        <v>1</v>
      </c>
      <c r="G4">
        <v>0.78</v>
      </c>
      <c r="H4">
        <v>0.97</v>
      </c>
      <c r="I4" t="s">
        <v>10</v>
      </c>
      <c r="J4">
        <v>38.42</v>
      </c>
      <c r="K4">
        <v>6</v>
      </c>
      <c r="L4">
        <v>1</v>
      </c>
      <c r="N4">
        <v>5</v>
      </c>
    </row>
    <row r="5" spans="1:16" x14ac:dyDescent="0.3">
      <c r="A5" t="s">
        <v>116</v>
      </c>
      <c r="B5">
        <v>0.89</v>
      </c>
      <c r="C5">
        <v>0.72</v>
      </c>
      <c r="D5">
        <v>3.12</v>
      </c>
      <c r="E5">
        <v>14</v>
      </c>
      <c r="F5">
        <v>1</v>
      </c>
      <c r="G5">
        <v>0.55000000000000004</v>
      </c>
      <c r="I5" t="s">
        <v>10</v>
      </c>
      <c r="J5">
        <v>33</v>
      </c>
      <c r="K5" t="s">
        <v>10</v>
      </c>
      <c r="L5">
        <v>0</v>
      </c>
    </row>
    <row r="6" spans="1:16" x14ac:dyDescent="0.3">
      <c r="A6" t="s">
        <v>118</v>
      </c>
      <c r="B6">
        <v>0.98</v>
      </c>
      <c r="C6">
        <v>0.91</v>
      </c>
      <c r="D6">
        <v>2.14</v>
      </c>
      <c r="E6">
        <v>2</v>
      </c>
      <c r="F6">
        <v>1</v>
      </c>
      <c r="G6">
        <v>0.78</v>
      </c>
      <c r="H6">
        <v>0.94</v>
      </c>
      <c r="I6">
        <v>34.5</v>
      </c>
      <c r="J6">
        <v>34.5</v>
      </c>
      <c r="K6">
        <v>2</v>
      </c>
      <c r="L6">
        <v>1</v>
      </c>
    </row>
    <row r="7" spans="1:16" x14ac:dyDescent="0.3">
      <c r="A7" t="s">
        <v>119</v>
      </c>
      <c r="B7">
        <v>0.98</v>
      </c>
      <c r="C7">
        <v>0.81</v>
      </c>
      <c r="D7">
        <v>3.14</v>
      </c>
      <c r="E7">
        <v>10</v>
      </c>
      <c r="F7">
        <v>1</v>
      </c>
      <c r="G7">
        <v>0.63</v>
      </c>
      <c r="H7">
        <v>0.97</v>
      </c>
      <c r="I7">
        <v>46.95</v>
      </c>
      <c r="J7">
        <v>34.950000000000003</v>
      </c>
      <c r="K7">
        <v>5</v>
      </c>
      <c r="L7">
        <v>1</v>
      </c>
      <c r="N7" t="s">
        <v>263</v>
      </c>
      <c r="O7">
        <f>_xlfn.T.TEST(E3:E42,N3:N4,1,3)</f>
        <v>7.9202016773399914E-3</v>
      </c>
      <c r="P7">
        <f>_xlfn.T.TEST(K3:K42,N3:N4,1,3)</f>
        <v>0.18605371234572515</v>
      </c>
    </row>
    <row r="8" spans="1:16" x14ac:dyDescent="0.3">
      <c r="A8" t="s">
        <v>192</v>
      </c>
      <c r="B8">
        <v>0.94</v>
      </c>
      <c r="C8">
        <v>0.89</v>
      </c>
      <c r="D8">
        <v>3.14</v>
      </c>
      <c r="E8">
        <v>12</v>
      </c>
      <c r="F8">
        <v>1</v>
      </c>
      <c r="G8">
        <v>0.85</v>
      </c>
      <c r="H8">
        <v>0.95</v>
      </c>
      <c r="J8">
        <v>27.85</v>
      </c>
      <c r="K8">
        <v>2</v>
      </c>
      <c r="L8">
        <v>1</v>
      </c>
      <c r="O8">
        <f>TINV(O7,40)</f>
        <v>2.7956125061144537</v>
      </c>
      <c r="P8">
        <f>TINV(P7,40)</f>
        <v>1.3454630087198578</v>
      </c>
    </row>
    <row r="9" spans="1:16" x14ac:dyDescent="0.3">
      <c r="A9" t="s">
        <v>121</v>
      </c>
      <c r="B9">
        <v>0.83</v>
      </c>
      <c r="C9">
        <v>0.76</v>
      </c>
      <c r="D9">
        <v>1.1299999999999999</v>
      </c>
      <c r="E9">
        <v>3</v>
      </c>
      <c r="F9">
        <v>1</v>
      </c>
      <c r="G9">
        <v>0.47</v>
      </c>
      <c r="H9">
        <v>0.91</v>
      </c>
      <c r="I9" t="s">
        <v>10</v>
      </c>
      <c r="J9">
        <v>35.85</v>
      </c>
      <c r="K9">
        <v>3</v>
      </c>
      <c r="L9">
        <v>1</v>
      </c>
    </row>
    <row r="10" spans="1:16" x14ac:dyDescent="0.3">
      <c r="A10" t="s">
        <v>116</v>
      </c>
      <c r="B10">
        <v>0.97</v>
      </c>
      <c r="C10">
        <v>0.91</v>
      </c>
      <c r="D10">
        <v>0.88</v>
      </c>
      <c r="E10">
        <v>2</v>
      </c>
      <c r="F10">
        <v>1</v>
      </c>
      <c r="G10">
        <v>0.61</v>
      </c>
      <c r="H10">
        <v>0.97</v>
      </c>
      <c r="I10" t="s">
        <v>10</v>
      </c>
      <c r="J10">
        <v>37.19</v>
      </c>
      <c r="K10">
        <v>10</v>
      </c>
      <c r="L10">
        <v>1</v>
      </c>
    </row>
    <row r="11" spans="1:16" x14ac:dyDescent="0.3">
      <c r="A11" t="s">
        <v>124</v>
      </c>
      <c r="B11">
        <v>0.95</v>
      </c>
      <c r="C11">
        <v>0.81</v>
      </c>
      <c r="D11">
        <v>2.91</v>
      </c>
      <c r="E11">
        <v>6</v>
      </c>
      <c r="F11">
        <v>1</v>
      </c>
      <c r="G11">
        <v>0.43</v>
      </c>
      <c r="H11">
        <v>0.71</v>
      </c>
      <c r="I11" t="s">
        <v>10</v>
      </c>
      <c r="J11">
        <v>31.52</v>
      </c>
      <c r="K11">
        <v>6</v>
      </c>
      <c r="L11">
        <v>1</v>
      </c>
    </row>
    <row r="12" spans="1:16" x14ac:dyDescent="0.3">
      <c r="A12" t="s">
        <v>115</v>
      </c>
      <c r="B12">
        <v>0.86</v>
      </c>
      <c r="C12">
        <v>0.83</v>
      </c>
      <c r="D12">
        <v>1.28</v>
      </c>
      <c r="E12">
        <v>7</v>
      </c>
      <c r="F12">
        <v>1</v>
      </c>
      <c r="G12">
        <v>0.68</v>
      </c>
      <c r="H12">
        <v>0.96</v>
      </c>
      <c r="I12">
        <v>31.97</v>
      </c>
      <c r="J12">
        <v>34.950000000000003</v>
      </c>
      <c r="K12">
        <v>9</v>
      </c>
      <c r="L12">
        <v>1</v>
      </c>
    </row>
    <row r="13" spans="1:16" x14ac:dyDescent="0.3">
      <c r="A13" t="s">
        <v>118</v>
      </c>
      <c r="B13">
        <v>0.99</v>
      </c>
      <c r="C13">
        <v>0.89</v>
      </c>
      <c r="D13">
        <v>2.87</v>
      </c>
      <c r="E13">
        <v>2</v>
      </c>
      <c r="F13">
        <v>1</v>
      </c>
      <c r="G13">
        <v>0.67</v>
      </c>
      <c r="H13">
        <v>0.95</v>
      </c>
      <c r="I13" t="s">
        <v>10</v>
      </c>
      <c r="J13">
        <v>38.24</v>
      </c>
      <c r="K13">
        <v>6</v>
      </c>
      <c r="L13">
        <v>1</v>
      </c>
    </row>
    <row r="14" spans="1:16" x14ac:dyDescent="0.3">
      <c r="A14" t="s">
        <v>125</v>
      </c>
      <c r="B14">
        <v>0.95</v>
      </c>
      <c r="C14">
        <v>0.62</v>
      </c>
      <c r="D14">
        <v>1.19</v>
      </c>
      <c r="E14">
        <v>0</v>
      </c>
      <c r="F14">
        <v>1</v>
      </c>
      <c r="G14">
        <v>0.4</v>
      </c>
      <c r="H14">
        <v>0.97</v>
      </c>
      <c r="J14">
        <v>31.2</v>
      </c>
      <c r="K14">
        <v>10</v>
      </c>
      <c r="L14">
        <v>1</v>
      </c>
    </row>
    <row r="15" spans="1:16" x14ac:dyDescent="0.3">
      <c r="A15" t="s">
        <v>121</v>
      </c>
      <c r="B15">
        <v>0.9</v>
      </c>
      <c r="C15">
        <v>0.81</v>
      </c>
      <c r="D15">
        <v>0.7</v>
      </c>
      <c r="E15">
        <v>5</v>
      </c>
      <c r="F15">
        <v>1</v>
      </c>
      <c r="G15">
        <v>0.45</v>
      </c>
      <c r="H15">
        <v>0.92</v>
      </c>
      <c r="J15">
        <v>34.950000000000003</v>
      </c>
      <c r="K15">
        <v>2</v>
      </c>
      <c r="L15">
        <v>1</v>
      </c>
    </row>
    <row r="16" spans="1:16" x14ac:dyDescent="0.3">
      <c r="A16" t="s">
        <v>116</v>
      </c>
      <c r="B16">
        <v>0.92</v>
      </c>
      <c r="C16">
        <v>0.94</v>
      </c>
      <c r="D16">
        <v>3.78</v>
      </c>
      <c r="E16">
        <v>10</v>
      </c>
      <c r="F16">
        <v>1</v>
      </c>
      <c r="G16">
        <v>0.52</v>
      </c>
      <c r="H16">
        <v>0.97</v>
      </c>
      <c r="J16">
        <v>35.880000000000003</v>
      </c>
      <c r="K16">
        <v>8</v>
      </c>
      <c r="L16">
        <v>1</v>
      </c>
    </row>
    <row r="17" spans="1:12" x14ac:dyDescent="0.3">
      <c r="A17" t="s">
        <v>126</v>
      </c>
      <c r="B17">
        <v>0.72</v>
      </c>
      <c r="C17">
        <v>0.75</v>
      </c>
      <c r="D17">
        <v>1.03</v>
      </c>
      <c r="E17">
        <v>11</v>
      </c>
      <c r="F17">
        <v>1</v>
      </c>
      <c r="G17">
        <v>0.7</v>
      </c>
      <c r="H17">
        <v>0.89</v>
      </c>
      <c r="I17">
        <v>32.5</v>
      </c>
      <c r="J17">
        <v>35.950000000000003</v>
      </c>
      <c r="K17">
        <v>11</v>
      </c>
      <c r="L17">
        <v>1</v>
      </c>
    </row>
    <row r="18" spans="1:12" x14ac:dyDescent="0.3">
      <c r="A18" t="s">
        <v>127</v>
      </c>
      <c r="B18">
        <v>0.99</v>
      </c>
      <c r="C18">
        <v>0.89</v>
      </c>
      <c r="D18">
        <v>0.91</v>
      </c>
      <c r="E18">
        <v>15</v>
      </c>
      <c r="F18">
        <v>1</v>
      </c>
      <c r="G18">
        <v>0.55000000000000004</v>
      </c>
      <c r="H18">
        <v>0.93</v>
      </c>
      <c r="I18">
        <v>33.97</v>
      </c>
      <c r="J18">
        <v>35.979999999999997</v>
      </c>
      <c r="K18">
        <v>14</v>
      </c>
      <c r="L18">
        <v>1</v>
      </c>
    </row>
    <row r="19" spans="1:12" x14ac:dyDescent="0.3">
      <c r="A19" t="s">
        <v>115</v>
      </c>
      <c r="B19">
        <v>0.98</v>
      </c>
      <c r="C19">
        <v>0.75</v>
      </c>
      <c r="D19">
        <v>1.53</v>
      </c>
      <c r="E19">
        <v>2</v>
      </c>
      <c r="F19">
        <v>1</v>
      </c>
      <c r="G19">
        <v>0.61</v>
      </c>
      <c r="H19">
        <v>0.97</v>
      </c>
      <c r="I19" t="s">
        <v>10</v>
      </c>
      <c r="J19">
        <v>34.119999999999997</v>
      </c>
      <c r="K19">
        <v>4</v>
      </c>
      <c r="L19">
        <v>1</v>
      </c>
    </row>
    <row r="20" spans="1:12" x14ac:dyDescent="0.3">
      <c r="A20" t="s">
        <v>117</v>
      </c>
      <c r="B20">
        <v>0.96</v>
      </c>
      <c r="C20">
        <v>0.79</v>
      </c>
      <c r="D20">
        <v>0.67</v>
      </c>
      <c r="E20">
        <v>13</v>
      </c>
      <c r="F20">
        <v>1</v>
      </c>
      <c r="G20">
        <v>0.79</v>
      </c>
      <c r="H20">
        <v>0.94</v>
      </c>
      <c r="I20" t="s">
        <v>10</v>
      </c>
      <c r="J20">
        <v>37.840000000000003</v>
      </c>
      <c r="K20">
        <v>2</v>
      </c>
      <c r="L20">
        <v>1</v>
      </c>
    </row>
    <row r="21" spans="1:12" x14ac:dyDescent="0.3">
      <c r="A21" t="s">
        <v>119</v>
      </c>
      <c r="B21">
        <v>0.97</v>
      </c>
      <c r="C21">
        <v>0.91</v>
      </c>
      <c r="D21">
        <v>5.68</v>
      </c>
      <c r="E21">
        <v>0</v>
      </c>
      <c r="F21">
        <v>1</v>
      </c>
      <c r="G21">
        <v>0.7</v>
      </c>
      <c r="H21">
        <v>0.91</v>
      </c>
      <c r="I21" t="s">
        <v>10</v>
      </c>
      <c r="J21">
        <v>35.99</v>
      </c>
      <c r="K21">
        <v>4</v>
      </c>
      <c r="L21">
        <v>1</v>
      </c>
    </row>
    <row r="22" spans="1:12" x14ac:dyDescent="0.3">
      <c r="A22" t="s">
        <v>120</v>
      </c>
      <c r="B22">
        <v>0.83</v>
      </c>
      <c r="C22">
        <v>0.81</v>
      </c>
      <c r="D22">
        <v>4.75</v>
      </c>
      <c r="E22">
        <v>11</v>
      </c>
      <c r="F22">
        <v>1</v>
      </c>
      <c r="G22">
        <v>0.74</v>
      </c>
      <c r="H22">
        <v>0.94</v>
      </c>
      <c r="J22">
        <v>36</v>
      </c>
      <c r="K22">
        <v>0</v>
      </c>
      <c r="L22">
        <v>1</v>
      </c>
    </row>
    <row r="23" spans="1:12" x14ac:dyDescent="0.3">
      <c r="A23" t="s">
        <v>121</v>
      </c>
      <c r="B23">
        <v>0.9</v>
      </c>
      <c r="C23">
        <v>0.72</v>
      </c>
      <c r="D23">
        <v>4.5</v>
      </c>
      <c r="E23">
        <v>8</v>
      </c>
      <c r="F23">
        <v>1</v>
      </c>
      <c r="L23">
        <v>0</v>
      </c>
    </row>
    <row r="24" spans="1:12" x14ac:dyDescent="0.3">
      <c r="A24" t="s">
        <v>117</v>
      </c>
      <c r="B24">
        <v>0.84</v>
      </c>
      <c r="C24">
        <v>0.72</v>
      </c>
      <c r="D24">
        <v>0.7</v>
      </c>
      <c r="E24">
        <v>15</v>
      </c>
      <c r="F24">
        <v>1</v>
      </c>
      <c r="G24">
        <v>0.61</v>
      </c>
      <c r="H24">
        <v>1</v>
      </c>
      <c r="I24">
        <v>59.74</v>
      </c>
      <c r="J24">
        <v>33.9</v>
      </c>
      <c r="K24">
        <v>18</v>
      </c>
      <c r="L24">
        <v>1</v>
      </c>
    </row>
    <row r="25" spans="1:12" x14ac:dyDescent="0.3">
      <c r="A25" t="s">
        <v>125</v>
      </c>
      <c r="F25">
        <v>0</v>
      </c>
      <c r="L25">
        <v>0</v>
      </c>
    </row>
    <row r="26" spans="1:12" x14ac:dyDescent="0.3">
      <c r="A26" t="s">
        <v>124</v>
      </c>
      <c r="B26">
        <v>0.87</v>
      </c>
      <c r="C26">
        <v>0.5</v>
      </c>
      <c r="E26">
        <v>3</v>
      </c>
      <c r="F26">
        <v>1</v>
      </c>
      <c r="L26">
        <v>0</v>
      </c>
    </row>
    <row r="27" spans="1:12" x14ac:dyDescent="0.3">
      <c r="A27" t="s">
        <v>115</v>
      </c>
      <c r="B27">
        <v>0.97</v>
      </c>
      <c r="C27">
        <v>0.87</v>
      </c>
      <c r="D27">
        <v>0.64</v>
      </c>
      <c r="E27">
        <v>4</v>
      </c>
      <c r="F27">
        <v>1</v>
      </c>
      <c r="G27">
        <v>0.75</v>
      </c>
      <c r="H27">
        <v>0.95</v>
      </c>
      <c r="J27">
        <v>30.24</v>
      </c>
      <c r="K27">
        <v>5</v>
      </c>
      <c r="L27">
        <v>1</v>
      </c>
    </row>
    <row r="28" spans="1:12" x14ac:dyDescent="0.3">
      <c r="A28" t="s">
        <v>118</v>
      </c>
      <c r="B28">
        <v>0.98</v>
      </c>
      <c r="C28">
        <v>0.85</v>
      </c>
      <c r="D28">
        <v>0.61</v>
      </c>
      <c r="E28">
        <v>2</v>
      </c>
      <c r="F28">
        <v>1</v>
      </c>
      <c r="G28">
        <v>0.69</v>
      </c>
      <c r="H28">
        <v>0.94</v>
      </c>
      <c r="J28">
        <v>36.28</v>
      </c>
      <c r="K28">
        <v>9</v>
      </c>
      <c r="L28">
        <v>1</v>
      </c>
    </row>
    <row r="29" spans="1:12" x14ac:dyDescent="0.3">
      <c r="A29" t="s">
        <v>128</v>
      </c>
      <c r="B29">
        <v>0.85</v>
      </c>
      <c r="C29">
        <v>0.69</v>
      </c>
      <c r="D29">
        <v>0.57999999999999996</v>
      </c>
      <c r="E29">
        <v>12</v>
      </c>
      <c r="F29">
        <v>1</v>
      </c>
      <c r="G29">
        <v>0.72</v>
      </c>
      <c r="H29">
        <v>0.97</v>
      </c>
      <c r="J29">
        <v>31.21</v>
      </c>
      <c r="K29">
        <v>3</v>
      </c>
      <c r="L29">
        <v>1</v>
      </c>
    </row>
    <row r="30" spans="1:12" x14ac:dyDescent="0.3">
      <c r="A30" t="s">
        <v>126</v>
      </c>
      <c r="B30">
        <v>0.9</v>
      </c>
      <c r="C30">
        <v>0.73</v>
      </c>
      <c r="F30">
        <v>0</v>
      </c>
      <c r="G30">
        <v>0.75</v>
      </c>
      <c r="H30">
        <v>0.95</v>
      </c>
      <c r="J30">
        <v>37.86</v>
      </c>
      <c r="K30">
        <v>3</v>
      </c>
      <c r="L30">
        <v>1</v>
      </c>
    </row>
    <row r="31" spans="1:12" x14ac:dyDescent="0.3">
      <c r="A31" t="s">
        <v>115</v>
      </c>
      <c r="B31">
        <v>0.97</v>
      </c>
      <c r="C31">
        <v>0.64</v>
      </c>
      <c r="D31">
        <v>4.6399999999999997</v>
      </c>
      <c r="E31">
        <v>10</v>
      </c>
      <c r="F31">
        <v>1</v>
      </c>
      <c r="G31">
        <v>0.72</v>
      </c>
      <c r="H31">
        <v>0.97</v>
      </c>
      <c r="I31">
        <f>76.46-J31</f>
        <v>46.879999999999995</v>
      </c>
      <c r="J31">
        <v>29.58</v>
      </c>
      <c r="K31">
        <v>10</v>
      </c>
      <c r="L31">
        <v>1</v>
      </c>
    </row>
    <row r="32" spans="1:12" x14ac:dyDescent="0.3">
      <c r="A32" t="s">
        <v>117</v>
      </c>
      <c r="B32">
        <v>0.4</v>
      </c>
      <c r="C32">
        <v>0.84</v>
      </c>
      <c r="F32">
        <v>0</v>
      </c>
      <c r="G32">
        <v>0.7</v>
      </c>
      <c r="J32">
        <v>28.75</v>
      </c>
      <c r="L32">
        <v>0</v>
      </c>
    </row>
    <row r="33" spans="1:16" x14ac:dyDescent="0.3">
      <c r="A33" t="s">
        <v>116</v>
      </c>
      <c r="B33">
        <v>0.82</v>
      </c>
      <c r="C33">
        <v>0.84</v>
      </c>
      <c r="D33">
        <v>4.37</v>
      </c>
      <c r="E33">
        <v>9</v>
      </c>
      <c r="F33">
        <v>1</v>
      </c>
      <c r="G33">
        <v>0.67</v>
      </c>
      <c r="H33">
        <v>0.97</v>
      </c>
      <c r="J33">
        <v>31.18</v>
      </c>
      <c r="K33">
        <v>4</v>
      </c>
      <c r="L33">
        <v>1</v>
      </c>
    </row>
    <row r="34" spans="1:16" x14ac:dyDescent="0.3">
      <c r="A34" t="s">
        <v>124</v>
      </c>
      <c r="B34">
        <v>0.99</v>
      </c>
      <c r="C34">
        <v>0.7</v>
      </c>
      <c r="D34">
        <v>1.3</v>
      </c>
      <c r="E34">
        <v>5</v>
      </c>
      <c r="F34">
        <v>1</v>
      </c>
      <c r="G34">
        <v>0.56000000000000005</v>
      </c>
      <c r="H34">
        <v>0.97</v>
      </c>
      <c r="J34">
        <v>31.21</v>
      </c>
      <c r="K34">
        <v>7</v>
      </c>
      <c r="L34">
        <v>1</v>
      </c>
    </row>
    <row r="35" spans="1:16" x14ac:dyDescent="0.3">
      <c r="A35" t="s">
        <v>118</v>
      </c>
      <c r="B35">
        <v>0.98</v>
      </c>
      <c r="C35">
        <v>0.73</v>
      </c>
      <c r="D35">
        <v>1.08</v>
      </c>
      <c r="E35">
        <v>4</v>
      </c>
      <c r="F35">
        <v>1</v>
      </c>
      <c r="G35">
        <v>0.73</v>
      </c>
      <c r="H35">
        <v>0.95</v>
      </c>
      <c r="I35">
        <v>31.34</v>
      </c>
      <c r="J35">
        <v>28.29</v>
      </c>
      <c r="K35">
        <v>0</v>
      </c>
      <c r="L35">
        <v>1</v>
      </c>
    </row>
    <row r="36" spans="1:16" x14ac:dyDescent="0.3">
      <c r="A36" t="s">
        <v>120</v>
      </c>
      <c r="B36">
        <v>0.99</v>
      </c>
      <c r="C36">
        <v>0.92</v>
      </c>
      <c r="D36">
        <v>2.0099999999999998</v>
      </c>
      <c r="E36">
        <v>3</v>
      </c>
      <c r="F36">
        <v>1</v>
      </c>
      <c r="G36">
        <v>0.78</v>
      </c>
      <c r="H36">
        <v>0.95</v>
      </c>
      <c r="J36">
        <v>35</v>
      </c>
      <c r="K36">
        <v>8</v>
      </c>
      <c r="L36">
        <v>1</v>
      </c>
    </row>
    <row r="37" spans="1:16" x14ac:dyDescent="0.3">
      <c r="A37" t="s">
        <v>128</v>
      </c>
      <c r="B37">
        <v>0.99</v>
      </c>
      <c r="C37">
        <v>0.8</v>
      </c>
      <c r="D37">
        <v>0.77</v>
      </c>
      <c r="E37">
        <v>8</v>
      </c>
      <c r="F37">
        <v>1</v>
      </c>
      <c r="G37">
        <v>0.53</v>
      </c>
      <c r="H37">
        <v>0.93</v>
      </c>
      <c r="J37">
        <v>32.24</v>
      </c>
      <c r="K37">
        <v>6</v>
      </c>
      <c r="L37">
        <v>1</v>
      </c>
    </row>
    <row r="38" spans="1:16" x14ac:dyDescent="0.3">
      <c r="A38" t="s">
        <v>125</v>
      </c>
      <c r="B38">
        <v>1</v>
      </c>
      <c r="C38">
        <v>0.74</v>
      </c>
      <c r="D38">
        <v>1.55</v>
      </c>
      <c r="E38">
        <v>21</v>
      </c>
      <c r="F38">
        <v>1</v>
      </c>
      <c r="L38">
        <v>0</v>
      </c>
    </row>
    <row r="39" spans="1:16" x14ac:dyDescent="0.3">
      <c r="A39" t="s">
        <v>119</v>
      </c>
      <c r="B39">
        <v>0.99</v>
      </c>
      <c r="C39">
        <v>0.85</v>
      </c>
      <c r="D39">
        <v>7.84</v>
      </c>
      <c r="E39">
        <v>0</v>
      </c>
      <c r="F39">
        <v>1</v>
      </c>
      <c r="G39">
        <v>0.75</v>
      </c>
      <c r="H39">
        <v>0.95</v>
      </c>
      <c r="I39">
        <v>42</v>
      </c>
      <c r="J39">
        <v>42.13</v>
      </c>
      <c r="K39">
        <v>0</v>
      </c>
      <c r="L39">
        <v>1</v>
      </c>
    </row>
    <row r="40" spans="1:16" x14ac:dyDescent="0.3">
      <c r="A40" t="s">
        <v>126</v>
      </c>
      <c r="B40">
        <v>0.91</v>
      </c>
      <c r="C40">
        <v>0.69</v>
      </c>
      <c r="F40">
        <v>0</v>
      </c>
      <c r="G40">
        <v>0.64</v>
      </c>
      <c r="H40">
        <v>0.94</v>
      </c>
      <c r="J40">
        <v>40.5</v>
      </c>
      <c r="K40">
        <v>2</v>
      </c>
      <c r="L40">
        <v>1</v>
      </c>
      <c r="P40" t="s">
        <v>260</v>
      </c>
    </row>
    <row r="41" spans="1:16" x14ac:dyDescent="0.3">
      <c r="A41" t="s">
        <v>121</v>
      </c>
      <c r="B41">
        <v>0.99</v>
      </c>
      <c r="C41">
        <v>0.72</v>
      </c>
      <c r="D41">
        <v>2.0699999999999998</v>
      </c>
      <c r="E41">
        <v>8</v>
      </c>
      <c r="F41">
        <v>1</v>
      </c>
      <c r="G41">
        <v>0.52</v>
      </c>
      <c r="H41">
        <v>0.92</v>
      </c>
      <c r="J41">
        <v>40.74</v>
      </c>
      <c r="K41">
        <v>5</v>
      </c>
      <c r="L41">
        <v>1</v>
      </c>
    </row>
    <row r="42" spans="1:16" x14ac:dyDescent="0.3">
      <c r="A42" t="s">
        <v>118</v>
      </c>
      <c r="B42">
        <v>0.99</v>
      </c>
      <c r="C42">
        <v>0.51</v>
      </c>
      <c r="D42">
        <v>7.14</v>
      </c>
      <c r="E42">
        <v>13</v>
      </c>
      <c r="F42">
        <v>1</v>
      </c>
      <c r="G42">
        <v>0.41</v>
      </c>
      <c r="H42">
        <v>0.98</v>
      </c>
      <c r="J42">
        <v>30.18</v>
      </c>
      <c r="K42">
        <v>8</v>
      </c>
      <c r="L42">
        <v>1</v>
      </c>
    </row>
    <row r="43" spans="1:16" x14ac:dyDescent="0.3">
      <c r="A43" s="2" t="s">
        <v>129</v>
      </c>
      <c r="B43" s="3">
        <f>AVERAGE(B3:B42)</f>
        <v>0.92076923076923045</v>
      </c>
      <c r="C43" s="3">
        <f t="shared" ref="C43:E43" si="0">AVERAGE(C3:C42)</f>
        <v>0.78564102564102578</v>
      </c>
      <c r="D43" s="3">
        <f t="shared" si="0"/>
        <v>2.4899999999999998</v>
      </c>
      <c r="E43" s="3">
        <f t="shared" si="0"/>
        <v>7.1944444444444446</v>
      </c>
      <c r="F43" s="3">
        <f t="shared" ref="F43" si="1">AVERAGE(F3:F42)</f>
        <v>0.9</v>
      </c>
      <c r="G43" s="3">
        <f t="shared" ref="G43" si="2">AVERAGE(G3:G42)</f>
        <v>0.64527777777777784</v>
      </c>
      <c r="H43" s="3">
        <f t="shared" ref="H43" si="3">AVERAGE(H3:H42)</f>
        <v>0.94176470588235284</v>
      </c>
      <c r="I43" s="3">
        <f t="shared" ref="I43" si="4">AVERAGE(I3:I42)</f>
        <v>39.504999999999995</v>
      </c>
      <c r="J43" s="3">
        <f t="shared" ref="J43" si="5">AVERAGE(J3:J42)</f>
        <v>34.347500000000004</v>
      </c>
      <c r="K43" s="3">
        <f t="shared" ref="K43" si="6">AVERAGE(K3:K42)</f>
        <v>5.6470588235294121</v>
      </c>
      <c r="L43" s="3">
        <f t="shared" ref="L43" si="7">AVERAGE(L3:L42)</f>
        <v>0.85</v>
      </c>
    </row>
    <row r="44" spans="1:16" x14ac:dyDescent="0.3">
      <c r="A44" s="3"/>
      <c r="B44" s="3">
        <f xml:space="preserve"> _xlfn.CONFIDENCE.T(0.05, _xlfn.STDEV.S(B3:B42), COUNT(B3:B42))</f>
        <v>3.4979716676370343E-2</v>
      </c>
      <c r="C44" s="3">
        <f t="shared" ref="C44:L44" si="8" xml:space="preserve"> _xlfn.CONFIDENCE.T(0.05, _xlfn.STDEV.S(C3:C42), 40)</f>
        <v>3.4018976250629579E-2</v>
      </c>
      <c r="D44" s="3">
        <f t="shared" si="8"/>
        <v>0.60947651315487017</v>
      </c>
      <c r="E44" s="3">
        <f t="shared" si="8"/>
        <v>1.6606129575304533</v>
      </c>
      <c r="F44" s="3">
        <f t="shared" si="8"/>
        <v>9.7166928823139834E-2</v>
      </c>
      <c r="G44" s="3">
        <f t="shared" si="8"/>
        <v>3.8858279741494139E-2</v>
      </c>
      <c r="H44" s="3">
        <f t="shared" si="8"/>
        <v>1.5174688118079005E-2</v>
      </c>
      <c r="I44" s="3">
        <f t="shared" si="8"/>
        <v>2.962457121796267</v>
      </c>
      <c r="J44" s="3">
        <f t="shared" si="8"/>
        <v>1.1439417290981373</v>
      </c>
      <c r="K44" s="3">
        <f t="shared" si="8"/>
        <v>1.3335505235549221</v>
      </c>
      <c r="L44" s="3">
        <f t="shared" si="8"/>
        <v>0.11565177796862841</v>
      </c>
      <c r="O44" t="s">
        <v>183</v>
      </c>
    </row>
    <row r="45" spans="1:16" x14ac:dyDescent="0.3">
      <c r="A45" s="3" t="s">
        <v>130</v>
      </c>
      <c r="B45" s="3">
        <f>B43-B44</f>
        <v>0.88578951409286011</v>
      </c>
      <c r="C45" s="3">
        <f t="shared" ref="C45:L45" si="9">C43-C44</f>
        <v>0.75162204939039623</v>
      </c>
      <c r="D45" s="3">
        <f t="shared" si="9"/>
        <v>1.8805234868451297</v>
      </c>
      <c r="E45" s="3">
        <f t="shared" si="9"/>
        <v>5.5338314869139911</v>
      </c>
      <c r="F45" s="3">
        <f t="shared" si="9"/>
        <v>0.8028330711768602</v>
      </c>
      <c r="G45" s="3">
        <f t="shared" si="9"/>
        <v>0.6064194980362837</v>
      </c>
      <c r="H45" s="3">
        <f t="shared" si="9"/>
        <v>0.92659001776427385</v>
      </c>
      <c r="I45" s="3">
        <f t="shared" si="9"/>
        <v>36.542542878203726</v>
      </c>
      <c r="J45" s="3">
        <f t="shared" si="9"/>
        <v>33.203558270901866</v>
      </c>
      <c r="K45" s="3">
        <f t="shared" si="9"/>
        <v>4.3135082999744903</v>
      </c>
      <c r="L45" s="3">
        <f t="shared" si="9"/>
        <v>0.73434822203137151</v>
      </c>
    </row>
    <row r="46" spans="1:16" x14ac:dyDescent="0.3">
      <c r="A46" s="3" t="s">
        <v>131</v>
      </c>
      <c r="B46" s="3">
        <f>B43+B44</f>
        <v>0.95574894744560079</v>
      </c>
      <c r="C46" s="3">
        <f t="shared" ref="C46:L46" si="10">C43+C44</f>
        <v>0.81966000189165533</v>
      </c>
      <c r="D46" s="3">
        <f t="shared" si="10"/>
        <v>3.0994765131548698</v>
      </c>
      <c r="E46" s="3">
        <f t="shared" si="10"/>
        <v>8.8550574019748982</v>
      </c>
      <c r="F46" s="3">
        <f t="shared" si="10"/>
        <v>0.99716692882313984</v>
      </c>
      <c r="G46" s="3">
        <f t="shared" si="10"/>
        <v>0.68413605751927198</v>
      </c>
      <c r="H46" s="3">
        <f t="shared" si="10"/>
        <v>0.95693939400043182</v>
      </c>
      <c r="I46" s="3">
        <f t="shared" si="10"/>
        <v>42.467457121796265</v>
      </c>
      <c r="J46" s="3">
        <f t="shared" si="10"/>
        <v>35.491441729098142</v>
      </c>
      <c r="K46" s="3">
        <f t="shared" si="10"/>
        <v>6.980609347084334</v>
      </c>
      <c r="L46" s="3">
        <f t="shared" si="10"/>
        <v>0.96565177796862844</v>
      </c>
    </row>
    <row r="47" spans="1:16" x14ac:dyDescent="0.3">
      <c r="A47" s="3" t="s">
        <v>133</v>
      </c>
      <c r="B47" s="3">
        <f>_xlfn.STDEV.P(B3:B42)</f>
        <v>0.1065155487718949</v>
      </c>
      <c r="C47" s="3">
        <f t="shared" ref="C47:L47" si="11">_xlfn.STDEV.P(C3:C42)</f>
        <v>0.10499804324904072</v>
      </c>
      <c r="D47" s="3">
        <f t="shared" si="11"/>
        <v>1.8782910165512543</v>
      </c>
      <c r="E47" s="3">
        <f t="shared" si="11"/>
        <v>5.1197843077638234</v>
      </c>
      <c r="F47" s="3">
        <f t="shared" si="11"/>
        <v>0.3</v>
      </c>
      <c r="G47" s="3">
        <f t="shared" si="11"/>
        <v>0.11980275713556816</v>
      </c>
      <c r="H47" s="3">
        <f t="shared" si="11"/>
        <v>4.6745278983726629E-2</v>
      </c>
      <c r="I47" s="3">
        <f t="shared" si="11"/>
        <v>8.787671193211553</v>
      </c>
      <c r="J47" s="3">
        <f t="shared" si="11"/>
        <v>3.5268512672227725</v>
      </c>
      <c r="K47" s="3">
        <f t="shared" si="11"/>
        <v>4.1079718263337144</v>
      </c>
      <c r="L47" s="3">
        <f t="shared" si="11"/>
        <v>0.35707142142714249</v>
      </c>
    </row>
    <row r="57" spans="1:12" x14ac:dyDescent="0.3">
      <c r="B57" cm="1">
        <f t="array" ref="B57">[1]!SWTEST(B3:B42)</f>
        <v>2.1836073615943974E-8</v>
      </c>
      <c r="C57" cm="1">
        <f t="array" ref="C57">[1]!SWTEST(C3:C42)</f>
        <v>2.1607613092142541E-2</v>
      </c>
      <c r="D57" cm="1">
        <f t="array" ref="D57">[1]!SWTEST(D3:D42)</f>
        <v>5.4090466054601549E-4</v>
      </c>
      <c r="E57" cm="1">
        <f t="array" ref="E57">[1]!SWTEST(E3:E42)</f>
        <v>8.4297351732462222E-2</v>
      </c>
      <c r="F57" cm="1">
        <f t="array" ref="F57">[1]!SWTEST(F3:F42)</f>
        <v>3.7406744368695399E-12</v>
      </c>
      <c r="G57" cm="1">
        <f t="array" ref="G57">[1]!SWTEST(G3:G42)</f>
        <v>6.9091782894567966E-2</v>
      </c>
      <c r="H57" cm="1">
        <f t="array" ref="H57">[1]!SWTEST(H3:H42)</f>
        <v>5.0971136533739525E-8</v>
      </c>
      <c r="I57" cm="1">
        <f t="array" ref="I57">[1]!SWTEST(I3:I42)</f>
        <v>3.3512163067630052E-2</v>
      </c>
      <c r="J57" cm="1">
        <f t="array" ref="J57">[1]!SWTEST(J3:J42)</f>
        <v>0.62965544407270491</v>
      </c>
      <c r="K57" cm="1">
        <f t="array" ref="K57">[1]!SWTEST(K3:K42)</f>
        <v>5.5371089525213746E-2</v>
      </c>
      <c r="L57" cm="1">
        <f t="array" ref="L57">[1]!SWTEST(L3:L42)</f>
        <v>2.64204214062147E-11</v>
      </c>
    </row>
    <row r="60" spans="1:12" x14ac:dyDescent="0.3">
      <c r="A60" t="s">
        <v>264</v>
      </c>
    </row>
    <row r="61" spans="1:12" x14ac:dyDescent="0.3">
      <c r="A61" t="s">
        <v>262</v>
      </c>
      <c r="B61">
        <f>_xlfn.T.TEST(B3:B42,G3:G42,2, 3)</f>
        <v>9.0677789183096756E-16</v>
      </c>
      <c r="C61">
        <f>_xlfn.T.TEST(C3:C42,H3:H42,2, 3)</f>
        <v>3.5778246053654838E-11</v>
      </c>
      <c r="E61">
        <f>_xlfn.T.TEST(E3:E42,K3:K42,2, 3)</f>
        <v>0.17272489282711442</v>
      </c>
      <c r="F61">
        <f>_xlfn.T.TEST(F3:F42,K3:K42,2, 3)</f>
        <v>1.4932811495507082E-7</v>
      </c>
    </row>
    <row r="62" spans="1:12" x14ac:dyDescent="0.3">
      <c r="A62" t="s">
        <v>261</v>
      </c>
      <c r="B62">
        <f t="shared" ref="B62:C62" si="12">TINV(B61, 40)</f>
        <v>12.837450592843494</v>
      </c>
      <c r="C62">
        <f t="shared" si="12"/>
        <v>9.009373041000396</v>
      </c>
      <c r="E62">
        <f>TINV(E61, 40)</f>
        <v>1.3883152398155629</v>
      </c>
    </row>
    <row r="65" spans="3:3" x14ac:dyDescent="0.3">
      <c r="C65" s="8"/>
    </row>
    <row r="66" spans="3:3" x14ac:dyDescent="0.3">
      <c r="C66" s="9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E404-9C97-4838-A3A1-526C395627D4}">
  <dimension ref="A1:F108"/>
  <sheetViews>
    <sheetView topLeftCell="A77" zoomScale="95" workbookViewId="0">
      <selection activeCell="B103" sqref="B103"/>
    </sheetView>
  </sheetViews>
  <sheetFormatPr defaultRowHeight="14.4" x14ac:dyDescent="0.3"/>
  <cols>
    <col min="3" max="3" width="12.5546875" bestFit="1" customWidth="1"/>
    <col min="4" max="4" width="18.6640625" bestFit="1" customWidth="1"/>
  </cols>
  <sheetData>
    <row r="1" spans="1:4" x14ac:dyDescent="0.3">
      <c r="B1" t="s">
        <v>265</v>
      </c>
      <c r="C1" t="s">
        <v>266</v>
      </c>
      <c r="D1" t="s">
        <v>267</v>
      </c>
    </row>
    <row r="2" spans="1:4" x14ac:dyDescent="0.3">
      <c r="A2">
        <v>1</v>
      </c>
      <c r="B2">
        <v>4</v>
      </c>
      <c r="C2">
        <v>5</v>
      </c>
      <c r="D2">
        <v>5</v>
      </c>
    </row>
    <row r="3" spans="1:4" x14ac:dyDescent="0.3">
      <c r="A3">
        <v>2</v>
      </c>
      <c r="B3">
        <v>5</v>
      </c>
      <c r="C3">
        <v>5</v>
      </c>
      <c r="D3">
        <v>5</v>
      </c>
    </row>
    <row r="4" spans="1:4" x14ac:dyDescent="0.3">
      <c r="A4">
        <v>3</v>
      </c>
      <c r="B4">
        <v>2</v>
      </c>
      <c r="C4">
        <v>5</v>
      </c>
      <c r="D4">
        <v>5</v>
      </c>
    </row>
    <row r="5" spans="1:4" x14ac:dyDescent="0.3">
      <c r="A5">
        <v>4</v>
      </c>
      <c r="B5">
        <v>4</v>
      </c>
      <c r="C5">
        <v>5</v>
      </c>
      <c r="D5">
        <v>5</v>
      </c>
    </row>
    <row r="6" spans="1:4" x14ac:dyDescent="0.3">
      <c r="A6">
        <v>5</v>
      </c>
      <c r="B6">
        <v>4</v>
      </c>
      <c r="C6">
        <v>5</v>
      </c>
      <c r="D6">
        <v>5</v>
      </c>
    </row>
    <row r="7" spans="1:4" x14ac:dyDescent="0.3">
      <c r="A7">
        <v>6</v>
      </c>
      <c r="B7">
        <v>5</v>
      </c>
      <c r="C7">
        <v>5</v>
      </c>
      <c r="D7">
        <v>5</v>
      </c>
    </row>
    <row r="8" spans="1:4" x14ac:dyDescent="0.3">
      <c r="A8">
        <v>7</v>
      </c>
      <c r="B8">
        <v>5</v>
      </c>
      <c r="C8">
        <v>5</v>
      </c>
      <c r="D8">
        <v>2</v>
      </c>
    </row>
    <row r="9" spans="1:4" x14ac:dyDescent="0.3">
      <c r="A9">
        <v>8</v>
      </c>
      <c r="B9">
        <v>4</v>
      </c>
      <c r="C9">
        <v>5</v>
      </c>
      <c r="D9">
        <v>5</v>
      </c>
    </row>
    <row r="10" spans="1:4" x14ac:dyDescent="0.3">
      <c r="A10">
        <v>9</v>
      </c>
      <c r="B10">
        <v>4</v>
      </c>
      <c r="C10">
        <v>5</v>
      </c>
      <c r="D10">
        <v>5</v>
      </c>
    </row>
    <row r="11" spans="1:4" x14ac:dyDescent="0.3">
      <c r="A11">
        <v>10</v>
      </c>
      <c r="B11">
        <v>4</v>
      </c>
      <c r="C11">
        <v>5</v>
      </c>
      <c r="D11">
        <v>5</v>
      </c>
    </row>
    <row r="12" spans="1:4" x14ac:dyDescent="0.3">
      <c r="A12">
        <v>11</v>
      </c>
      <c r="B12">
        <v>4</v>
      </c>
      <c r="C12">
        <v>5</v>
      </c>
      <c r="D12">
        <v>5</v>
      </c>
    </row>
    <row r="13" spans="1:4" x14ac:dyDescent="0.3">
      <c r="A13">
        <v>12</v>
      </c>
      <c r="B13">
        <v>5</v>
      </c>
      <c r="C13">
        <v>5</v>
      </c>
      <c r="D13">
        <v>5</v>
      </c>
    </row>
    <row r="14" spans="1:4" x14ac:dyDescent="0.3">
      <c r="A14">
        <v>13</v>
      </c>
      <c r="B14">
        <v>5</v>
      </c>
      <c r="C14">
        <v>5</v>
      </c>
      <c r="D14">
        <v>5</v>
      </c>
    </row>
    <row r="15" spans="1:4" x14ac:dyDescent="0.3">
      <c r="A15">
        <v>14</v>
      </c>
      <c r="B15">
        <v>4</v>
      </c>
      <c r="C15">
        <v>5</v>
      </c>
      <c r="D15">
        <v>5</v>
      </c>
    </row>
    <row r="16" spans="1:4" x14ac:dyDescent="0.3">
      <c r="A16">
        <v>15</v>
      </c>
      <c r="B16">
        <v>4</v>
      </c>
      <c r="C16">
        <v>5</v>
      </c>
      <c r="D16">
        <v>5</v>
      </c>
    </row>
    <row r="17" spans="1:4" x14ac:dyDescent="0.3">
      <c r="A17">
        <v>16</v>
      </c>
      <c r="B17">
        <v>4</v>
      </c>
      <c r="C17">
        <v>5</v>
      </c>
      <c r="D17">
        <v>5</v>
      </c>
    </row>
    <row r="18" spans="1:4" x14ac:dyDescent="0.3">
      <c r="A18">
        <v>17</v>
      </c>
      <c r="B18">
        <v>4</v>
      </c>
      <c r="C18">
        <v>5</v>
      </c>
      <c r="D18">
        <v>5</v>
      </c>
    </row>
    <row r="19" spans="1:4" x14ac:dyDescent="0.3">
      <c r="A19">
        <v>18</v>
      </c>
      <c r="B19">
        <v>4</v>
      </c>
      <c r="C19">
        <v>5</v>
      </c>
      <c r="D19">
        <v>5</v>
      </c>
    </row>
    <row r="20" spans="1:4" x14ac:dyDescent="0.3">
      <c r="A20">
        <v>19</v>
      </c>
      <c r="B20">
        <v>4</v>
      </c>
      <c r="C20">
        <v>5</v>
      </c>
      <c r="D20">
        <v>5</v>
      </c>
    </row>
    <row r="21" spans="1:4" x14ac:dyDescent="0.3">
      <c r="A21">
        <v>20</v>
      </c>
      <c r="B21">
        <v>5</v>
      </c>
      <c r="C21">
        <v>5</v>
      </c>
      <c r="D21">
        <v>5</v>
      </c>
    </row>
    <row r="22" spans="1:4" x14ac:dyDescent="0.3">
      <c r="A22">
        <v>21</v>
      </c>
      <c r="B22">
        <v>4</v>
      </c>
      <c r="C22">
        <v>5</v>
      </c>
      <c r="D22">
        <v>5</v>
      </c>
    </row>
    <row r="23" spans="1:4" x14ac:dyDescent="0.3">
      <c r="A23">
        <v>22</v>
      </c>
      <c r="B23">
        <v>4</v>
      </c>
      <c r="C23">
        <v>5</v>
      </c>
      <c r="D23">
        <v>5</v>
      </c>
    </row>
    <row r="24" spans="1:4" x14ac:dyDescent="0.3">
      <c r="A24">
        <v>23</v>
      </c>
      <c r="B24">
        <v>4</v>
      </c>
      <c r="C24">
        <v>5</v>
      </c>
      <c r="D24">
        <v>5</v>
      </c>
    </row>
    <row r="25" spans="1:4" x14ac:dyDescent="0.3">
      <c r="A25">
        <v>24</v>
      </c>
      <c r="B25">
        <v>4</v>
      </c>
      <c r="C25">
        <v>5</v>
      </c>
      <c r="D25">
        <v>5</v>
      </c>
    </row>
    <row r="26" spans="1:4" x14ac:dyDescent="0.3">
      <c r="A26">
        <v>25</v>
      </c>
      <c r="B26">
        <v>4</v>
      </c>
      <c r="C26">
        <v>5</v>
      </c>
      <c r="D26">
        <v>5</v>
      </c>
    </row>
    <row r="27" spans="1:4" x14ac:dyDescent="0.3">
      <c r="A27">
        <v>26</v>
      </c>
      <c r="B27">
        <v>5</v>
      </c>
      <c r="C27">
        <v>5</v>
      </c>
      <c r="D27">
        <v>5</v>
      </c>
    </row>
    <row r="28" spans="1:4" x14ac:dyDescent="0.3">
      <c r="A28">
        <v>27</v>
      </c>
      <c r="B28">
        <v>5</v>
      </c>
      <c r="C28">
        <v>5</v>
      </c>
      <c r="D28">
        <v>5</v>
      </c>
    </row>
    <row r="29" spans="1:4" x14ac:dyDescent="0.3">
      <c r="A29">
        <v>28</v>
      </c>
      <c r="B29">
        <v>4</v>
      </c>
      <c r="C29">
        <v>5</v>
      </c>
      <c r="D29">
        <v>5</v>
      </c>
    </row>
    <row r="30" spans="1:4" x14ac:dyDescent="0.3">
      <c r="A30">
        <v>29</v>
      </c>
      <c r="B30">
        <v>4</v>
      </c>
      <c r="C30">
        <v>5</v>
      </c>
      <c r="D30">
        <v>5</v>
      </c>
    </row>
    <row r="31" spans="1:4" x14ac:dyDescent="0.3">
      <c r="A31">
        <v>30</v>
      </c>
      <c r="B31">
        <v>5</v>
      </c>
      <c r="C31">
        <v>5</v>
      </c>
      <c r="D31">
        <v>5</v>
      </c>
    </row>
    <row r="32" spans="1:4" x14ac:dyDescent="0.3">
      <c r="A32">
        <v>31</v>
      </c>
      <c r="B32">
        <v>5</v>
      </c>
      <c r="C32">
        <v>5</v>
      </c>
      <c r="D32">
        <v>5</v>
      </c>
    </row>
    <row r="33" spans="1:4" x14ac:dyDescent="0.3">
      <c r="A33">
        <v>32</v>
      </c>
      <c r="B33">
        <v>4</v>
      </c>
      <c r="C33">
        <v>5</v>
      </c>
      <c r="D33">
        <v>5</v>
      </c>
    </row>
    <row r="34" spans="1:4" x14ac:dyDescent="0.3">
      <c r="A34">
        <v>33</v>
      </c>
      <c r="B34">
        <v>4</v>
      </c>
      <c r="C34">
        <v>5</v>
      </c>
      <c r="D34">
        <v>5</v>
      </c>
    </row>
    <row r="35" spans="1:4" x14ac:dyDescent="0.3">
      <c r="A35">
        <v>34</v>
      </c>
      <c r="B35">
        <v>4</v>
      </c>
      <c r="C35">
        <v>5</v>
      </c>
      <c r="D35">
        <v>5</v>
      </c>
    </row>
    <row r="36" spans="1:4" x14ac:dyDescent="0.3">
      <c r="A36">
        <v>35</v>
      </c>
      <c r="B36">
        <v>4</v>
      </c>
      <c r="C36">
        <v>5</v>
      </c>
      <c r="D36">
        <v>5</v>
      </c>
    </row>
    <row r="37" spans="1:4" x14ac:dyDescent="0.3">
      <c r="A37">
        <v>36</v>
      </c>
      <c r="B37">
        <v>3</v>
      </c>
      <c r="C37">
        <v>4</v>
      </c>
      <c r="D37">
        <v>5</v>
      </c>
    </row>
    <row r="38" spans="1:4" x14ac:dyDescent="0.3">
      <c r="A38">
        <v>37</v>
      </c>
      <c r="B38">
        <v>4</v>
      </c>
      <c r="C38">
        <v>5</v>
      </c>
      <c r="D38">
        <v>5</v>
      </c>
    </row>
    <row r="39" spans="1:4" x14ac:dyDescent="0.3">
      <c r="A39">
        <v>38</v>
      </c>
      <c r="B39">
        <v>4</v>
      </c>
      <c r="C39">
        <v>5</v>
      </c>
      <c r="D39">
        <v>5</v>
      </c>
    </row>
    <row r="40" spans="1:4" x14ac:dyDescent="0.3">
      <c r="A40">
        <v>39</v>
      </c>
      <c r="B40">
        <v>5</v>
      </c>
      <c r="C40">
        <v>5</v>
      </c>
      <c r="D40">
        <v>5</v>
      </c>
    </row>
    <row r="41" spans="1:4" x14ac:dyDescent="0.3">
      <c r="A41">
        <v>40</v>
      </c>
      <c r="B41">
        <v>4</v>
      </c>
      <c r="C41">
        <v>5</v>
      </c>
      <c r="D41">
        <v>5</v>
      </c>
    </row>
    <row r="42" spans="1:4" x14ac:dyDescent="0.3">
      <c r="A42">
        <v>41</v>
      </c>
      <c r="B42">
        <v>4</v>
      </c>
      <c r="C42">
        <v>5</v>
      </c>
      <c r="D42">
        <v>5</v>
      </c>
    </row>
    <row r="43" spans="1:4" x14ac:dyDescent="0.3">
      <c r="A43">
        <v>42</v>
      </c>
      <c r="B43">
        <v>4</v>
      </c>
      <c r="C43">
        <v>5</v>
      </c>
      <c r="D43">
        <v>5</v>
      </c>
    </row>
    <row r="44" spans="1:4" x14ac:dyDescent="0.3">
      <c r="A44">
        <v>43</v>
      </c>
      <c r="B44">
        <v>5</v>
      </c>
      <c r="C44">
        <v>5</v>
      </c>
      <c r="D44">
        <v>5</v>
      </c>
    </row>
    <row r="45" spans="1:4" x14ac:dyDescent="0.3">
      <c r="A45">
        <v>44</v>
      </c>
      <c r="B45">
        <v>5</v>
      </c>
      <c r="C45">
        <v>5</v>
      </c>
      <c r="D45">
        <v>5</v>
      </c>
    </row>
    <row r="46" spans="1:4" x14ac:dyDescent="0.3">
      <c r="A46">
        <v>45</v>
      </c>
      <c r="B46">
        <v>5</v>
      </c>
      <c r="C46">
        <v>5</v>
      </c>
      <c r="D46">
        <v>2</v>
      </c>
    </row>
    <row r="47" spans="1:4" x14ac:dyDescent="0.3">
      <c r="A47">
        <v>46</v>
      </c>
      <c r="B47">
        <v>4</v>
      </c>
      <c r="C47">
        <v>5</v>
      </c>
      <c r="D47">
        <v>5</v>
      </c>
    </row>
    <row r="48" spans="1:4" x14ac:dyDescent="0.3">
      <c r="A48">
        <v>47</v>
      </c>
      <c r="B48">
        <v>4</v>
      </c>
      <c r="C48">
        <v>5</v>
      </c>
      <c r="D48">
        <v>5</v>
      </c>
    </row>
    <row r="49" spans="1:4" x14ac:dyDescent="0.3">
      <c r="A49">
        <v>48</v>
      </c>
      <c r="B49">
        <v>3</v>
      </c>
      <c r="C49">
        <v>4</v>
      </c>
      <c r="D49">
        <v>5</v>
      </c>
    </row>
    <row r="50" spans="1:4" x14ac:dyDescent="0.3">
      <c r="A50">
        <v>49</v>
      </c>
      <c r="B50">
        <v>4</v>
      </c>
      <c r="C50">
        <v>5</v>
      </c>
      <c r="D50">
        <v>5</v>
      </c>
    </row>
    <row r="51" spans="1:4" x14ac:dyDescent="0.3">
      <c r="A51">
        <v>50</v>
      </c>
      <c r="B51">
        <v>4</v>
      </c>
      <c r="C51">
        <v>5</v>
      </c>
      <c r="D51">
        <v>5</v>
      </c>
    </row>
    <row r="52" spans="1:4" x14ac:dyDescent="0.3">
      <c r="A52">
        <v>51</v>
      </c>
      <c r="B52">
        <v>4</v>
      </c>
      <c r="C52">
        <v>5</v>
      </c>
      <c r="D52">
        <v>5</v>
      </c>
    </row>
    <row r="53" spans="1:4" x14ac:dyDescent="0.3">
      <c r="A53">
        <v>52</v>
      </c>
      <c r="B53">
        <v>4</v>
      </c>
      <c r="C53">
        <v>5</v>
      </c>
      <c r="D53">
        <v>5</v>
      </c>
    </row>
    <row r="54" spans="1:4" x14ac:dyDescent="0.3">
      <c r="A54">
        <v>53</v>
      </c>
      <c r="B54">
        <v>5</v>
      </c>
      <c r="C54">
        <v>5</v>
      </c>
      <c r="D54">
        <v>5</v>
      </c>
    </row>
    <row r="55" spans="1:4" x14ac:dyDescent="0.3">
      <c r="A55">
        <v>54</v>
      </c>
      <c r="B55">
        <v>4</v>
      </c>
      <c r="C55">
        <v>5</v>
      </c>
      <c r="D55">
        <v>5</v>
      </c>
    </row>
    <row r="56" spans="1:4" x14ac:dyDescent="0.3">
      <c r="A56">
        <v>55</v>
      </c>
      <c r="B56">
        <v>5</v>
      </c>
      <c r="C56">
        <v>5</v>
      </c>
      <c r="D56">
        <v>5</v>
      </c>
    </row>
    <row r="57" spans="1:4" x14ac:dyDescent="0.3">
      <c r="A57">
        <v>56</v>
      </c>
      <c r="B57">
        <v>5</v>
      </c>
      <c r="C57">
        <v>5</v>
      </c>
      <c r="D57">
        <v>5</v>
      </c>
    </row>
    <row r="58" spans="1:4" x14ac:dyDescent="0.3">
      <c r="A58">
        <v>57</v>
      </c>
      <c r="B58">
        <v>5</v>
      </c>
      <c r="C58">
        <v>5</v>
      </c>
      <c r="D58">
        <v>5</v>
      </c>
    </row>
    <row r="59" spans="1:4" x14ac:dyDescent="0.3">
      <c r="A59">
        <v>58</v>
      </c>
      <c r="B59">
        <v>5</v>
      </c>
      <c r="C59">
        <v>5</v>
      </c>
      <c r="D59">
        <v>5</v>
      </c>
    </row>
    <row r="60" spans="1:4" x14ac:dyDescent="0.3">
      <c r="A60">
        <v>59</v>
      </c>
      <c r="B60">
        <v>4</v>
      </c>
      <c r="C60">
        <v>5</v>
      </c>
      <c r="D60">
        <v>5</v>
      </c>
    </row>
    <row r="61" spans="1:4" x14ac:dyDescent="0.3">
      <c r="A61">
        <v>60</v>
      </c>
      <c r="B61">
        <v>5</v>
      </c>
      <c r="C61">
        <v>5</v>
      </c>
      <c r="D61">
        <v>5</v>
      </c>
    </row>
    <row r="62" spans="1:4" x14ac:dyDescent="0.3">
      <c r="A62">
        <v>61</v>
      </c>
      <c r="B62">
        <v>4</v>
      </c>
      <c r="C62">
        <v>5</v>
      </c>
      <c r="D62">
        <v>5</v>
      </c>
    </row>
    <row r="63" spans="1:4" x14ac:dyDescent="0.3">
      <c r="A63">
        <v>62</v>
      </c>
      <c r="B63">
        <v>3</v>
      </c>
      <c r="C63">
        <v>5</v>
      </c>
      <c r="D63">
        <v>5</v>
      </c>
    </row>
    <row r="64" spans="1:4" x14ac:dyDescent="0.3">
      <c r="A64">
        <v>63</v>
      </c>
      <c r="B64">
        <v>4</v>
      </c>
      <c r="C64">
        <v>5</v>
      </c>
      <c r="D64">
        <v>5</v>
      </c>
    </row>
    <row r="65" spans="1:4" x14ac:dyDescent="0.3">
      <c r="A65">
        <v>64</v>
      </c>
      <c r="B65">
        <v>4</v>
      </c>
      <c r="C65">
        <v>5</v>
      </c>
      <c r="D65">
        <v>5</v>
      </c>
    </row>
    <row r="66" spans="1:4" x14ac:dyDescent="0.3">
      <c r="A66">
        <v>65</v>
      </c>
      <c r="B66">
        <v>4</v>
      </c>
      <c r="C66">
        <v>5</v>
      </c>
      <c r="D66">
        <v>4</v>
      </c>
    </row>
    <row r="67" spans="1:4" x14ac:dyDescent="0.3">
      <c r="A67">
        <v>66</v>
      </c>
      <c r="B67">
        <v>3</v>
      </c>
      <c r="C67">
        <v>5</v>
      </c>
      <c r="D67">
        <v>5</v>
      </c>
    </row>
    <row r="68" spans="1:4" x14ac:dyDescent="0.3">
      <c r="A68">
        <v>67</v>
      </c>
      <c r="B68">
        <v>4</v>
      </c>
      <c r="C68">
        <v>4</v>
      </c>
      <c r="D68">
        <v>5</v>
      </c>
    </row>
    <row r="69" spans="1:4" x14ac:dyDescent="0.3">
      <c r="A69">
        <v>68</v>
      </c>
      <c r="B69">
        <v>4</v>
      </c>
      <c r="C69">
        <v>5</v>
      </c>
      <c r="D69">
        <v>5</v>
      </c>
    </row>
    <row r="70" spans="1:4" x14ac:dyDescent="0.3">
      <c r="A70">
        <v>69</v>
      </c>
      <c r="B70">
        <v>4</v>
      </c>
      <c r="C70">
        <v>5</v>
      </c>
      <c r="D70">
        <v>5</v>
      </c>
    </row>
    <row r="71" spans="1:4" x14ac:dyDescent="0.3">
      <c r="A71">
        <v>70</v>
      </c>
      <c r="B71">
        <v>5</v>
      </c>
      <c r="C71">
        <v>5</v>
      </c>
      <c r="D71">
        <v>5</v>
      </c>
    </row>
    <row r="72" spans="1:4" x14ac:dyDescent="0.3">
      <c r="A72">
        <v>71</v>
      </c>
      <c r="B72">
        <v>5</v>
      </c>
      <c r="C72">
        <v>5</v>
      </c>
      <c r="D72">
        <v>5</v>
      </c>
    </row>
    <row r="73" spans="1:4" x14ac:dyDescent="0.3">
      <c r="A73">
        <v>72</v>
      </c>
      <c r="B73">
        <v>4</v>
      </c>
      <c r="C73">
        <v>5</v>
      </c>
      <c r="D73">
        <v>5</v>
      </c>
    </row>
    <row r="74" spans="1:4" x14ac:dyDescent="0.3">
      <c r="A74">
        <v>73</v>
      </c>
      <c r="B74">
        <v>4</v>
      </c>
      <c r="C74">
        <v>5</v>
      </c>
      <c r="D74">
        <v>5</v>
      </c>
    </row>
    <row r="75" spans="1:4" x14ac:dyDescent="0.3">
      <c r="A75">
        <v>74</v>
      </c>
      <c r="B75">
        <v>4</v>
      </c>
      <c r="C75">
        <v>5</v>
      </c>
      <c r="D75">
        <v>5</v>
      </c>
    </row>
    <row r="76" spans="1:4" x14ac:dyDescent="0.3">
      <c r="A76">
        <v>75</v>
      </c>
      <c r="B76">
        <v>4</v>
      </c>
      <c r="C76">
        <v>5</v>
      </c>
      <c r="D76">
        <v>5</v>
      </c>
    </row>
    <row r="77" spans="1:4" x14ac:dyDescent="0.3">
      <c r="A77">
        <v>76</v>
      </c>
      <c r="B77">
        <v>3</v>
      </c>
      <c r="C77">
        <v>5</v>
      </c>
      <c r="D77">
        <v>5</v>
      </c>
    </row>
    <row r="78" spans="1:4" x14ac:dyDescent="0.3">
      <c r="A78">
        <v>77</v>
      </c>
      <c r="B78">
        <v>4</v>
      </c>
      <c r="C78">
        <v>5</v>
      </c>
      <c r="D78">
        <v>5</v>
      </c>
    </row>
    <row r="79" spans="1:4" x14ac:dyDescent="0.3">
      <c r="A79">
        <v>78</v>
      </c>
      <c r="B79">
        <v>5</v>
      </c>
      <c r="C79">
        <v>5</v>
      </c>
      <c r="D79">
        <v>5</v>
      </c>
    </row>
    <row r="80" spans="1:4" x14ac:dyDescent="0.3">
      <c r="A80">
        <v>79</v>
      </c>
      <c r="B80">
        <v>4</v>
      </c>
      <c r="C80">
        <v>5</v>
      </c>
      <c r="D80">
        <v>5</v>
      </c>
    </row>
    <row r="81" spans="1:4" x14ac:dyDescent="0.3">
      <c r="A81">
        <v>80</v>
      </c>
      <c r="B81">
        <v>4</v>
      </c>
      <c r="C81">
        <v>5</v>
      </c>
      <c r="D81">
        <v>5</v>
      </c>
    </row>
    <row r="82" spans="1:4" x14ac:dyDescent="0.3">
      <c r="A82">
        <v>81</v>
      </c>
      <c r="B82">
        <v>4</v>
      </c>
      <c r="C82">
        <v>5</v>
      </c>
      <c r="D82">
        <v>5</v>
      </c>
    </row>
    <row r="83" spans="1:4" x14ac:dyDescent="0.3">
      <c r="A83">
        <v>82</v>
      </c>
      <c r="B83">
        <v>5</v>
      </c>
      <c r="C83">
        <v>5</v>
      </c>
      <c r="D83">
        <v>5</v>
      </c>
    </row>
    <row r="84" spans="1:4" x14ac:dyDescent="0.3">
      <c r="A84">
        <v>83</v>
      </c>
      <c r="B84">
        <v>5</v>
      </c>
      <c r="C84">
        <v>5</v>
      </c>
      <c r="D84">
        <v>5</v>
      </c>
    </row>
    <row r="85" spans="1:4" x14ac:dyDescent="0.3">
      <c r="A85">
        <v>84</v>
      </c>
      <c r="B85">
        <v>4</v>
      </c>
      <c r="C85">
        <v>5</v>
      </c>
      <c r="D85">
        <v>5</v>
      </c>
    </row>
    <row r="86" spans="1:4" x14ac:dyDescent="0.3">
      <c r="A86">
        <v>85</v>
      </c>
      <c r="B86">
        <v>3</v>
      </c>
      <c r="C86">
        <v>5</v>
      </c>
      <c r="D86">
        <v>5</v>
      </c>
    </row>
    <row r="87" spans="1:4" x14ac:dyDescent="0.3">
      <c r="A87">
        <v>86</v>
      </c>
      <c r="B87">
        <v>4</v>
      </c>
      <c r="C87">
        <v>5</v>
      </c>
      <c r="D87">
        <v>5</v>
      </c>
    </row>
    <row r="88" spans="1:4" x14ac:dyDescent="0.3">
      <c r="A88">
        <v>87</v>
      </c>
      <c r="B88">
        <v>5</v>
      </c>
      <c r="C88">
        <v>5</v>
      </c>
      <c r="D88">
        <v>5</v>
      </c>
    </row>
    <row r="89" spans="1:4" x14ac:dyDescent="0.3">
      <c r="A89">
        <v>88</v>
      </c>
      <c r="B89">
        <v>5</v>
      </c>
      <c r="C89">
        <v>5</v>
      </c>
      <c r="D89">
        <v>5</v>
      </c>
    </row>
    <row r="90" spans="1:4" x14ac:dyDescent="0.3">
      <c r="A90">
        <v>89</v>
      </c>
      <c r="B90">
        <v>4</v>
      </c>
      <c r="C90">
        <v>5</v>
      </c>
      <c r="D90">
        <v>5</v>
      </c>
    </row>
    <row r="91" spans="1:4" x14ac:dyDescent="0.3">
      <c r="A91">
        <v>90</v>
      </c>
      <c r="B91">
        <v>4</v>
      </c>
      <c r="C91">
        <v>5</v>
      </c>
      <c r="D91">
        <v>5</v>
      </c>
    </row>
    <row r="92" spans="1:4" x14ac:dyDescent="0.3">
      <c r="A92">
        <v>91</v>
      </c>
      <c r="B92">
        <v>4</v>
      </c>
      <c r="C92">
        <v>5</v>
      </c>
      <c r="D92">
        <v>5</v>
      </c>
    </row>
    <row r="93" spans="1:4" x14ac:dyDescent="0.3">
      <c r="A93">
        <v>92</v>
      </c>
      <c r="B93">
        <v>4</v>
      </c>
      <c r="C93">
        <v>5</v>
      </c>
      <c r="D93">
        <v>5</v>
      </c>
    </row>
    <row r="94" spans="1:4" x14ac:dyDescent="0.3">
      <c r="A94">
        <v>93</v>
      </c>
      <c r="B94">
        <v>3</v>
      </c>
      <c r="C94">
        <v>5</v>
      </c>
      <c r="D94">
        <v>5</v>
      </c>
    </row>
    <row r="95" spans="1:4" x14ac:dyDescent="0.3">
      <c r="A95">
        <v>94</v>
      </c>
      <c r="B95">
        <v>4</v>
      </c>
      <c r="C95">
        <v>4</v>
      </c>
      <c r="D95">
        <v>5</v>
      </c>
    </row>
    <row r="96" spans="1:4" x14ac:dyDescent="0.3">
      <c r="A96">
        <v>95</v>
      </c>
      <c r="B96">
        <v>4</v>
      </c>
      <c r="C96">
        <v>5</v>
      </c>
      <c r="D96">
        <v>5</v>
      </c>
    </row>
    <row r="97" spans="1:6" x14ac:dyDescent="0.3">
      <c r="A97">
        <v>96</v>
      </c>
      <c r="B97">
        <v>4</v>
      </c>
      <c r="C97">
        <v>4</v>
      </c>
      <c r="D97">
        <v>4</v>
      </c>
    </row>
    <row r="98" spans="1:6" x14ac:dyDescent="0.3">
      <c r="A98">
        <v>97</v>
      </c>
      <c r="B98">
        <v>4</v>
      </c>
      <c r="C98">
        <v>5</v>
      </c>
      <c r="D98">
        <v>5</v>
      </c>
    </row>
    <row r="99" spans="1:6" x14ac:dyDescent="0.3">
      <c r="A99">
        <v>98</v>
      </c>
      <c r="B99">
        <v>4</v>
      </c>
      <c r="C99">
        <v>4</v>
      </c>
      <c r="D99">
        <v>5</v>
      </c>
    </row>
    <row r="100" spans="1:6" x14ac:dyDescent="0.3">
      <c r="A100">
        <v>99</v>
      </c>
      <c r="B100">
        <v>4</v>
      </c>
      <c r="C100">
        <v>5</v>
      </c>
      <c r="D100">
        <v>5</v>
      </c>
    </row>
    <row r="101" spans="1:6" x14ac:dyDescent="0.3">
      <c r="A101">
        <v>100</v>
      </c>
      <c r="B101">
        <v>5</v>
      </c>
      <c r="C101">
        <v>5</v>
      </c>
      <c r="D101">
        <v>5</v>
      </c>
    </row>
    <row r="102" spans="1:6" x14ac:dyDescent="0.3">
      <c r="A102" t="s">
        <v>268</v>
      </c>
      <c r="B102">
        <f>AVERAGE(B2:B101)</f>
        <v>4.1900000000000004</v>
      </c>
      <c r="C102">
        <f>AVERAGE(C2:C101)</f>
        <v>4.9400000000000004</v>
      </c>
      <c r="D102">
        <f>AVERAGE(D2:D101)</f>
        <v>4.92</v>
      </c>
      <c r="F102" t="s">
        <v>278</v>
      </c>
    </row>
    <row r="103" spans="1:6" x14ac:dyDescent="0.3">
      <c r="A103" t="s">
        <v>269</v>
      </c>
      <c r="B103">
        <f>_xlfn.STDEV.P(B2:B101)</f>
        <v>0.59489494870943394</v>
      </c>
      <c r="C103">
        <f>_xlfn.STDEV.P(C2:C101)</f>
        <v>0.23748684174075843</v>
      </c>
      <c r="D103">
        <f>_xlfn.STDEV.P(D2:D101)</f>
        <v>0.43999999999999923</v>
      </c>
    </row>
    <row r="104" spans="1:6" x14ac:dyDescent="0.3">
      <c r="D104">
        <f>_xlfn.STDEV.S(D3:D102)</f>
        <v>0.44214280795492134</v>
      </c>
    </row>
    <row r="106" spans="1:6" x14ac:dyDescent="0.3">
      <c r="A106" t="s">
        <v>277</v>
      </c>
      <c r="B106">
        <f>MEDIAN(B2:B101)</f>
        <v>4</v>
      </c>
      <c r="C106">
        <f t="shared" ref="C106:D106" si="0">MEDIAN(C2:C101)</f>
        <v>5</v>
      </c>
      <c r="D106">
        <f t="shared" si="0"/>
        <v>5</v>
      </c>
    </row>
    <row r="107" spans="1:6" x14ac:dyDescent="0.3">
      <c r="A107" t="s">
        <v>279</v>
      </c>
      <c r="B107">
        <f t="shared" ref="B107" si="1">_xlfn.PERCENTILE.EXC(B2:B101, 0.25)</f>
        <v>4</v>
      </c>
      <c r="C107">
        <f>_xlfn.PERCENTILE.EXC(C2:C101, 0.25)</f>
        <v>5</v>
      </c>
      <c r="D107">
        <f>_xlfn.PERCENTILE.EXC(D2:D101, 0.25)</f>
        <v>5</v>
      </c>
    </row>
    <row r="108" spans="1:6" x14ac:dyDescent="0.3">
      <c r="A108" t="s">
        <v>280</v>
      </c>
      <c r="B108">
        <f>_xlfn.PERCENTILE.EXC(B3:B102, 0.75)</f>
        <v>5</v>
      </c>
      <c r="C108">
        <f t="shared" ref="C108:D108" si="2">_xlfn.PERCENTILE.EXC(C3:C102, 0.75)</f>
        <v>5</v>
      </c>
      <c r="D108">
        <f t="shared" si="2"/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21-9DF5-4E29-8956-B6577536C5C0}">
  <sheetPr>
    <tabColor theme="8" tint="0.59999389629810485"/>
  </sheetPr>
  <dimension ref="A1:V68"/>
  <sheetViews>
    <sheetView zoomScale="85" zoomScaleNormal="70" workbookViewId="0">
      <selection activeCell="T61" sqref="T61"/>
    </sheetView>
  </sheetViews>
  <sheetFormatPr defaultRowHeight="14.4" x14ac:dyDescent="0.3"/>
  <cols>
    <col min="1" max="1" width="56.88671875" bestFit="1" customWidth="1"/>
    <col min="2" max="2" width="13.88671875" bestFit="1" customWidth="1"/>
    <col min="3" max="3" width="12.6640625" customWidth="1"/>
    <col min="4" max="5" width="19.21875" bestFit="1" customWidth="1"/>
    <col min="6" max="6" width="19.21875" customWidth="1"/>
    <col min="13" max="13" width="17.44140625" bestFit="1" customWidth="1"/>
    <col min="14" max="14" width="14.21875" bestFit="1" customWidth="1"/>
    <col min="15" max="15" width="12.44140625" style="6" bestFit="1" customWidth="1"/>
  </cols>
  <sheetData>
    <row r="1" spans="1:22" x14ac:dyDescent="0.3">
      <c r="A1" s="1" t="s">
        <v>153</v>
      </c>
      <c r="B1" s="1" t="s">
        <v>106</v>
      </c>
      <c r="C1" s="1"/>
      <c r="N1" s="1" t="s">
        <v>156</v>
      </c>
      <c r="O1" s="5"/>
    </row>
    <row r="2" spans="1:22" x14ac:dyDescent="0.3">
      <c r="A2" s="1" t="s">
        <v>178</v>
      </c>
      <c r="B2" t="s">
        <v>181</v>
      </c>
      <c r="C2" t="s">
        <v>182</v>
      </c>
      <c r="D2" t="s">
        <v>154</v>
      </c>
      <c r="E2" t="s">
        <v>155</v>
      </c>
      <c r="G2" t="s">
        <v>157</v>
      </c>
      <c r="I2" t="s">
        <v>158</v>
      </c>
      <c r="J2" t="s">
        <v>160</v>
      </c>
      <c r="L2" t="s">
        <v>159</v>
      </c>
      <c r="M2" t="s">
        <v>162</v>
      </c>
      <c r="N2" t="s">
        <v>181</v>
      </c>
      <c r="O2" s="6" t="s">
        <v>182</v>
      </c>
      <c r="P2" t="s">
        <v>154</v>
      </c>
      <c r="Q2" t="s">
        <v>155</v>
      </c>
      <c r="R2" t="s">
        <v>157</v>
      </c>
      <c r="S2" t="s">
        <v>158</v>
      </c>
      <c r="T2" t="s">
        <v>160</v>
      </c>
      <c r="U2" t="s">
        <v>159</v>
      </c>
      <c r="V2" t="s">
        <v>162</v>
      </c>
    </row>
    <row r="3" spans="1:22" x14ac:dyDescent="0.3">
      <c r="A3" t="s">
        <v>161</v>
      </c>
      <c r="B3">
        <v>1</v>
      </c>
      <c r="C3">
        <v>1</v>
      </c>
      <c r="D3">
        <v>1.48</v>
      </c>
      <c r="E3">
        <v>57.18</v>
      </c>
      <c r="G3">
        <v>8.01</v>
      </c>
      <c r="I3">
        <v>6.46</v>
      </c>
      <c r="J3">
        <f>L3-D3-E3-G3-I3</f>
        <v>11.199999999999996</v>
      </c>
      <c r="L3">
        <v>84.33</v>
      </c>
      <c r="N3">
        <v>1</v>
      </c>
      <c r="O3" s="6">
        <v>1</v>
      </c>
      <c r="P3">
        <v>66.959999999999994</v>
      </c>
      <c r="Q3">
        <v>36.270000000000003</v>
      </c>
      <c r="R3">
        <v>8</v>
      </c>
      <c r="S3">
        <v>6.96</v>
      </c>
      <c r="T3">
        <f t="shared" ref="T3" si="0">-P3-Q3-R3-S3+U3</f>
        <v>10.570000000000007</v>
      </c>
      <c r="U3">
        <v>128.76</v>
      </c>
    </row>
    <row r="4" spans="1:22" x14ac:dyDescent="0.3">
      <c r="A4" t="s">
        <v>117</v>
      </c>
      <c r="B4">
        <v>0</v>
      </c>
      <c r="C4">
        <v>0</v>
      </c>
      <c r="J4">
        <f t="shared" ref="J4:J56" si="1">L4-D4-E4-G4-I4</f>
        <v>0</v>
      </c>
      <c r="M4" t="s">
        <v>165</v>
      </c>
      <c r="N4">
        <v>1</v>
      </c>
      <c r="O4" s="6">
        <v>1</v>
      </c>
      <c r="P4">
        <v>44</v>
      </c>
      <c r="Q4">
        <v>44.78</v>
      </c>
      <c r="R4">
        <v>8</v>
      </c>
      <c r="S4">
        <v>6.47</v>
      </c>
      <c r="T4">
        <f t="shared" ref="T4:T56" si="2">-P4-Q4-R4-S4+U4</f>
        <v>6.4899999999999949</v>
      </c>
      <c r="U4">
        <v>109.74</v>
      </c>
    </row>
    <row r="5" spans="1:22" x14ac:dyDescent="0.3">
      <c r="A5" t="s">
        <v>118</v>
      </c>
      <c r="B5">
        <v>1</v>
      </c>
      <c r="C5">
        <v>1</v>
      </c>
      <c r="D5">
        <v>3.78</v>
      </c>
      <c r="E5">
        <v>53.23</v>
      </c>
      <c r="G5">
        <v>8.01</v>
      </c>
      <c r="I5">
        <v>9.36</v>
      </c>
      <c r="J5">
        <f t="shared" si="1"/>
        <v>10.960000000000008</v>
      </c>
      <c r="L5">
        <v>85.34</v>
      </c>
      <c r="N5">
        <v>1</v>
      </c>
      <c r="O5" s="6">
        <v>1</v>
      </c>
      <c r="P5">
        <v>44.45</v>
      </c>
      <c r="Q5">
        <v>32.1</v>
      </c>
      <c r="R5">
        <v>8</v>
      </c>
      <c r="S5">
        <v>6.39</v>
      </c>
      <c r="T5">
        <f t="shared" si="2"/>
        <v>6.3799999999999812</v>
      </c>
      <c r="U5">
        <v>97.32</v>
      </c>
    </row>
    <row r="6" spans="1:22" x14ac:dyDescent="0.3">
      <c r="A6" t="s">
        <v>115</v>
      </c>
      <c r="B6">
        <v>1</v>
      </c>
      <c r="C6">
        <v>1</v>
      </c>
      <c r="D6">
        <v>2.17</v>
      </c>
      <c r="E6">
        <v>30.02</v>
      </c>
      <c r="G6">
        <v>8.01</v>
      </c>
      <c r="I6">
        <v>8.67</v>
      </c>
      <c r="J6">
        <f t="shared" si="1"/>
        <v>8.4899999999999967</v>
      </c>
      <c r="L6">
        <v>57.36</v>
      </c>
      <c r="N6">
        <v>1</v>
      </c>
      <c r="O6" s="6">
        <v>1</v>
      </c>
      <c r="P6">
        <v>39.979999999999997</v>
      </c>
      <c r="Q6">
        <v>37.68</v>
      </c>
      <c r="R6">
        <v>8</v>
      </c>
      <c r="S6">
        <v>5.42</v>
      </c>
      <c r="T6">
        <f t="shared" si="2"/>
        <v>6.269999999999996</v>
      </c>
      <c r="U6">
        <v>97.35</v>
      </c>
    </row>
    <row r="7" spans="1:22" x14ac:dyDescent="0.3">
      <c r="A7" t="s">
        <v>124</v>
      </c>
      <c r="B7">
        <v>1</v>
      </c>
      <c r="C7">
        <v>1</v>
      </c>
      <c r="D7">
        <v>1.01</v>
      </c>
      <c r="E7">
        <v>48.17</v>
      </c>
      <c r="G7">
        <v>8</v>
      </c>
      <c r="I7">
        <v>6.76</v>
      </c>
      <c r="J7">
        <f t="shared" si="1"/>
        <v>8.0899999999999945</v>
      </c>
      <c r="L7">
        <v>72.03</v>
      </c>
      <c r="N7">
        <v>1</v>
      </c>
      <c r="O7" s="6">
        <v>1</v>
      </c>
      <c r="P7">
        <v>40.81</v>
      </c>
      <c r="Q7">
        <v>43.5</v>
      </c>
      <c r="R7">
        <v>8</v>
      </c>
      <c r="S7">
        <v>6.59</v>
      </c>
      <c r="T7">
        <f t="shared" si="2"/>
        <v>6.3599999999999994</v>
      </c>
      <c r="U7">
        <v>105.26</v>
      </c>
    </row>
    <row r="8" spans="1:22" x14ac:dyDescent="0.3">
      <c r="A8" t="s">
        <v>128</v>
      </c>
      <c r="B8">
        <v>1</v>
      </c>
      <c r="C8">
        <v>1</v>
      </c>
      <c r="D8">
        <v>2.19</v>
      </c>
      <c r="E8">
        <v>52.17</v>
      </c>
      <c r="G8">
        <v>8</v>
      </c>
      <c r="I8">
        <v>9.31</v>
      </c>
      <c r="J8">
        <f t="shared" si="1"/>
        <v>8.2099999999999955</v>
      </c>
      <c r="L8">
        <v>79.88</v>
      </c>
      <c r="N8">
        <v>1</v>
      </c>
      <c r="O8" s="6">
        <v>1</v>
      </c>
      <c r="P8">
        <v>40.82</v>
      </c>
      <c r="Q8">
        <v>45.11</v>
      </c>
      <c r="R8">
        <v>8</v>
      </c>
      <c r="S8">
        <v>9.48</v>
      </c>
      <c r="T8">
        <f t="shared" si="2"/>
        <v>6.0999999999999943</v>
      </c>
      <c r="U8">
        <v>109.51</v>
      </c>
    </row>
    <row r="9" spans="1:22" x14ac:dyDescent="0.3">
      <c r="A9" t="s">
        <v>119</v>
      </c>
      <c r="B9">
        <v>1</v>
      </c>
      <c r="C9">
        <v>1</v>
      </c>
      <c r="D9">
        <v>2.44</v>
      </c>
      <c r="E9">
        <v>41.46</v>
      </c>
      <c r="G9">
        <v>8</v>
      </c>
      <c r="I9">
        <v>15.02</v>
      </c>
      <c r="J9">
        <f t="shared" ref="J9" si="3">L9-D9-E9-G9-I9</f>
        <v>7.0999999999999979</v>
      </c>
      <c r="L9">
        <v>74.02</v>
      </c>
      <c r="N9">
        <v>1</v>
      </c>
      <c r="O9" s="6">
        <v>1</v>
      </c>
      <c r="P9">
        <v>48.27</v>
      </c>
      <c r="Q9">
        <v>25.89</v>
      </c>
      <c r="R9">
        <v>8</v>
      </c>
      <c r="S9">
        <v>12.94</v>
      </c>
      <c r="T9">
        <f t="shared" si="2"/>
        <v>8.8700000000000045</v>
      </c>
      <c r="U9">
        <v>103.97</v>
      </c>
    </row>
    <row r="10" spans="1:22" x14ac:dyDescent="0.3">
      <c r="A10" t="s">
        <v>121</v>
      </c>
      <c r="B10">
        <v>1</v>
      </c>
      <c r="C10">
        <v>1</v>
      </c>
      <c r="D10">
        <v>1.36</v>
      </c>
      <c r="E10">
        <v>25.11</v>
      </c>
      <c r="G10">
        <v>8</v>
      </c>
      <c r="I10">
        <v>10.36</v>
      </c>
      <c r="J10">
        <f t="shared" si="1"/>
        <v>7.7600000000000051</v>
      </c>
      <c r="L10">
        <v>52.59</v>
      </c>
      <c r="N10">
        <v>1</v>
      </c>
      <c r="O10" s="6">
        <v>1</v>
      </c>
      <c r="P10">
        <v>62.73</v>
      </c>
      <c r="Q10">
        <v>17.46</v>
      </c>
      <c r="R10">
        <v>8</v>
      </c>
      <c r="S10">
        <v>6.75</v>
      </c>
      <c r="T10">
        <f t="shared" si="2"/>
        <v>7.1800000000000068</v>
      </c>
      <c r="U10">
        <v>102.12</v>
      </c>
    </row>
    <row r="11" spans="1:22" x14ac:dyDescent="0.3">
      <c r="A11" t="s">
        <v>125</v>
      </c>
      <c r="B11">
        <v>0</v>
      </c>
      <c r="C11">
        <v>0</v>
      </c>
      <c r="M11" t="s">
        <v>188</v>
      </c>
      <c r="N11">
        <v>0</v>
      </c>
      <c r="O11" s="6">
        <v>0</v>
      </c>
      <c r="V11" t="s">
        <v>164</v>
      </c>
    </row>
    <row r="12" spans="1:22" x14ac:dyDescent="0.3">
      <c r="A12" t="s">
        <v>191</v>
      </c>
      <c r="B12">
        <v>1</v>
      </c>
      <c r="C12">
        <v>1</v>
      </c>
      <c r="D12">
        <v>1.55</v>
      </c>
      <c r="E12">
        <v>37.21</v>
      </c>
      <c r="G12">
        <v>8</v>
      </c>
      <c r="I12">
        <v>6.63</v>
      </c>
      <c r="J12">
        <f t="shared" si="1"/>
        <v>7.9500000000000055</v>
      </c>
      <c r="L12">
        <v>61.34</v>
      </c>
      <c r="N12">
        <v>1</v>
      </c>
      <c r="O12" s="6">
        <v>1</v>
      </c>
      <c r="P12">
        <v>41.33</v>
      </c>
      <c r="Q12">
        <v>37.94</v>
      </c>
      <c r="R12">
        <v>8</v>
      </c>
      <c r="S12">
        <v>15.04</v>
      </c>
      <c r="T12">
        <f t="shared" si="2"/>
        <v>6.3700000000000045</v>
      </c>
      <c r="U12">
        <v>108.68</v>
      </c>
    </row>
    <row r="13" spans="1:22" x14ac:dyDescent="0.3">
      <c r="B13">
        <f>AVERAGE(B3:B12)</f>
        <v>0.8</v>
      </c>
      <c r="C13">
        <f xml:space="preserve"> AVERAGE(C3:C12)</f>
        <v>0.8</v>
      </c>
      <c r="D13">
        <f>AVERAGE(D3:D12)</f>
        <v>1.9974999999999998</v>
      </c>
      <c r="E13">
        <f t="shared" ref="E13:L13" si="4">AVERAGE(E3:E12)</f>
        <v>43.068750000000001</v>
      </c>
      <c r="G13">
        <f t="shared" si="4"/>
        <v>8.0037500000000001</v>
      </c>
      <c r="I13">
        <f t="shared" si="4"/>
        <v>9.0712499999999991</v>
      </c>
      <c r="J13">
        <f t="shared" si="4"/>
        <v>7.7511111111111104</v>
      </c>
      <c r="L13">
        <f t="shared" si="4"/>
        <v>70.861250000000013</v>
      </c>
      <c r="N13">
        <f>AVERAGE(N3:N12)</f>
        <v>0.9</v>
      </c>
      <c r="O13">
        <f>AVERAGE(O3:O12)</f>
        <v>0.9</v>
      </c>
      <c r="P13">
        <f t="shared" ref="P13:U13" si="5">AVERAGE(P3:P12)</f>
        <v>47.705555555555549</v>
      </c>
      <c r="Q13">
        <f t="shared" si="5"/>
        <v>35.636666666666663</v>
      </c>
      <c r="R13">
        <f t="shared" si="5"/>
        <v>8</v>
      </c>
      <c r="S13">
        <f t="shared" si="5"/>
        <v>8.448888888888888</v>
      </c>
      <c r="T13">
        <f t="shared" si="5"/>
        <v>7.1766666666666659</v>
      </c>
      <c r="U13">
        <f t="shared" si="5"/>
        <v>106.96777777777778</v>
      </c>
    </row>
    <row r="14" spans="1:22" x14ac:dyDescent="0.3">
      <c r="D14">
        <f>_xlfn.STDEV.P(D3:D12)</f>
        <v>0.81313821088422644</v>
      </c>
      <c r="E14">
        <f t="shared" ref="E14:L14" si="6">_xlfn.STDEV.P(E3:E12)</f>
        <v>10.845122679688764</v>
      </c>
      <c r="F14" t="e">
        <f t="shared" si="6"/>
        <v>#DIV/0!</v>
      </c>
      <c r="G14">
        <f t="shared" si="6"/>
        <v>4.841229182759167E-3</v>
      </c>
      <c r="H14" t="e">
        <f t="shared" si="6"/>
        <v>#DIV/0!</v>
      </c>
      <c r="I14">
        <f t="shared" si="6"/>
        <v>2.6332035503356006</v>
      </c>
      <c r="J14">
        <f t="shared" si="6"/>
        <v>3.047886132476608</v>
      </c>
      <c r="K14" t="e">
        <f t="shared" si="6"/>
        <v>#DIV/0!</v>
      </c>
      <c r="L14">
        <f t="shared" si="6"/>
        <v>11.675291685328373</v>
      </c>
      <c r="P14">
        <f>_xlfn.STDEV.P(P3:P12)</f>
        <v>9.5242813798453696</v>
      </c>
      <c r="Q14">
        <f t="shared" ref="Q14:U14" si="7">_xlfn.STDEV.P(Q3:Q12)</f>
        <v>8.7111359126631278</v>
      </c>
      <c r="R14">
        <f t="shared" si="7"/>
        <v>0</v>
      </c>
      <c r="S14">
        <f t="shared" si="7"/>
        <v>3.1721652067263837</v>
      </c>
      <c r="T14">
        <f t="shared" si="7"/>
        <v>1.444806792158271</v>
      </c>
      <c r="U14">
        <f t="shared" si="7"/>
        <v>8.900475365304656</v>
      </c>
    </row>
    <row r="15" spans="1:22" x14ac:dyDescent="0.3">
      <c r="B15">
        <f>8/9</f>
        <v>0.88888888888888884</v>
      </c>
      <c r="L15">
        <f>D13+E13+G13+I13+J13</f>
        <v>69.892361111111114</v>
      </c>
      <c r="U15">
        <f>SUM(P13:T13)</f>
        <v>106.96777777777775</v>
      </c>
    </row>
    <row r="16" spans="1:22" x14ac:dyDescent="0.3">
      <c r="A16" s="1" t="s">
        <v>163</v>
      </c>
    </row>
    <row r="17" spans="1:21" x14ac:dyDescent="0.3">
      <c r="A17" t="s">
        <v>161</v>
      </c>
      <c r="B17">
        <v>0</v>
      </c>
      <c r="C17" s="6">
        <v>0.5</v>
      </c>
      <c r="D17">
        <v>1.64</v>
      </c>
      <c r="G17">
        <v>16</v>
      </c>
      <c r="H17">
        <f>I17/G17*16</f>
        <v>9.2200000000000006</v>
      </c>
      <c r="I17">
        <v>9.2200000000000006</v>
      </c>
      <c r="J17">
        <f t="shared" si="1"/>
        <v>82.7</v>
      </c>
      <c r="L17">
        <v>109.56</v>
      </c>
      <c r="N17">
        <v>1</v>
      </c>
      <c r="O17" s="6">
        <v>1</v>
      </c>
      <c r="P17">
        <v>44.61</v>
      </c>
      <c r="Q17">
        <v>62.06</v>
      </c>
      <c r="R17">
        <v>16</v>
      </c>
      <c r="S17">
        <v>11.36</v>
      </c>
      <c r="T17">
        <f t="shared" si="2"/>
        <v>6.039999999999992</v>
      </c>
      <c r="U17">
        <v>140.07</v>
      </c>
    </row>
    <row r="18" spans="1:21" x14ac:dyDescent="0.3">
      <c r="A18" t="s">
        <v>117</v>
      </c>
      <c r="B18">
        <v>1</v>
      </c>
      <c r="C18" s="6">
        <v>1</v>
      </c>
      <c r="D18">
        <v>1.5</v>
      </c>
      <c r="E18">
        <v>92.82</v>
      </c>
      <c r="F18">
        <f>E18+(2-G18/8)</f>
        <v>92.82</v>
      </c>
      <c r="G18">
        <v>16</v>
      </c>
      <c r="H18">
        <f t="shared" ref="H18:H26" si="8">I18/G18*16</f>
        <v>11.03</v>
      </c>
      <c r="I18">
        <v>11.03</v>
      </c>
      <c r="J18">
        <f t="shared" si="1"/>
        <v>6.0600000000000041</v>
      </c>
      <c r="L18">
        <v>127.41</v>
      </c>
      <c r="N18">
        <v>1</v>
      </c>
      <c r="O18" s="6">
        <v>1</v>
      </c>
      <c r="P18">
        <v>49.1</v>
      </c>
      <c r="Q18">
        <v>73.069999999999993</v>
      </c>
      <c r="R18">
        <v>16</v>
      </c>
      <c r="S18">
        <v>11.76</v>
      </c>
      <c r="T18">
        <f t="shared" si="2"/>
        <v>5.6300000000000239</v>
      </c>
      <c r="U18">
        <v>155.56</v>
      </c>
    </row>
    <row r="19" spans="1:21" x14ac:dyDescent="0.3">
      <c r="A19" t="s">
        <v>118</v>
      </c>
      <c r="B19">
        <v>1</v>
      </c>
      <c r="C19" s="6">
        <v>1</v>
      </c>
      <c r="D19">
        <v>3.65</v>
      </c>
      <c r="E19">
        <v>84.21</v>
      </c>
      <c r="F19">
        <f t="shared" ref="F19:F26" si="9">E19+(2-G19/8)</f>
        <v>84.21</v>
      </c>
      <c r="G19">
        <v>16</v>
      </c>
      <c r="H19">
        <f t="shared" si="8"/>
        <v>10.78</v>
      </c>
      <c r="I19">
        <v>10.78</v>
      </c>
      <c r="J19">
        <f t="shared" si="1"/>
        <v>8.94</v>
      </c>
      <c r="L19">
        <v>123.58</v>
      </c>
      <c r="N19">
        <v>1</v>
      </c>
      <c r="O19" s="6">
        <v>1</v>
      </c>
      <c r="P19">
        <v>48.65</v>
      </c>
      <c r="Q19">
        <v>57.73</v>
      </c>
      <c r="R19">
        <v>16</v>
      </c>
      <c r="S19">
        <v>11.11</v>
      </c>
      <c r="T19">
        <f t="shared" si="2"/>
        <v>6.6399999999999864</v>
      </c>
      <c r="U19">
        <v>140.13</v>
      </c>
    </row>
    <row r="20" spans="1:21" x14ac:dyDescent="0.3">
      <c r="A20" t="s">
        <v>115</v>
      </c>
      <c r="B20">
        <v>1</v>
      </c>
      <c r="C20" s="6">
        <v>1</v>
      </c>
      <c r="D20">
        <v>3.59</v>
      </c>
      <c r="E20">
        <v>98.26</v>
      </c>
      <c r="F20">
        <f t="shared" si="9"/>
        <v>98.26</v>
      </c>
      <c r="G20">
        <v>16</v>
      </c>
      <c r="H20">
        <f t="shared" si="8"/>
        <v>11</v>
      </c>
      <c r="I20">
        <v>11</v>
      </c>
      <c r="J20">
        <f t="shared" si="1"/>
        <v>6.5399999999999778</v>
      </c>
      <c r="L20">
        <v>135.38999999999999</v>
      </c>
      <c r="N20">
        <v>1</v>
      </c>
      <c r="O20" s="6">
        <v>1</v>
      </c>
      <c r="P20">
        <v>50.77</v>
      </c>
      <c r="Q20">
        <v>93.42</v>
      </c>
      <c r="R20">
        <v>16</v>
      </c>
      <c r="S20">
        <v>9.42</v>
      </c>
      <c r="T20">
        <f t="shared" si="2"/>
        <v>8.1900000000000261</v>
      </c>
      <c r="U20">
        <v>177.8</v>
      </c>
    </row>
    <row r="21" spans="1:21" x14ac:dyDescent="0.3">
      <c r="A21" t="s">
        <v>124</v>
      </c>
      <c r="B21">
        <v>1</v>
      </c>
      <c r="C21" s="6">
        <v>1</v>
      </c>
      <c r="D21">
        <v>1.32</v>
      </c>
      <c r="E21">
        <v>75.87</v>
      </c>
      <c r="F21">
        <f t="shared" si="9"/>
        <v>75.87</v>
      </c>
      <c r="G21">
        <v>16</v>
      </c>
      <c r="H21">
        <f t="shared" si="8"/>
        <v>9.27</v>
      </c>
      <c r="I21">
        <v>9.27</v>
      </c>
      <c r="J21">
        <f t="shared" si="1"/>
        <v>6.0500000000000078</v>
      </c>
      <c r="L21">
        <v>108.51</v>
      </c>
      <c r="N21">
        <v>1</v>
      </c>
      <c r="O21" s="6">
        <v>1</v>
      </c>
      <c r="P21">
        <v>45.87</v>
      </c>
      <c r="Q21">
        <v>77.7</v>
      </c>
      <c r="R21">
        <v>16</v>
      </c>
      <c r="S21">
        <v>39.64</v>
      </c>
      <c r="T21">
        <f t="shared" si="2"/>
        <v>5.8300000000000125</v>
      </c>
      <c r="U21">
        <v>185.04</v>
      </c>
    </row>
    <row r="22" spans="1:21" x14ac:dyDescent="0.3">
      <c r="A22" t="s">
        <v>128</v>
      </c>
      <c r="B22">
        <v>0</v>
      </c>
      <c r="C22" s="6">
        <v>0.5</v>
      </c>
      <c r="D22">
        <v>1.08</v>
      </c>
      <c r="E22">
        <v>57.08</v>
      </c>
      <c r="F22">
        <f>E22+(2-G22/8)*E22</f>
        <v>114.16</v>
      </c>
      <c r="G22">
        <v>8</v>
      </c>
      <c r="H22">
        <f t="shared" si="8"/>
        <v>15.5</v>
      </c>
      <c r="I22">
        <v>7.75</v>
      </c>
      <c r="J22">
        <f t="shared" si="1"/>
        <v>5.7000000000000028</v>
      </c>
      <c r="L22">
        <v>79.61</v>
      </c>
      <c r="M22" t="s">
        <v>199</v>
      </c>
      <c r="N22">
        <v>1</v>
      </c>
      <c r="O22" s="6">
        <v>1</v>
      </c>
      <c r="P22">
        <v>51.85</v>
      </c>
      <c r="Q22">
        <v>78.91</v>
      </c>
      <c r="R22">
        <v>16</v>
      </c>
      <c r="S22">
        <v>10.050000000000001</v>
      </c>
      <c r="T22">
        <f t="shared" si="2"/>
        <v>6.2800000000000011</v>
      </c>
      <c r="U22">
        <v>163.09</v>
      </c>
    </row>
    <row r="23" spans="1:21" x14ac:dyDescent="0.3">
      <c r="A23" t="s">
        <v>119</v>
      </c>
      <c r="B23">
        <v>1</v>
      </c>
      <c r="C23" s="6">
        <v>1</v>
      </c>
      <c r="D23">
        <v>3.05</v>
      </c>
      <c r="E23">
        <v>69.849999999999994</v>
      </c>
      <c r="F23">
        <f t="shared" si="9"/>
        <v>69.849999999999994</v>
      </c>
      <c r="G23">
        <v>16</v>
      </c>
      <c r="H23">
        <f t="shared" si="8"/>
        <v>9.0399999999999991</v>
      </c>
      <c r="I23">
        <v>9.0399999999999991</v>
      </c>
      <c r="J23">
        <f t="shared" si="1"/>
        <v>5.6100000000000065</v>
      </c>
      <c r="L23">
        <v>103.55</v>
      </c>
      <c r="N23">
        <v>1</v>
      </c>
      <c r="O23" s="6">
        <v>1</v>
      </c>
      <c r="P23">
        <v>45.57</v>
      </c>
      <c r="Q23">
        <v>48.88</v>
      </c>
      <c r="R23">
        <v>16</v>
      </c>
      <c r="S23">
        <v>11.49</v>
      </c>
      <c r="T23">
        <f t="shared" si="2"/>
        <v>6.25</v>
      </c>
      <c r="U23">
        <v>128.19</v>
      </c>
    </row>
    <row r="24" spans="1:21" x14ac:dyDescent="0.3">
      <c r="A24" t="s">
        <v>121</v>
      </c>
      <c r="B24">
        <v>1</v>
      </c>
      <c r="C24" s="6">
        <v>1</v>
      </c>
      <c r="D24">
        <v>1.87</v>
      </c>
      <c r="E24">
        <v>62.42</v>
      </c>
      <c r="F24">
        <f t="shared" si="9"/>
        <v>62.42</v>
      </c>
      <c r="G24">
        <v>16</v>
      </c>
      <c r="H24">
        <f t="shared" si="8"/>
        <v>6.26</v>
      </c>
      <c r="I24">
        <v>6.26</v>
      </c>
      <c r="J24">
        <f t="shared" si="1"/>
        <v>8.0399999999999974</v>
      </c>
      <c r="L24">
        <v>94.59</v>
      </c>
      <c r="N24">
        <v>1</v>
      </c>
      <c r="O24" s="6">
        <v>1</v>
      </c>
      <c r="P24">
        <v>48.86</v>
      </c>
      <c r="Q24">
        <v>85.28</v>
      </c>
      <c r="R24">
        <v>16</v>
      </c>
      <c r="S24">
        <v>10.7</v>
      </c>
      <c r="T24">
        <f t="shared" si="2"/>
        <v>7.7600000000000193</v>
      </c>
      <c r="U24">
        <v>168.6</v>
      </c>
    </row>
    <row r="25" spans="1:21" x14ac:dyDescent="0.3">
      <c r="A25" t="s">
        <v>125</v>
      </c>
      <c r="B25">
        <v>0</v>
      </c>
      <c r="C25" s="6">
        <v>0</v>
      </c>
      <c r="J25">
        <f t="shared" si="1"/>
        <v>0</v>
      </c>
      <c r="M25" t="s">
        <v>198</v>
      </c>
      <c r="N25">
        <v>0</v>
      </c>
      <c r="O25" s="6">
        <v>0</v>
      </c>
      <c r="T25">
        <f t="shared" si="2"/>
        <v>0</v>
      </c>
    </row>
    <row r="26" spans="1:21" x14ac:dyDescent="0.3">
      <c r="A26" t="s">
        <v>191</v>
      </c>
      <c r="B26">
        <v>1</v>
      </c>
      <c r="C26" s="6">
        <v>1</v>
      </c>
      <c r="D26">
        <v>1.5</v>
      </c>
      <c r="E26">
        <v>84.21</v>
      </c>
      <c r="F26">
        <f t="shared" si="9"/>
        <v>84.21</v>
      </c>
      <c r="G26">
        <v>16</v>
      </c>
      <c r="H26">
        <f t="shared" si="8"/>
        <v>9.27</v>
      </c>
      <c r="I26">
        <v>9.27</v>
      </c>
      <c r="J26">
        <f t="shared" si="1"/>
        <v>8.1700000000000124</v>
      </c>
      <c r="L26">
        <v>119.15</v>
      </c>
      <c r="N26">
        <v>1</v>
      </c>
      <c r="O26" s="6">
        <v>1</v>
      </c>
      <c r="P26">
        <v>47.47</v>
      </c>
      <c r="Q26">
        <v>88.86</v>
      </c>
      <c r="R26">
        <v>16</v>
      </c>
      <c r="S26">
        <v>12.66</v>
      </c>
      <c r="T26">
        <f t="shared" si="2"/>
        <v>9.620000000000033</v>
      </c>
      <c r="U26">
        <v>174.61</v>
      </c>
    </row>
    <row r="27" spans="1:21" x14ac:dyDescent="0.3">
      <c r="B27">
        <f>AVERAGE(B17:B26)</f>
        <v>0.7</v>
      </c>
      <c r="C27">
        <f>AVERAGE(C17:C26)</f>
        <v>0.8</v>
      </c>
      <c r="D27">
        <f>AVERAGE(D17:D26)</f>
        <v>2.1333333333333333</v>
      </c>
      <c r="E27">
        <f t="shared" ref="E27:L27" si="10">AVERAGE(E17:E26)</f>
        <v>78.089999999999989</v>
      </c>
      <c r="F27">
        <f t="shared" si="10"/>
        <v>85.224999999999994</v>
      </c>
      <c r="G27">
        <f t="shared" si="10"/>
        <v>15.111111111111111</v>
      </c>
      <c r="H27">
        <f t="shared" si="10"/>
        <v>10.152222222222223</v>
      </c>
      <c r="I27">
        <f t="shared" si="10"/>
        <v>9.2911111111111122</v>
      </c>
      <c r="J27">
        <f t="shared" si="10"/>
        <v>13.781000000000001</v>
      </c>
      <c r="L27">
        <f t="shared" si="10"/>
        <v>111.26111111111112</v>
      </c>
      <c r="N27">
        <f>AVERAGE(N17:N26)</f>
        <v>0.9</v>
      </c>
      <c r="O27">
        <f>AVERAGE(O17:O26)</f>
        <v>0.9</v>
      </c>
      <c r="P27">
        <f t="shared" ref="P27:U27" si="11">AVERAGE(P17:P26)</f>
        <v>48.083333333333336</v>
      </c>
      <c r="Q27">
        <f t="shared" si="11"/>
        <v>73.989999999999995</v>
      </c>
      <c r="R27">
        <f t="shared" si="11"/>
        <v>16</v>
      </c>
      <c r="S27">
        <f t="shared" si="11"/>
        <v>14.243333333333332</v>
      </c>
      <c r="T27">
        <f t="shared" si="11"/>
        <v>6.2240000000000091</v>
      </c>
      <c r="U27">
        <f t="shared" si="11"/>
        <v>159.23222222222219</v>
      </c>
    </row>
    <row r="28" spans="1:21" x14ac:dyDescent="0.3">
      <c r="D28">
        <f>AVERAGE(D23:D26,D17:D21)</f>
        <v>2.2650000000000001</v>
      </c>
      <c r="E28">
        <f t="shared" ref="E28:L28" si="12">AVERAGE(E23:E26,E17:E21)</f>
        <v>81.091428571428551</v>
      </c>
      <c r="F28">
        <f t="shared" si="12"/>
        <v>81.091428571428551</v>
      </c>
      <c r="G28">
        <f t="shared" si="12"/>
        <v>16</v>
      </c>
      <c r="H28">
        <f t="shared" si="12"/>
        <v>9.4837499999999988</v>
      </c>
      <c r="I28">
        <f t="shared" si="12"/>
        <v>9.4837499999999988</v>
      </c>
      <c r="J28">
        <f>AVERAGE(J23:J26,J18:J21)</f>
        <v>6.1762499999999996</v>
      </c>
      <c r="L28">
        <f t="shared" si="12"/>
        <v>115.2175</v>
      </c>
      <c r="P28">
        <f>_xlfn.STDEV.P(P17:P26)</f>
        <v>2.285699503920458</v>
      </c>
      <c r="Q28">
        <f t="shared" ref="Q28:U28" si="13">_xlfn.STDEV.P(Q17:Q26)</f>
        <v>14.150568893157605</v>
      </c>
      <c r="R28">
        <f t="shared" si="13"/>
        <v>0</v>
      </c>
      <c r="S28">
        <f t="shared" si="13"/>
        <v>9.0233068587223979</v>
      </c>
      <c r="T28">
        <f t="shared" si="13"/>
        <v>2.3919498322498383</v>
      </c>
      <c r="U28">
        <f t="shared" si="13"/>
        <v>18.436401057436058</v>
      </c>
    </row>
    <row r="29" spans="1:21" x14ac:dyDescent="0.3">
      <c r="D29">
        <f>_xlfn.STDEV.P(D17:D21,D23:D26)</f>
        <v>0.92872224050035523</v>
      </c>
      <c r="E29">
        <f t="shared" ref="E29:I29" si="14">_xlfn.STDEV.P(E17:E21,E23:E26)</f>
        <v>11.674303195567669</v>
      </c>
      <c r="F29">
        <f t="shared" si="14"/>
        <v>11.674303195567669</v>
      </c>
      <c r="G29">
        <f t="shared" si="14"/>
        <v>0</v>
      </c>
      <c r="H29">
        <f t="shared" si="14"/>
        <v>1.4628989840382081</v>
      </c>
      <c r="I29">
        <f t="shared" si="14"/>
        <v>1.4628989840382081</v>
      </c>
      <c r="J29">
        <f>_xlfn.STDEV.P(J18:J21,J23:J26)</f>
        <v>2.5912204532806533</v>
      </c>
      <c r="L29">
        <f>SUM(D28:E28,G28:H28,J28)</f>
        <v>115.01642857142855</v>
      </c>
      <c r="U29">
        <f>SUM(P27:T27)</f>
        <v>158.54066666666668</v>
      </c>
    </row>
    <row r="30" spans="1:21" x14ac:dyDescent="0.3">
      <c r="B30">
        <f>7/9</f>
        <v>0.77777777777777779</v>
      </c>
    </row>
    <row r="31" spans="1:21" x14ac:dyDescent="0.3">
      <c r="A31" s="1" t="s">
        <v>179</v>
      </c>
    </row>
    <row r="32" spans="1:21" x14ac:dyDescent="0.3">
      <c r="A32" t="s">
        <v>166</v>
      </c>
      <c r="B32">
        <v>0</v>
      </c>
      <c r="C32" s="6">
        <v>0.66666666666666663</v>
      </c>
      <c r="D32">
        <v>2.33</v>
      </c>
      <c r="E32">
        <v>155.97</v>
      </c>
      <c r="F32">
        <f>E32/G32*24</f>
        <v>155.97</v>
      </c>
      <c r="G32">
        <v>24</v>
      </c>
      <c r="H32">
        <f>I32/G32*24</f>
        <v>13.560000000000002</v>
      </c>
      <c r="I32">
        <v>13.56</v>
      </c>
      <c r="J32">
        <f t="shared" si="1"/>
        <v>6.5099999999999927</v>
      </c>
      <c r="L32">
        <v>202.37</v>
      </c>
      <c r="M32" t="s">
        <v>187</v>
      </c>
      <c r="N32">
        <v>1</v>
      </c>
      <c r="O32" s="6">
        <v>1</v>
      </c>
      <c r="P32">
        <v>57.51</v>
      </c>
      <c r="Q32">
        <v>113.93</v>
      </c>
      <c r="R32">
        <v>24</v>
      </c>
      <c r="S32">
        <v>13.28</v>
      </c>
      <c r="T32">
        <f t="shared" si="2"/>
        <v>8.75</v>
      </c>
      <c r="U32">
        <v>217.47</v>
      </c>
    </row>
    <row r="33" spans="1:22" x14ac:dyDescent="0.3">
      <c r="A33" t="s">
        <v>193</v>
      </c>
      <c r="B33">
        <v>1</v>
      </c>
      <c r="C33" s="6">
        <v>1</v>
      </c>
      <c r="D33">
        <v>1.74</v>
      </c>
      <c r="E33">
        <v>51.56</v>
      </c>
      <c r="F33">
        <f t="shared" ref="F33:F41" si="15">E33/G33*24</f>
        <v>77.34</v>
      </c>
      <c r="G33">
        <v>16</v>
      </c>
      <c r="H33">
        <f t="shared" ref="H33:H41" si="16">I33/G33*24</f>
        <v>16.29</v>
      </c>
      <c r="I33">
        <v>10.86</v>
      </c>
      <c r="J33">
        <f t="shared" si="1"/>
        <v>5.8500000000000085</v>
      </c>
      <c r="L33">
        <v>86.01</v>
      </c>
      <c r="N33">
        <v>1</v>
      </c>
      <c r="O33" s="6">
        <v>1</v>
      </c>
      <c r="P33">
        <v>50.68</v>
      </c>
      <c r="Q33">
        <v>141.91</v>
      </c>
      <c r="R33">
        <v>24</v>
      </c>
      <c r="S33">
        <v>16.86</v>
      </c>
      <c r="T33">
        <f t="shared" si="2"/>
        <v>6.2900000000000205</v>
      </c>
      <c r="U33">
        <v>239.74</v>
      </c>
    </row>
    <row r="34" spans="1:22" x14ac:dyDescent="0.3">
      <c r="A34" t="s">
        <v>169</v>
      </c>
      <c r="B34">
        <v>1</v>
      </c>
      <c r="C34" s="6">
        <v>1</v>
      </c>
      <c r="D34">
        <v>1.45</v>
      </c>
      <c r="E34">
        <v>149.4</v>
      </c>
      <c r="F34">
        <f t="shared" si="15"/>
        <v>149.4</v>
      </c>
      <c r="G34">
        <v>24</v>
      </c>
      <c r="H34">
        <f t="shared" si="16"/>
        <v>12.29</v>
      </c>
      <c r="I34">
        <v>12.29</v>
      </c>
      <c r="J34">
        <f t="shared" si="1"/>
        <v>5.8500000000000156</v>
      </c>
      <c r="L34">
        <v>192.99</v>
      </c>
      <c r="N34">
        <v>1</v>
      </c>
      <c r="O34" s="6">
        <v>1</v>
      </c>
      <c r="P34">
        <v>46.32</v>
      </c>
      <c r="Q34">
        <v>97.31</v>
      </c>
      <c r="R34">
        <v>24</v>
      </c>
      <c r="S34">
        <v>12.9</v>
      </c>
      <c r="T34">
        <f t="shared" si="2"/>
        <v>5.8899999999999864</v>
      </c>
      <c r="U34">
        <v>186.42</v>
      </c>
    </row>
    <row r="35" spans="1:22" x14ac:dyDescent="0.3">
      <c r="A35" t="s">
        <v>168</v>
      </c>
      <c r="B35">
        <v>1</v>
      </c>
      <c r="C35" s="6">
        <v>1</v>
      </c>
      <c r="D35">
        <v>3.71</v>
      </c>
      <c r="E35">
        <v>136.49</v>
      </c>
      <c r="F35">
        <f t="shared" si="15"/>
        <v>136.49</v>
      </c>
      <c r="G35">
        <v>24</v>
      </c>
      <c r="H35">
        <f t="shared" si="16"/>
        <v>11.95</v>
      </c>
      <c r="I35">
        <v>11.95</v>
      </c>
      <c r="J35">
        <f t="shared" si="1"/>
        <v>7.48999999999997</v>
      </c>
      <c r="L35">
        <v>183.64</v>
      </c>
      <c r="N35">
        <v>1</v>
      </c>
      <c r="O35" s="6">
        <v>1</v>
      </c>
      <c r="P35">
        <v>40.840000000000003</v>
      </c>
      <c r="Q35">
        <v>97.81</v>
      </c>
      <c r="R35">
        <v>24</v>
      </c>
      <c r="S35">
        <v>14.69</v>
      </c>
      <c r="T35">
        <f t="shared" si="2"/>
        <v>6.5799999999999841</v>
      </c>
      <c r="U35">
        <v>183.92</v>
      </c>
    </row>
    <row r="36" spans="1:22" x14ac:dyDescent="0.3">
      <c r="A36" t="s">
        <v>167</v>
      </c>
      <c r="B36">
        <v>1</v>
      </c>
      <c r="C36" s="6">
        <v>1</v>
      </c>
      <c r="D36">
        <v>2.75</v>
      </c>
      <c r="E36">
        <v>112.83</v>
      </c>
      <c r="F36">
        <f t="shared" si="15"/>
        <v>112.83</v>
      </c>
      <c r="G36">
        <v>24</v>
      </c>
      <c r="H36">
        <f t="shared" si="16"/>
        <v>10.27</v>
      </c>
      <c r="I36">
        <v>10.27</v>
      </c>
      <c r="J36">
        <f t="shared" si="1"/>
        <v>10.629999999999992</v>
      </c>
      <c r="L36">
        <v>160.47999999999999</v>
      </c>
      <c r="N36">
        <v>1</v>
      </c>
      <c r="O36" s="6">
        <v>1</v>
      </c>
      <c r="P36">
        <v>45.78</v>
      </c>
      <c r="Q36">
        <v>124.49</v>
      </c>
      <c r="R36">
        <v>24</v>
      </c>
      <c r="S36">
        <v>11.57</v>
      </c>
      <c r="T36">
        <f t="shared" ref="T36" si="17">-P36-Q36-R36-S36+U36</f>
        <v>6.0900000000000318</v>
      </c>
      <c r="U36">
        <v>211.93</v>
      </c>
    </row>
    <row r="37" spans="1:22" x14ac:dyDescent="0.3">
      <c r="A37" t="s">
        <v>170</v>
      </c>
      <c r="B37">
        <v>0</v>
      </c>
      <c r="C37" s="6">
        <v>0.33333333333333298</v>
      </c>
      <c r="M37" t="s">
        <v>190</v>
      </c>
      <c r="N37">
        <v>0</v>
      </c>
      <c r="O37" s="6">
        <v>0.66666666666666663</v>
      </c>
      <c r="T37">
        <v>0</v>
      </c>
      <c r="V37" t="s">
        <v>186</v>
      </c>
    </row>
    <row r="38" spans="1:22" x14ac:dyDescent="0.3">
      <c r="A38" t="s">
        <v>195</v>
      </c>
      <c r="B38">
        <v>0</v>
      </c>
      <c r="C38" s="6">
        <v>0.66666666666666663</v>
      </c>
      <c r="J38">
        <f t="shared" si="1"/>
        <v>0</v>
      </c>
      <c r="M38" t="s">
        <v>188</v>
      </c>
      <c r="N38">
        <v>0</v>
      </c>
      <c r="O38" s="6">
        <v>0.66666666666666663</v>
      </c>
      <c r="P38">
        <v>44.16</v>
      </c>
      <c r="Q38">
        <v>57.03</v>
      </c>
      <c r="R38">
        <v>16</v>
      </c>
      <c r="S38">
        <v>9.8000000000000007</v>
      </c>
      <c r="T38">
        <f t="shared" si="2"/>
        <v>8.2900000000000063</v>
      </c>
      <c r="U38">
        <v>135.28</v>
      </c>
      <c r="V38" t="s">
        <v>186</v>
      </c>
    </row>
    <row r="39" spans="1:22" x14ac:dyDescent="0.3">
      <c r="A39" t="s">
        <v>184</v>
      </c>
      <c r="B39">
        <v>1</v>
      </c>
      <c r="C39" s="6">
        <v>1</v>
      </c>
      <c r="D39">
        <v>2.81</v>
      </c>
      <c r="E39">
        <v>129.6</v>
      </c>
      <c r="F39">
        <f t="shared" si="15"/>
        <v>129.6</v>
      </c>
      <c r="G39">
        <v>24</v>
      </c>
      <c r="H39">
        <f t="shared" si="16"/>
        <v>11.51</v>
      </c>
      <c r="I39">
        <v>11.51</v>
      </c>
      <c r="J39">
        <f t="shared" si="1"/>
        <v>6.0100000000000104</v>
      </c>
      <c r="L39">
        <v>173.93</v>
      </c>
      <c r="N39">
        <v>1</v>
      </c>
      <c r="O39" s="6">
        <v>1</v>
      </c>
      <c r="P39">
        <v>42.34</v>
      </c>
      <c r="Q39">
        <v>73.290000000000006</v>
      </c>
      <c r="R39">
        <v>24</v>
      </c>
      <c r="S39">
        <v>12.88</v>
      </c>
      <c r="T39">
        <f t="shared" si="2"/>
        <v>5.9699999999999989</v>
      </c>
      <c r="U39">
        <v>158.47999999999999</v>
      </c>
    </row>
    <row r="40" spans="1:22" x14ac:dyDescent="0.3">
      <c r="A40" t="s">
        <v>194</v>
      </c>
      <c r="B40">
        <v>1</v>
      </c>
      <c r="C40" s="6">
        <v>1</v>
      </c>
      <c r="D40">
        <v>2.4500000000000002</v>
      </c>
      <c r="E40">
        <v>124.79</v>
      </c>
      <c r="F40">
        <f t="shared" si="15"/>
        <v>124.79000000000002</v>
      </c>
      <c r="G40">
        <v>24</v>
      </c>
      <c r="H40">
        <f t="shared" si="16"/>
        <v>14.2</v>
      </c>
      <c r="I40">
        <v>14.2</v>
      </c>
      <c r="J40">
        <f t="shared" si="1"/>
        <v>6.2100000000000115</v>
      </c>
      <c r="L40">
        <v>171.65</v>
      </c>
      <c r="N40">
        <v>1</v>
      </c>
      <c r="O40" s="6">
        <v>1</v>
      </c>
      <c r="P40">
        <v>41.86</v>
      </c>
      <c r="Q40">
        <v>95.95</v>
      </c>
      <c r="R40">
        <v>24</v>
      </c>
      <c r="S40">
        <v>12.64</v>
      </c>
      <c r="T40">
        <f t="shared" si="2"/>
        <v>5.4900000000000091</v>
      </c>
      <c r="U40">
        <v>179.94</v>
      </c>
    </row>
    <row r="41" spans="1:22" x14ac:dyDescent="0.3">
      <c r="A41" t="s">
        <v>171</v>
      </c>
      <c r="B41">
        <v>0</v>
      </c>
      <c r="C41" s="6">
        <v>0.66666666666666696</v>
      </c>
      <c r="D41">
        <v>2.83</v>
      </c>
      <c r="E41">
        <v>82.88</v>
      </c>
      <c r="F41">
        <f t="shared" si="15"/>
        <v>124.32</v>
      </c>
      <c r="G41">
        <v>16</v>
      </c>
      <c r="H41">
        <f t="shared" si="16"/>
        <v>15.18</v>
      </c>
      <c r="I41">
        <v>10.119999999999999</v>
      </c>
      <c r="J41">
        <f t="shared" si="1"/>
        <v>5.99</v>
      </c>
      <c r="L41">
        <v>117.82</v>
      </c>
      <c r="M41" t="s">
        <v>189</v>
      </c>
      <c r="N41">
        <v>0</v>
      </c>
      <c r="O41" s="6">
        <v>0.33333333333333331</v>
      </c>
      <c r="P41">
        <v>43.58</v>
      </c>
      <c r="Q41">
        <v>63.79</v>
      </c>
      <c r="R41">
        <v>16</v>
      </c>
      <c r="S41">
        <v>10.220000000000001</v>
      </c>
      <c r="T41">
        <f t="shared" si="2"/>
        <v>6.0200000000000102</v>
      </c>
      <c r="U41">
        <v>139.61000000000001</v>
      </c>
      <c r="V41" t="s">
        <v>185</v>
      </c>
    </row>
    <row r="42" spans="1:22" x14ac:dyDescent="0.3">
      <c r="B42">
        <f>AVERAGE(B32:B41)</f>
        <v>0.6</v>
      </c>
      <c r="C42">
        <f>AVERAGE(C32:C41)</f>
        <v>0.83333333333333326</v>
      </c>
      <c r="D42">
        <f>AVERAGE(D32,D34:D40)</f>
        <v>2.5833333333333335</v>
      </c>
      <c r="E42">
        <f t="shared" ref="E42:L42" si="18">AVERAGE(E32,E34:E40)</f>
        <v>134.84666666666666</v>
      </c>
      <c r="F42">
        <f t="shared" si="18"/>
        <v>134.84666666666669</v>
      </c>
      <c r="G42">
        <f t="shared" si="18"/>
        <v>24</v>
      </c>
      <c r="H42">
        <f t="shared" si="18"/>
        <v>12.296666666666665</v>
      </c>
      <c r="I42">
        <f t="shared" si="18"/>
        <v>12.296666666666665</v>
      </c>
      <c r="J42">
        <f t="shared" si="18"/>
        <v>6.0999999999999988</v>
      </c>
      <c r="K42" t="e">
        <f t="shared" si="18"/>
        <v>#DIV/0!</v>
      </c>
      <c r="L42">
        <f t="shared" si="18"/>
        <v>180.84333333333336</v>
      </c>
      <c r="N42">
        <f>AVERAGE(N32:N41)</f>
        <v>0.7</v>
      </c>
      <c r="O42">
        <f>AVERAGE(O32:O41)</f>
        <v>0.86666666666666681</v>
      </c>
      <c r="P42">
        <f t="shared" ref="P42:U42" si="19">AVERAGE(P32:P41)</f>
        <v>45.896666666666668</v>
      </c>
      <c r="Q42">
        <f t="shared" si="19"/>
        <v>96.167777777777758</v>
      </c>
      <c r="R42">
        <f t="shared" si="19"/>
        <v>22.222222222222221</v>
      </c>
      <c r="S42">
        <f t="shared" si="19"/>
        <v>12.759999999999998</v>
      </c>
      <c r="T42">
        <f t="shared" si="19"/>
        <v>5.9370000000000047</v>
      </c>
      <c r="U42">
        <f t="shared" si="19"/>
        <v>183.64333333333332</v>
      </c>
    </row>
    <row r="43" spans="1:22" x14ac:dyDescent="0.3">
      <c r="D43">
        <f>_xlfn.STDEV.P(D32,D34:D40)</f>
        <v>0.67267294347914031</v>
      </c>
      <c r="E43">
        <f t="shared" ref="E43:L43" si="20">_xlfn.STDEV.P(E32,E34:E40)</f>
        <v>14.572193459538637</v>
      </c>
      <c r="F43">
        <f t="shared" si="20"/>
        <v>14.572193459538415</v>
      </c>
      <c r="G43">
        <f t="shared" si="20"/>
        <v>0</v>
      </c>
      <c r="H43">
        <f t="shared" si="20"/>
        <v>1.2951919634642104</v>
      </c>
      <c r="I43">
        <f t="shared" si="20"/>
        <v>1.2951919634642006</v>
      </c>
      <c r="J43">
        <f t="shared" si="20"/>
        <v>2.9255963982945898</v>
      </c>
      <c r="K43" t="e">
        <f t="shared" si="20"/>
        <v>#DIV/0!</v>
      </c>
      <c r="L43">
        <f t="shared" si="20"/>
        <v>13.938777644478812</v>
      </c>
      <c r="O43"/>
      <c r="P43">
        <f>AVERAGE(P32:P37,P39:P40)</f>
        <v>46.47571428571429</v>
      </c>
      <c r="Q43">
        <f t="shared" ref="Q43:U43" si="21">AVERAGE(Q32:Q37,Q39:Q40)</f>
        <v>106.38428571428571</v>
      </c>
      <c r="R43">
        <f t="shared" si="21"/>
        <v>24</v>
      </c>
      <c r="S43">
        <f t="shared" si="21"/>
        <v>13.545714285714284</v>
      </c>
      <c r="T43">
        <f t="shared" si="21"/>
        <v>5.6325000000000038</v>
      </c>
      <c r="U43">
        <f t="shared" si="21"/>
        <v>196.84285714285716</v>
      </c>
    </row>
    <row r="44" spans="1:22" x14ac:dyDescent="0.3">
      <c r="B44">
        <f>6/7</f>
        <v>0.8571428571428571</v>
      </c>
      <c r="L44">
        <f>SUM(D42:E42,G42:H42,J42)</f>
        <v>179.82666666666665</v>
      </c>
      <c r="P44">
        <f>_xlfn.STDEV.P(P32:P37,P39:P40)</f>
        <v>5.4786595262054041</v>
      </c>
      <c r="Q44">
        <f t="shared" ref="Q44:U44" si="22">_xlfn.STDEV.P(Q32:Q37,Q39:Q40)</f>
        <v>20.725409427038315</v>
      </c>
      <c r="R44">
        <f t="shared" si="22"/>
        <v>0</v>
      </c>
      <c r="S44">
        <f t="shared" si="22"/>
        <v>1.6012660807075543</v>
      </c>
      <c r="T44">
        <f t="shared" si="22"/>
        <v>2.3233529112039775</v>
      </c>
      <c r="U44">
        <f t="shared" si="22"/>
        <v>25.428660272718052</v>
      </c>
    </row>
    <row r="45" spans="1:22" x14ac:dyDescent="0.3">
      <c r="U45">
        <f>SUM(P43:T43)</f>
        <v>196.0382142857143</v>
      </c>
    </row>
    <row r="46" spans="1:22" x14ac:dyDescent="0.3">
      <c r="A46" s="1" t="s">
        <v>180</v>
      </c>
    </row>
    <row r="47" spans="1:22" x14ac:dyDescent="0.3">
      <c r="A47" t="s">
        <v>172</v>
      </c>
      <c r="B47">
        <v>1</v>
      </c>
      <c r="C47" s="6">
        <v>1</v>
      </c>
      <c r="D47">
        <v>4.33</v>
      </c>
      <c r="E47">
        <v>176.14</v>
      </c>
      <c r="F47">
        <f>E47/G47*40</f>
        <v>176.14</v>
      </c>
      <c r="G47">
        <v>40</v>
      </c>
      <c r="I47">
        <v>15.06</v>
      </c>
      <c r="J47">
        <f t="shared" si="1"/>
        <v>7.4399999999999995</v>
      </c>
      <c r="L47">
        <v>242.97</v>
      </c>
      <c r="N47">
        <v>0</v>
      </c>
      <c r="O47" s="6">
        <v>0.6</v>
      </c>
      <c r="P47">
        <v>54.18</v>
      </c>
      <c r="Q47">
        <v>156.63999999999999</v>
      </c>
      <c r="R47">
        <v>32</v>
      </c>
      <c r="S47">
        <v>16.440000000000001</v>
      </c>
      <c r="T47">
        <f t="shared" si="2"/>
        <v>8.9800000000000182</v>
      </c>
      <c r="U47">
        <v>268.24</v>
      </c>
      <c r="V47" t="s">
        <v>200</v>
      </c>
    </row>
    <row r="48" spans="1:22" x14ac:dyDescent="0.3">
      <c r="A48" t="s">
        <v>173</v>
      </c>
      <c r="B48">
        <v>1</v>
      </c>
      <c r="C48" s="6">
        <v>1</v>
      </c>
      <c r="D48">
        <v>4.9400000000000004</v>
      </c>
      <c r="E48">
        <v>110.9</v>
      </c>
      <c r="F48">
        <f t="shared" ref="F48:F56" si="23">E48/G48*40</f>
        <v>138.58169322086849</v>
      </c>
      <c r="G48">
        <v>32.01</v>
      </c>
      <c r="I48">
        <v>15.37</v>
      </c>
      <c r="J48">
        <f t="shared" si="1"/>
        <v>7.140000000000013</v>
      </c>
      <c r="L48">
        <v>170.36</v>
      </c>
      <c r="M48" t="s">
        <v>201</v>
      </c>
      <c r="N48">
        <v>1</v>
      </c>
      <c r="O48" s="6">
        <v>1</v>
      </c>
      <c r="P48">
        <v>78.38</v>
      </c>
      <c r="Q48">
        <v>239.26</v>
      </c>
      <c r="R48">
        <v>40</v>
      </c>
      <c r="S48">
        <v>19.16</v>
      </c>
      <c r="T48">
        <f t="shared" si="2"/>
        <v>7.5099999999999909</v>
      </c>
      <c r="U48">
        <v>384.31</v>
      </c>
    </row>
    <row r="49" spans="1:22" x14ac:dyDescent="0.3">
      <c r="A49" t="s">
        <v>174</v>
      </c>
      <c r="B49">
        <v>0</v>
      </c>
      <c r="C49" s="6">
        <v>0.6</v>
      </c>
      <c r="D49">
        <v>6.81</v>
      </c>
      <c r="E49">
        <v>139.72999999999999</v>
      </c>
      <c r="F49">
        <f t="shared" si="23"/>
        <v>232.78633902540605</v>
      </c>
      <c r="G49">
        <v>24.01</v>
      </c>
      <c r="I49">
        <v>9.2100000000000009</v>
      </c>
      <c r="J49">
        <f t="shared" si="1"/>
        <v>9.0599999999999987</v>
      </c>
      <c r="L49">
        <v>188.82</v>
      </c>
      <c r="N49">
        <v>0</v>
      </c>
      <c r="O49" s="6">
        <v>0.6</v>
      </c>
      <c r="P49">
        <v>51.34</v>
      </c>
      <c r="Q49">
        <v>120.81</v>
      </c>
      <c r="R49">
        <v>24</v>
      </c>
      <c r="S49">
        <v>11.72</v>
      </c>
      <c r="T49">
        <f t="shared" si="2"/>
        <v>8.3599999999999852</v>
      </c>
      <c r="U49">
        <v>216.23</v>
      </c>
      <c r="V49" t="s">
        <v>202</v>
      </c>
    </row>
    <row r="50" spans="1:22" x14ac:dyDescent="0.3">
      <c r="A50" t="s">
        <v>196</v>
      </c>
      <c r="B50">
        <v>0</v>
      </c>
      <c r="C50" s="6">
        <v>0.8</v>
      </c>
      <c r="D50">
        <v>5.05</v>
      </c>
      <c r="E50">
        <v>130.69999999999999</v>
      </c>
      <c r="F50">
        <f t="shared" si="23"/>
        <v>130.69999999999999</v>
      </c>
      <c r="G50">
        <v>40</v>
      </c>
      <c r="I50">
        <v>11.22</v>
      </c>
      <c r="J50">
        <f t="shared" si="1"/>
        <v>11.909999999999995</v>
      </c>
      <c r="L50">
        <v>198.88</v>
      </c>
      <c r="N50">
        <v>0</v>
      </c>
      <c r="O50" s="6">
        <v>0.8</v>
      </c>
      <c r="P50">
        <v>54.12</v>
      </c>
      <c r="Q50">
        <v>216.49</v>
      </c>
      <c r="R50">
        <v>32.020000000000003</v>
      </c>
      <c r="S50">
        <v>10.39</v>
      </c>
      <c r="T50">
        <f t="shared" si="2"/>
        <v>8.6700000000000159</v>
      </c>
      <c r="U50">
        <v>321.69</v>
      </c>
      <c r="V50" t="s">
        <v>203</v>
      </c>
    </row>
    <row r="51" spans="1:22" x14ac:dyDescent="0.3">
      <c r="A51" t="s">
        <v>197</v>
      </c>
      <c r="B51">
        <v>1</v>
      </c>
      <c r="C51" s="6">
        <v>1</v>
      </c>
      <c r="D51">
        <v>4.93</v>
      </c>
      <c r="E51">
        <v>173.13</v>
      </c>
      <c r="F51">
        <f t="shared" si="23"/>
        <v>173.13</v>
      </c>
      <c r="G51">
        <v>40</v>
      </c>
      <c r="I51">
        <v>12.81</v>
      </c>
      <c r="J51">
        <f t="shared" si="1"/>
        <v>7.6899999999999995</v>
      </c>
      <c r="L51">
        <v>238.56</v>
      </c>
      <c r="N51">
        <v>1</v>
      </c>
      <c r="O51" s="6">
        <v>1</v>
      </c>
      <c r="P51">
        <v>49.21</v>
      </c>
      <c r="Q51">
        <v>198.08</v>
      </c>
      <c r="R51">
        <v>40</v>
      </c>
      <c r="S51">
        <v>20.09</v>
      </c>
      <c r="T51">
        <f t="shared" si="2"/>
        <v>-2.6499999999999773</v>
      </c>
      <c r="U51">
        <v>304.73</v>
      </c>
    </row>
    <row r="52" spans="1:22" x14ac:dyDescent="0.3">
      <c r="A52" t="s">
        <v>205</v>
      </c>
      <c r="B52">
        <v>0</v>
      </c>
      <c r="C52" s="6">
        <v>0.6</v>
      </c>
      <c r="D52">
        <v>2.1</v>
      </c>
      <c r="E52">
        <v>166.61</v>
      </c>
      <c r="F52">
        <f t="shared" si="23"/>
        <v>208.26250000000002</v>
      </c>
      <c r="G52">
        <v>32</v>
      </c>
      <c r="I52">
        <v>13.85</v>
      </c>
      <c r="J52">
        <f t="shared" si="1"/>
        <v>6.9199999999999822</v>
      </c>
      <c r="L52">
        <v>221.48</v>
      </c>
      <c r="M52" t="s">
        <v>206</v>
      </c>
      <c r="N52">
        <v>0</v>
      </c>
      <c r="O52" s="6">
        <v>0.6</v>
      </c>
      <c r="P52">
        <v>43.86</v>
      </c>
      <c r="Q52">
        <v>145.29</v>
      </c>
      <c r="R52">
        <v>24</v>
      </c>
      <c r="S52">
        <v>12.57</v>
      </c>
      <c r="T52">
        <f t="shared" si="2"/>
        <v>7.0900000000000318</v>
      </c>
      <c r="U52">
        <v>232.81</v>
      </c>
    </row>
    <row r="53" spans="1:22" x14ac:dyDescent="0.3">
      <c r="A53" t="s">
        <v>175</v>
      </c>
      <c r="B53">
        <v>0</v>
      </c>
      <c r="C53" s="6">
        <v>0.8</v>
      </c>
      <c r="D53">
        <v>3.12</v>
      </c>
      <c r="E53">
        <v>138.46</v>
      </c>
      <c r="F53">
        <f t="shared" si="23"/>
        <v>173.07500000000002</v>
      </c>
      <c r="G53">
        <v>32</v>
      </c>
      <c r="I53">
        <v>15.05</v>
      </c>
      <c r="J53">
        <f t="shared" si="1"/>
        <v>7.0499999999999936</v>
      </c>
      <c r="L53">
        <v>195.68</v>
      </c>
      <c r="M53" t="s">
        <v>213</v>
      </c>
      <c r="N53">
        <v>0</v>
      </c>
      <c r="O53" s="6">
        <v>0.6</v>
      </c>
      <c r="P53">
        <v>50.61</v>
      </c>
      <c r="Q53">
        <v>162.86000000000001</v>
      </c>
      <c r="R53">
        <v>32</v>
      </c>
      <c r="S53">
        <v>10.23</v>
      </c>
      <c r="T53">
        <f t="shared" ref="T53" si="24">-P53-Q53-R53-S53+U53</f>
        <v>7.879999999999967</v>
      </c>
      <c r="U53">
        <v>263.58</v>
      </c>
      <c r="V53" t="s">
        <v>207</v>
      </c>
    </row>
    <row r="54" spans="1:22" x14ac:dyDescent="0.3">
      <c r="A54" t="s">
        <v>176</v>
      </c>
      <c r="B54">
        <v>0</v>
      </c>
      <c r="C54" s="6">
        <v>0.6</v>
      </c>
      <c r="D54">
        <v>1.44</v>
      </c>
      <c r="E54">
        <v>155.13</v>
      </c>
      <c r="F54">
        <f t="shared" si="23"/>
        <v>258.55</v>
      </c>
      <c r="G54">
        <v>24</v>
      </c>
      <c r="I54">
        <v>11.99</v>
      </c>
      <c r="J54">
        <f t="shared" si="1"/>
        <v>7.1399999999999952</v>
      </c>
      <c r="L54">
        <v>199.7</v>
      </c>
      <c r="M54" t="s">
        <v>212</v>
      </c>
      <c r="N54">
        <v>0</v>
      </c>
      <c r="O54" s="6">
        <v>0.4</v>
      </c>
      <c r="P54">
        <v>48.5</v>
      </c>
      <c r="Q54">
        <v>172.99</v>
      </c>
      <c r="R54">
        <v>32</v>
      </c>
      <c r="S54">
        <v>8.69</v>
      </c>
      <c r="T54">
        <f t="shared" si="2"/>
        <v>7.2699999999999818</v>
      </c>
      <c r="U54">
        <v>269.45</v>
      </c>
      <c r="V54" t="s">
        <v>208</v>
      </c>
    </row>
    <row r="55" spans="1:22" x14ac:dyDescent="0.3">
      <c r="A55" t="s">
        <v>204</v>
      </c>
      <c r="B55">
        <v>0</v>
      </c>
      <c r="C55" s="6">
        <v>0.8</v>
      </c>
      <c r="J55">
        <f t="shared" si="1"/>
        <v>0</v>
      </c>
      <c r="M55" t="s">
        <v>209</v>
      </c>
      <c r="N55">
        <v>1</v>
      </c>
      <c r="O55" s="6">
        <v>1</v>
      </c>
      <c r="P55">
        <v>54.5</v>
      </c>
      <c r="Q55">
        <v>172.74</v>
      </c>
      <c r="R55">
        <v>40</v>
      </c>
      <c r="S55">
        <v>13.27</v>
      </c>
      <c r="T55">
        <f t="shared" si="2"/>
        <v>7.1000000000000227</v>
      </c>
      <c r="U55">
        <v>287.61</v>
      </c>
    </row>
    <row r="56" spans="1:22" x14ac:dyDescent="0.3">
      <c r="A56" t="s">
        <v>177</v>
      </c>
      <c r="B56">
        <v>0</v>
      </c>
      <c r="C56" s="6">
        <v>0.6</v>
      </c>
      <c r="D56">
        <v>2.5099999999999998</v>
      </c>
      <c r="E56">
        <v>84.01</v>
      </c>
      <c r="F56">
        <f t="shared" si="23"/>
        <v>140.01666666666668</v>
      </c>
      <c r="G56">
        <v>24</v>
      </c>
      <c r="I56">
        <v>13.88</v>
      </c>
      <c r="J56">
        <f t="shared" si="1"/>
        <v>10.690000000000007</v>
      </c>
      <c r="L56">
        <v>135.09</v>
      </c>
      <c r="M56" t="s">
        <v>211</v>
      </c>
      <c r="N56">
        <v>0</v>
      </c>
      <c r="O56" s="6">
        <v>0.6</v>
      </c>
      <c r="P56">
        <v>50.07</v>
      </c>
      <c r="Q56">
        <v>93.35</v>
      </c>
      <c r="R56">
        <v>24</v>
      </c>
      <c r="S56">
        <v>11.81</v>
      </c>
      <c r="T56">
        <f t="shared" si="2"/>
        <v>7.0300000000000011</v>
      </c>
      <c r="U56">
        <v>186.26</v>
      </c>
      <c r="V56" t="s">
        <v>210</v>
      </c>
    </row>
    <row r="57" spans="1:22" x14ac:dyDescent="0.3">
      <c r="B57">
        <f>AVERAGE(B47:B56)</f>
        <v>0.3</v>
      </c>
      <c r="C57">
        <f>AVERAGE(C47:C56)</f>
        <v>0.77999999999999992</v>
      </c>
      <c r="D57">
        <f t="shared" ref="D57:L57" si="25">AVERAGE(D47:D56)</f>
        <v>3.9144444444444439</v>
      </c>
      <c r="E57">
        <f t="shared" si="25"/>
        <v>141.64555555555557</v>
      </c>
      <c r="F57">
        <f t="shared" si="25"/>
        <v>181.24913321254903</v>
      </c>
      <c r="G57">
        <f t="shared" si="25"/>
        <v>32.002222222222223</v>
      </c>
      <c r="I57">
        <f t="shared" si="25"/>
        <v>13.159999999999998</v>
      </c>
      <c r="J57">
        <f t="shared" si="25"/>
        <v>7.5039999999999996</v>
      </c>
      <c r="L57">
        <f t="shared" si="25"/>
        <v>199.06000000000003</v>
      </c>
      <c r="N57">
        <f>AVERAGE(N47:N56)</f>
        <v>0.3</v>
      </c>
      <c r="O57">
        <f>AVERAGE(O47:O56)</f>
        <v>0.72</v>
      </c>
      <c r="P57">
        <f t="shared" ref="P57:U57" si="26">AVERAGE(P47:P56)</f>
        <v>53.477000000000011</v>
      </c>
      <c r="Q57">
        <f t="shared" si="26"/>
        <v>167.85100000000003</v>
      </c>
      <c r="R57">
        <f t="shared" si="26"/>
        <v>32.001999999999995</v>
      </c>
      <c r="S57">
        <f t="shared" si="26"/>
        <v>13.437000000000001</v>
      </c>
      <c r="T57">
        <f t="shared" si="26"/>
        <v>6.7240000000000038</v>
      </c>
      <c r="U57">
        <f t="shared" si="26"/>
        <v>273.49099999999999</v>
      </c>
    </row>
    <row r="58" spans="1:22" x14ac:dyDescent="0.3">
      <c r="C58" s="6"/>
      <c r="D58">
        <f>AVERAGE(D47,D50:D51)</f>
        <v>4.7699999999999996</v>
      </c>
      <c r="E58">
        <f t="shared" ref="E58:L58" si="27">AVERAGE(E47,E50:E51)</f>
        <v>159.98999999999998</v>
      </c>
      <c r="F58">
        <f t="shared" si="27"/>
        <v>159.98999999999998</v>
      </c>
      <c r="G58">
        <f t="shared" si="27"/>
        <v>40</v>
      </c>
      <c r="H58" t="e">
        <f t="shared" si="27"/>
        <v>#DIV/0!</v>
      </c>
      <c r="I58">
        <f t="shared" si="27"/>
        <v>13.030000000000001</v>
      </c>
      <c r="J58">
        <f t="shared" si="27"/>
        <v>9.0133333333333301</v>
      </c>
      <c r="K58" t="e">
        <f t="shared" si="27"/>
        <v>#DIV/0!</v>
      </c>
      <c r="L58">
        <f t="shared" si="27"/>
        <v>226.80333333333337</v>
      </c>
      <c r="P58">
        <f>AVERAGE(P55,P51,P48)</f>
        <v>60.696666666666665</v>
      </c>
      <c r="Q58">
        <f t="shared" ref="Q58:U58" si="28">AVERAGE(Q55,Q51,Q48)</f>
        <v>203.36</v>
      </c>
      <c r="R58">
        <f t="shared" si="28"/>
        <v>40</v>
      </c>
      <c r="S58">
        <f t="shared" si="28"/>
        <v>17.506666666666664</v>
      </c>
      <c r="T58">
        <f t="shared" si="28"/>
        <v>3.9866666666666788</v>
      </c>
      <c r="U58">
        <f t="shared" si="28"/>
        <v>325.55</v>
      </c>
    </row>
    <row r="59" spans="1:22" x14ac:dyDescent="0.3">
      <c r="B59">
        <f>2/6</f>
        <v>0.33333333333333331</v>
      </c>
      <c r="D59">
        <f>_xlfn.STDEV.P(D47,D50:D51)</f>
        <v>0.31496031496047228</v>
      </c>
      <c r="E59">
        <f t="shared" ref="E59:L59" si="29">_xlfn.STDEV.P(E47,E50:E51)</f>
        <v>20.747579778534799</v>
      </c>
      <c r="F59">
        <f t="shared" si="29"/>
        <v>20.747579778534799</v>
      </c>
      <c r="G59">
        <f t="shared" si="29"/>
        <v>0</v>
      </c>
      <c r="H59" t="e">
        <f t="shared" si="29"/>
        <v>#DIV/0!</v>
      </c>
      <c r="I59">
        <f t="shared" si="29"/>
        <v>1.575372971711769</v>
      </c>
      <c r="J59">
        <f t="shared" si="29"/>
        <v>2.0507938842203424</v>
      </c>
      <c r="K59" t="e">
        <f t="shared" si="29"/>
        <v>#DIV/0!</v>
      </c>
      <c r="L59">
        <f t="shared" si="29"/>
        <v>19.826689643564361</v>
      </c>
      <c r="P59">
        <f>_xlfn.STDEV.P(P48,P51,P55)</f>
        <v>12.689135335221044</v>
      </c>
      <c r="Q59">
        <f t="shared" ref="Q59:U59" si="30">_xlfn.STDEV.P(Q48,Q51,Q55)</f>
        <v>27.412118974400091</v>
      </c>
      <c r="R59">
        <f t="shared" si="30"/>
        <v>0</v>
      </c>
      <c r="S59">
        <f t="shared" si="30"/>
        <v>3.0197387672151801</v>
      </c>
      <c r="T59">
        <f t="shared" si="30"/>
        <v>4.6958161046711373</v>
      </c>
      <c r="U59">
        <f t="shared" si="30"/>
        <v>42.133334388185951</v>
      </c>
    </row>
    <row r="60" spans="1:22" x14ac:dyDescent="0.3">
      <c r="L60">
        <f>SUM(D58,E58,G58,I58,J58)</f>
        <v>226.80333333333331</v>
      </c>
      <c r="U60">
        <f>SUM(P58:T58)</f>
        <v>325.55</v>
      </c>
    </row>
    <row r="65" spans="3:4" x14ac:dyDescent="0.3">
      <c r="D65" t="s">
        <v>271</v>
      </c>
    </row>
    <row r="68" spans="3:4" x14ac:dyDescent="0.3">
      <c r="C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Tactile Main Results</vt:lpstr>
      <vt:lpstr>Tactile Ablation Study Results</vt:lpstr>
      <vt:lpstr>Tactile Rank Tests</vt:lpstr>
      <vt:lpstr>VLA</vt:lpstr>
      <vt:lpstr>LLM</vt:lpstr>
      <vt:lpstr>Pipeline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Verstraete, Felix</dc:creator>
  <cp:lastModifiedBy>Verstraete, Felix</cp:lastModifiedBy>
  <dcterms:created xsi:type="dcterms:W3CDTF">2025-08-02T10:09:11Z</dcterms:created>
  <dcterms:modified xsi:type="dcterms:W3CDTF">2025-08-25T14:51:15Z</dcterms:modified>
</cp:coreProperties>
</file>