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drawings/drawing4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5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ustomProperty13.bin" ContentType="application/vnd.openxmlformats-officedocument.spreadsheetml.customProperty"/>
  <Override PartName="/xl/drawings/drawing7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yash_jain_vesu\Future_Vision\books\advance_excel\NEW-FILES-PROJECTS\100+ Premium Excel Templates\Finance\"/>
    </mc:Choice>
  </mc:AlternateContent>
  <xr:revisionPtr revIDLastSave="0" documentId="13_ncr:1_{FBF14EC1-6B76-4F3C-9C0E-CA9A2F0E9C16}" xr6:coauthVersionLast="47" xr6:coauthVersionMax="47" xr10:uidLastSave="{00000000-0000-0000-0000-000000000000}"/>
  <bookViews>
    <workbookView xWindow="-120" yWindow="-120" windowWidth="29040" windowHeight="15840" xr2:uid="{C847D5C7-2547-42E4-8108-276969EC79D5}"/>
  </bookViews>
  <sheets>
    <sheet name="Introduction" sheetId="144" r:id="rId1"/>
    <sheet name="Mapping" sheetId="136" r:id="rId2"/>
    <sheet name="Bridges for Trends" sheetId="139" r:id="rId3"/>
    <sheet name="Sales Data" sheetId="135" r:id="rId4"/>
    <sheet name="Units sold" sheetId="138" r:id="rId5"/>
    <sheet name="Summary" sheetId="96" r:id="rId6"/>
    <sheet name="Chairs" sheetId="141" r:id="rId7"/>
    <sheet name="Tables" sheetId="140" r:id="rId8"/>
    <sheet name="Kitchen" sheetId="142" r:id="rId9"/>
    <sheet name="Accessories" sheetId="143" r:id="rId10"/>
  </sheets>
  <definedNames>
    <definedName name="__FPMExcelClient_CellBasedFunctionStatus" localSheetId="9" hidden="1">"1_1_2_2_2_2"</definedName>
    <definedName name="__FPMExcelClient_CellBasedFunctionStatus" localSheetId="6" hidden="1">"1_1_2_2_2_2"</definedName>
    <definedName name="__FPMExcelClient_CellBasedFunctionStatus" localSheetId="8" hidden="1">"1_1_2_2_2_2"</definedName>
    <definedName name="__FPMExcelClient_CellBasedFunctionStatus" localSheetId="5" hidden="1">"2_1_2_2_2_2"</definedName>
    <definedName name="__FPMExcelClient_CellBasedFunctionStatus" localSheetId="7" hidden="1">"1_1_2_2_2_2"</definedName>
    <definedName name="_aaa1" hidden="1">{#N/A,#N/A,FALSE,"Antony Financials";#N/A,#N/A,FALSE,"Cowboy Financials";#N/A,#N/A,FALSE,"Combined";#N/A,#N/A,FALSE,"Valuematrix";#N/A,#N/A,FALSE,"DCFAntony";#N/A,#N/A,FALSE,"DCFCowboy";#N/A,#N/A,FALSE,"DCFCombined"}</definedName>
    <definedName name="_xlnm._FilterDatabase" localSheetId="3" hidden="1">'Sales Data'!$A$1:$E$145</definedName>
    <definedName name="_xlnm._FilterDatabase" localSheetId="4" hidden="1">'Units sold'!$A$1:$E$1154</definedName>
    <definedName name="_GSRATES_1" hidden="1">"H2002123120021231CADUSD1000001"</definedName>
    <definedName name="_GSRATES_10" hidden="1">"CF3000012002093020020101"</definedName>
    <definedName name="_GSRATES_11" hidden="1">"CF300001Invalid 20030930"</definedName>
    <definedName name="_GSRATES_12" hidden="1">"CT30000120030930        "</definedName>
    <definedName name="_GSRATES_13" hidden="1">"CT30000120030930        "</definedName>
    <definedName name="_GSRATES_2" hidden="1">"CT30000120030630        "</definedName>
    <definedName name="_GSRATES_3" hidden="1">"CF3000012003063020030101"</definedName>
    <definedName name="_GSRATES_4" hidden="1">"CT3000012003063020030101"</definedName>
    <definedName name="_GSRATES_5" hidden="1">"CF3000012002123120020101"</definedName>
    <definedName name="_GSRATES_6" hidden="1">"CF3000012002063020020101"</definedName>
    <definedName name="_GSRATES_7" hidden="1">"CF3000012003063020030101"</definedName>
    <definedName name="_GSRATES_8" hidden="1">"CF3000012003093020030101"</definedName>
    <definedName name="_GSRATES_9" hidden="1">"CF3000012002123120020101"</definedName>
    <definedName name="_GSRATES_COUNT" hidden="1">7</definedName>
    <definedName name="_GSRATES_COUNT1" hidden="1">13</definedName>
    <definedName name="_GSRATESR_1" hidden="1">#REF!</definedName>
    <definedName name="_GSRATESR_10" hidden="1">#REF!</definedName>
    <definedName name="_GSRATESR_11" hidden="1">#REF!</definedName>
    <definedName name="_GSRATESR_12" hidden="1">#REF!</definedName>
    <definedName name="_GSRATESR_13" hidden="1">#REF!</definedName>
    <definedName name="_GSRATESR_3" hidden="1">#REF!</definedName>
    <definedName name="_GSRATESR_4" hidden="1">#REF!</definedName>
    <definedName name="_GSRATESR_5" hidden="1">#REF!</definedName>
    <definedName name="_GSRATESR_6" hidden="1">#REF!</definedName>
    <definedName name="_GSRATESR_7" hidden="1">#REF!</definedName>
    <definedName name="_GSRATESR_8" hidden="1">#REF!</definedName>
    <definedName name="_GSRATESR_9" hidden="1">#REF!</definedName>
    <definedName name="a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AAA_DOCTOPS" hidden="1">"AAA_SET"</definedName>
    <definedName name="AAA_duser" hidden="1">"OFF"</definedName>
    <definedName name="AAA_u999998" hidden="1">"nlfoote@970721231427"</definedName>
    <definedName name="AAA_u999999" hidden="1">"nlfoote@970721231348"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df" hidden="1">{#N/A,#N/A,FALSE,"CreditStat";#N/A,#N/A,FALSE,"SPbrkup";#N/A,#N/A,FALSE,"MerSPsyn";#N/A,#N/A,FALSE,"MerSPwKCsyn";#N/A,#N/A,FALSE,"MerSPwKCsyn (2)";#N/A,#N/A,FALSE,"CreditStat (2)"}</definedName>
    <definedName name="adfdaf" hidden="1">{"standalone1",#N/A,FALSE,"DCFBase";"standalone2",#N/A,FALSE,"DCFBase"}</definedName>
    <definedName name="asdf" hidden="1">{"mgmt forecast",#N/A,FALSE,"Mgmt Forecast";"dcf table",#N/A,FALSE,"Mgmt Forecast";"sensitivity",#N/A,FALSE,"Mgmt Forecast";"table inputs",#N/A,FALSE,"Mgmt Forecast";"calculations",#N/A,FALSE,"Mgmt Forecast"}</definedName>
    <definedName name="asdfa" hidden="1">{#N/A,#N/A,FALSE,"Antony Financials";#N/A,#N/A,FALSE,"Cowboy Financials";#N/A,#N/A,FALSE,"Combined";#N/A,#N/A,FALSE,"Valuematrix";#N/A,#N/A,FALSE,"DCFAntony";#N/A,#N/A,FALSE,"DCFCowboy";#N/A,#N/A,FALSE,"DCFCombined"}</definedName>
    <definedName name="asdfaa" hidden="1">{#N/A,#N/A,FALSE,"Antony Financials";#N/A,#N/A,FALSE,"Cowboy Financials";#N/A,#N/A,FALSE,"Combined";#N/A,#N/A,FALSE,"Valuematrix";#N/A,#N/A,FALSE,"DCFAntony";#N/A,#N/A,FALSE,"DCFCowboy";#N/A,#N/A,FALSE,"DCFCombined"}</definedName>
    <definedName name="asdfasdf" hidden="1">{#N/A,#N/A,FALSE,"CreditStat";#N/A,#N/A,FALSE,"SPbrkup";#N/A,#N/A,FALSE,"MerSPsyn";#N/A,#N/A,FALSE,"MerSPwKCsyn";#N/A,#N/A,FALSE,"MerSPwKCsyn (2)";#N/A,#N/A,FALSE,"CreditStat (2)"}</definedName>
    <definedName name="asdff" hidden="1">{"standalone1",#N/A,FALSE,"DCFBase";"standalone2",#N/A,FALSE,"DCFBase"}</definedName>
    <definedName name="asdfsad" hidden="1">{#N/A,#N/A,FALSE,"Antony Financials";#N/A,#N/A,FALSE,"Cowboy Financials";#N/A,#N/A,FALSE,"Combined";#N/A,#N/A,FALSE,"Valuematrix";#N/A,#N/A,FALSE,"DCFAntony";#N/A,#N/A,FALSE,"DCFCowboy";#N/A,#N/A,FALSE,"DCFCombined"}</definedName>
    <definedName name="b" hidden="1">{#N/A,#N/A,FALSE,"Antony Financials";#N/A,#N/A,FALSE,"Cowboy Financials";#N/A,#N/A,FALSE,"Combined";#N/A,#N/A,FALSE,"Valuematrix";#N/A,#N/A,FALSE,"DCFAntony";#N/A,#N/A,FALSE,"DCFCowboy";#N/A,#N/A,FALSE,"DCFCombined"}</definedName>
    <definedName name="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da" hidden="1">{#N/A,#N/A,FALSE,"A&amp;E";#N/A,#N/A,FALSE,"HighTop";#N/A,#N/A,FALSE,"JG";#N/A,#N/A,FALSE,"RI";#N/A,#N/A,FALSE,"woHT";#N/A,#N/A,FALSE,"woHT&amp;JG"}</definedName>
    <definedName name="df" hidden="1">{"'Summary P&amp;L'!$A$1:$M$70","'Summary P&amp;L'!$A$1:$M$70"}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localSheetId="0" hidden="1">"m3FeIocTK7T00g7i155YYzII5xVFTgxBon8IEeL4xiLwgoT687neHX/pG70aRh7dJEB5hTBgSYS4S/wFRhkORAJNCFEijYCzdDW/7jaFj3jStoSLzX9El/54gL4Q7XVoWsi6rEQQeHqMNCnOXt8qRzrJhTnpdjyrYajjmak1fQXrR1cKuC|QKz4CEUZkvQ9clhikMR9lTf/Gcw/A9n9YZnYMuZTheC416kRG507skkOuBwSO7Rg8|xYzXFd2HOH"</definedName>
    <definedName name="EPMWorkbookOptions_2" hidden="1">"73ImntHK7EFLONWYoC7fE37y7nXi63fxHS3iv392AQAA"</definedName>
    <definedName name="EPMWorkbookOptions_4" hidden="1">"Xq937qUh8ANDfwzvX5pOEZrf7XKslaT5fxiVU5PrBGDaanK8aemHLtOD86JWpLPnKQ4UZVq7czJtk5K1eqZk|2xo6jHzsn7WfeMhtP8alo/9l76VLVc1jQt/9JXOr2lb0Uil|hyg2Y4Z31mlrmHPq2|YwwsPgMY|0u0UlXkWq2aX6Lq6Ul0g8dYpR3j2EV6MCqM1vWxc/F|BqztmFbja3PYMfms2DZ7f/NMVamo6h88VGmnN2y32Uzvh3rmcAdw"</definedName>
    <definedName name="EPMWorkbookOptions_5" hidden="1">"FnJWmXsI2Wl3m2/4|qp8euJdMpgWbElWNNE8/v3RgRmxm/0zIylG/hsc/Ux2cEY6Z0bWjMifRMd0GkfPyftZ7wa99lv|XVM5vfVuyeDOBi0ynkWaVeYeIu02G/bAatpvKNTq6Ql1xWL8|NtvWm3zqn307wMOqNIcoFQ12SBdyjoHkbKu4Dzb7jmRTePu2RLdggmFcGoSMwCSnABI2yKY4QGiy5wmsdEDrM4bbJsj7OoMDZcmi1hcoXcdafzCTW6"</definedName>
    <definedName name="EPMWorkbookOptions_6" hidden="1">"a3g6/IYrRyIMu0Pt1hh37xw/rtMmZnfr/tQEq6O4jAAA="</definedName>
    <definedName name="EPMWorkbookOptions_7" hidden="1">"VkElWzGe4dbysDmw3e4bw0nqBxi31scdUfvlZHPVuLY3NJBpjCzYg+hpH+Go/fu3fdjNPrXaf+7pIr7iNgAA"</definedName>
    <definedName name="f" hidden="1">{"mgmt forecast",#N/A,FALSE,"Mgmt Forecast";"dcf table",#N/A,FALSE,"Mgmt Forecast";"sensitivity",#N/A,FALSE,"Mgmt Forecast";"table inputs",#N/A,FALSE,"Mgmt Forecast";"calculations",#N/A,FALSE,"Mgmt Forecast"}</definedName>
    <definedName name="fafate" hidden="1">{"mgmt forecast",#N/A,FALSE,"Mgmt Forecast";"dcf table",#N/A,FALSE,"Mgmt Forecast";"sensitivity",#N/A,FALSE,"Mgmt Forecast";"table inputs",#N/A,FALSE,"Mgmt Forecast";"calculations",#N/A,FALSE,"Mgmt Forecast"}</definedName>
    <definedName name="fff" hidden="1">{"standalone1",#N/A,FALSE,"DCFBase";"standalone2",#N/A,FALSE,"DCFBase"}</definedName>
    <definedName name="g" hidden="1">{#N/A,#N/A,FALSE,"Antony Financials";#N/A,#N/A,FALSE,"Cowboy Financials";#N/A,#N/A,FALSE,"Combined";#N/A,#N/A,FALSE,"Valuematrix";#N/A,#N/A,FALSE,"DCFAntony";#N/A,#N/A,FALSE,"DCFCowboy";#N/A,#N/A,FALSE,"DCFCombined"}</definedName>
    <definedName name="h" hidden="1">{#N/A,#N/A,FALSE,"CreditStat";#N/A,#N/A,FALSE,"SPbrkup";#N/A,#N/A,FALSE,"MerSPsyn";#N/A,#N/A,FALSE,"MerSPwKCsyn";#N/A,#N/A,FALSE,"MerSPwKCsyn (2)";#N/A,#N/A,FALSE,"CreditStat (2)"}</definedName>
    <definedName name="HTML_CodePage" hidden="1">1252</definedName>
    <definedName name="HTML_Control" hidden="1">{"'Summary P&amp;L'!$A$1:$M$70","'Summary P&amp;L'!$A$1:$M$70"}</definedName>
    <definedName name="HTML_Description" hidden="1">""</definedName>
    <definedName name="HTML_Email" hidden="1">""</definedName>
    <definedName name="HTML_Header" hidden="1">"Summary P&amp;L"</definedName>
    <definedName name="HTML_LastUpdate" hidden="1">"9/03/01"</definedName>
    <definedName name="HTML_LineAfter" hidden="1">FALSE</definedName>
    <definedName name="HTML_LineBefore" hidden="1">FALSE</definedName>
    <definedName name="HTML_Name" hidden="1">"Hans Verheul"</definedName>
    <definedName name="HTML_OBDlg2" hidden="1">TRUE</definedName>
    <definedName name="HTML_OBDlg4" hidden="1">TRUE</definedName>
    <definedName name="HTML_OS" hidden="1">0</definedName>
    <definedName name="HTML_PathFile" hidden="1">"G:\Finlog\html\FINANCE.htm"</definedName>
    <definedName name="HTML_Title" hidden="1">"INCOME STATEMENT FEBRUARY 2001"</definedName>
    <definedName name="iui" hidden="1">{#N/A,#N/A,FALSE,"A&amp;E";#N/A,#N/A,FALSE,"HighTop";#N/A,#N/A,FALSE,"JG";#N/A,#N/A,FALSE,"RI";#N/A,#N/A,FALSE,"woHT";#N/A,#N/A,FALSE,"woHT&amp;JG"}</definedName>
    <definedName name="j" hidden="1">{"standalone1",#N/A,FALSE,"DCFBase";"standalone2",#N/A,FALSE,"DCFBase"}</definedName>
    <definedName name="k" hidden="1">{#N/A,#N/A,FALSE,"Antony Financials";#N/A,#N/A,FALSE,"Cowboy Financials";#N/A,#N/A,FALSE,"Combined";#N/A,#N/A,FALSE,"Valuematrix";#N/A,#N/A,FALSE,"DCFAntony";#N/A,#N/A,FALSE,"DCFCowboy";#N/A,#N/A,FALSE,"DCFCombined"}</definedName>
    <definedName name="kyd.Dim.01." hidden="1">"currency"</definedName>
    <definedName name="kyd.Dim.02." hidden="1">"currency"</definedName>
    <definedName name="kyd.ElementType.01." hidden="1">3</definedName>
    <definedName name="kyd.ElementType.02." hidden="1">3</definedName>
    <definedName name="kyd.MemoSortHide." hidden="1">FALSE</definedName>
    <definedName name="kyd.NumLevels.01." hidden="1">999</definedName>
    <definedName name="kyd.NumLevels.02." hidden="1">999</definedName>
    <definedName name="kyd.ParentName.01." hidden="1">"AUD"</definedName>
    <definedName name="kyd.ParentName.02." hidden="1">"AUD"</definedName>
    <definedName name="kyd.PreScreenData." hidden="1">FALSE</definedName>
    <definedName name="kyd.PrintMemo." hidden="1">FALSE</definedName>
    <definedName name="kyd.PrintParent.01." hidden="1">TRUE</definedName>
    <definedName name="kyd.PrintParent.02." hidden="1">TRUE</definedName>
    <definedName name="kyd.PrintStdWhen." hidden="1">3</definedName>
    <definedName name="kyd.SaveAsFile." hidden="1">FALSE</definedName>
    <definedName name="kyd.SaveMemo." hidden="1">FALSE</definedName>
    <definedName name="kyd.SelectString.01." hidden="1">"*"</definedName>
    <definedName name="kyd.SelectString.02." hidden="1">"*"</definedName>
    <definedName name="kyd.StdSortHide." hidden="1">FALSE</definedName>
    <definedName name="kyd.StopRow." hidden="1">16384</definedName>
    <definedName name="kyd.WriteMemWhenOptn." hidden="1">3</definedName>
    <definedName name="l" hidden="1">{"mgmt forecast",#N/A,FALSE,"Mgmt Forecast";"dcf table",#N/A,FALSE,"Mgmt Forecast";"sensitivity",#N/A,FALSE,"Mgmt Forecast";"table inputs",#N/A,FALSE,"Mgmt Forecast";"calculations",#N/A,FALSE,"Mgmt Forecast"}</definedName>
    <definedName name="m" hidden="1">{"standalone1",#N/A,FALSE,"DCFBase";"standalone2",#N/A,FALSE,"DCFBase"}</definedName>
    <definedName name="MR" hidden="1">{#N/A,#N/A,FALSE,"sales ytd";#N/A,#N/A,FALSE,"investments";#N/A,#N/A,FALSE,"bus. synergies 1997";#N/A,#N/A,FALSE,"synergies outlook"}</definedName>
    <definedName name="n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q" hidden="1">{#N/A,#N/A,FALSE,"Antony Financials";#N/A,#N/A,FALSE,"Cowboy Financials";#N/A,#N/A,FALSE,"Combined";#N/A,#N/A,FALSE,"Valuematrix";#N/A,#N/A,FALSE,"DCFAntony";#N/A,#N/A,FALSE,"DCFCowboy";#N/A,#N/A,FALSE,"DCFCombined"}</definedName>
    <definedName name="rr" hidden="1">{#N/A,#N/A,FALSE,"Antony Financials";#N/A,#N/A,FALSE,"Cowboy Financials";#N/A,#N/A,FALSE,"Combined";#N/A,#N/A,FALSE,"Valuematrix";#N/A,#N/A,FALSE,"DCFAntony";#N/A,#N/A,FALSE,"DCFCowboy";#N/A,#N/A,FALSE,"DCFCombined"}</definedName>
    <definedName name="SAPBEXhrIndnt" hidden="1">"Wide"</definedName>
    <definedName name="SAPsysID" hidden="1">"708C5W7SBKP804JT78WJ0JNKI"</definedName>
    <definedName name="SAPwbID" hidden="1">"ARS"</definedName>
    <definedName name="sd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sdfasefr" hidden="1">{#N/A,#N/A,FALSE,"Antony Financials";#N/A,#N/A,FALSE,"Cowboy Financials";#N/A,#N/A,FALSE,"Combined";#N/A,#N/A,FALSE,"Valuematrix";#N/A,#N/A,FALSE,"DCFAntony";#N/A,#N/A,FALSE,"DCFCowboy";#N/A,#N/A,FALSE,"DCFCombined"}</definedName>
    <definedName name="t" hidden="1">{#N/A,#N/A,FALSE,"A&amp;E";#N/A,#N/A,FALSE,"HighTop";#N/A,#N/A,FALSE,"JG";#N/A,#N/A,FALSE,"RI";#N/A,#N/A,FALSE,"woHT";#N/A,#N/A,FALSE,"woHT&amp;JG"}</definedName>
    <definedName name="ttt" hidden="1">{#N/A,#N/A,FALSE,"CreditStat";#N/A,#N/A,FALSE,"SPbrkup";#N/A,#N/A,FALSE,"MerSPsyn";#N/A,#N/A,FALSE,"MerSPwKCsyn";#N/A,#N/A,FALSE,"MerSPwKCsyn (2)";#N/A,#N/A,FALSE,"CreditStat (2)"}</definedName>
    <definedName name="v" hidden="1">{"standalone1",#N/A,FALSE,"DCFBase";"standalone2",#N/A,FALSE,"DCFBase"}</definedName>
    <definedName name="vv" hidden="1">{#N/A,#N/A,FALSE,"CreditStat";#N/A,#N/A,FALSE,"SPbrkup";#N/A,#N/A,FALSE,"MerSPsyn";#N/A,#N/A,FALSE,"MerSPwKCsyn";#N/A,#N/A,FALSE,"MerSPwKCsyn (2)";#N/A,#N/A,FALSE,"CreditStat (2)"}</definedName>
    <definedName name="vvv" hidden="1">{#N/A,#N/A,FALSE,"Antony Financials";#N/A,#N/A,FALSE,"Cowboy Financials";#N/A,#N/A,FALSE,"Combined";#N/A,#N/A,FALSE,"Valuematrix";#N/A,#N/A,FALSE,"DCFAntony";#N/A,#N/A,FALSE,"DCFCowboy";#N/A,#N/A,FALSE,"DCFCombined"}</definedName>
    <definedName name="w" hidden="1">{#N/A,#N/A,FALSE,"CreditStat";#N/A,#N/A,FALSE,"SPbrkup";#N/A,#N/A,FALSE,"MerSPsyn";#N/A,#N/A,FALSE,"MerSPwKCsyn";#N/A,#N/A,FALSE,"MerSPwKCsyn (2)";#N/A,#N/A,FALSE,"CreditStat (2)"}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print._.standalone." hidden="1">{"standalone1",#N/A,FALSE,"DCFBase";"standalone2",#N/A,FALSE,"DCFBase"}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Top._.Level._.Summaries.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wrn.Tweety." hidden="1">{#N/A,#N/A,FALSE,"A&amp;E";#N/A,#N/A,FALSE,"HighTop";#N/A,#N/A,FALSE,"JG";#N/A,#N/A,FALSE,"RI";#N/A,#N/A,FALSE,"woHT";#N/A,#N/A,FALSE,"woHT&amp;JG"}</definedName>
    <definedName name="wrn.vortrag." hidden="1">{#N/A,#N/A,FALSE,"sales ytd";#N/A,#N/A,FALSE,"investments";#N/A,#N/A,FALSE,"bus. synergies 1997";#N/A,#N/A,FALSE,"synergies outlook"}</definedName>
    <definedName name="zzz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35" l="1"/>
  <c r="F4" i="135"/>
  <c r="F5" i="135"/>
  <c r="F6" i="135"/>
  <c r="F7" i="135"/>
  <c r="F8" i="135"/>
  <c r="F9" i="135"/>
  <c r="F10" i="135"/>
  <c r="F11" i="135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28" i="135"/>
  <c r="F29" i="135"/>
  <c r="F30" i="135"/>
  <c r="F31" i="135"/>
  <c r="F32" i="135"/>
  <c r="F33" i="135"/>
  <c r="F34" i="135"/>
  <c r="F35" i="135"/>
  <c r="F36" i="135"/>
  <c r="F37" i="135"/>
  <c r="F38" i="135"/>
  <c r="F39" i="135"/>
  <c r="F40" i="135"/>
  <c r="F41" i="135"/>
  <c r="F42" i="135"/>
  <c r="F43" i="135"/>
  <c r="F44" i="135"/>
  <c r="F45" i="135"/>
  <c r="F46" i="135"/>
  <c r="F47" i="135"/>
  <c r="F48" i="135"/>
  <c r="F49" i="135"/>
  <c r="F50" i="135"/>
  <c r="F51" i="135"/>
  <c r="F52" i="135"/>
  <c r="F53" i="135"/>
  <c r="F54" i="135"/>
  <c r="F55" i="135"/>
  <c r="F56" i="135"/>
  <c r="F57" i="135"/>
  <c r="F58" i="135"/>
  <c r="F59" i="135"/>
  <c r="F60" i="135"/>
  <c r="F61" i="135"/>
  <c r="F62" i="135"/>
  <c r="F63" i="135"/>
  <c r="F64" i="135"/>
  <c r="F65" i="135"/>
  <c r="F66" i="135"/>
  <c r="F67" i="135"/>
  <c r="F68" i="135"/>
  <c r="F69" i="135"/>
  <c r="F70" i="135"/>
  <c r="F71" i="135"/>
  <c r="F72" i="135"/>
  <c r="F73" i="135"/>
  <c r="F74" i="135"/>
  <c r="F75" i="135"/>
  <c r="F76" i="135"/>
  <c r="F77" i="135"/>
  <c r="F78" i="135"/>
  <c r="F79" i="135"/>
  <c r="F80" i="135"/>
  <c r="F81" i="135"/>
  <c r="F82" i="135"/>
  <c r="F83" i="135"/>
  <c r="F84" i="135"/>
  <c r="F85" i="135"/>
  <c r="F86" i="135"/>
  <c r="F87" i="135"/>
  <c r="F88" i="135"/>
  <c r="F89" i="135"/>
  <c r="F90" i="135"/>
  <c r="F91" i="135"/>
  <c r="F92" i="135"/>
  <c r="F93" i="135"/>
  <c r="F94" i="135"/>
  <c r="F95" i="135"/>
  <c r="F96" i="135"/>
  <c r="F97" i="135"/>
  <c r="F98" i="135"/>
  <c r="F99" i="135"/>
  <c r="F100" i="135"/>
  <c r="F101" i="135"/>
  <c r="F102" i="135"/>
  <c r="F103" i="135"/>
  <c r="F104" i="135"/>
  <c r="F105" i="135"/>
  <c r="F106" i="135"/>
  <c r="F107" i="135"/>
  <c r="F108" i="135"/>
  <c r="F109" i="135"/>
  <c r="F110" i="135"/>
  <c r="F111" i="135"/>
  <c r="F112" i="135"/>
  <c r="F113" i="135"/>
  <c r="F114" i="135"/>
  <c r="F115" i="135"/>
  <c r="F116" i="135"/>
  <c r="F117" i="135"/>
  <c r="F118" i="135"/>
  <c r="F119" i="135"/>
  <c r="F120" i="135"/>
  <c r="F121" i="135"/>
  <c r="F122" i="135"/>
  <c r="F123" i="135"/>
  <c r="F124" i="135"/>
  <c r="F125" i="135"/>
  <c r="F126" i="135"/>
  <c r="F127" i="135"/>
  <c r="F128" i="135"/>
  <c r="F129" i="135"/>
  <c r="F130" i="135"/>
  <c r="F131" i="135"/>
  <c r="F132" i="135"/>
  <c r="F133" i="135"/>
  <c r="F134" i="135"/>
  <c r="F135" i="135"/>
  <c r="F136" i="135"/>
  <c r="F137" i="135"/>
  <c r="F138" i="135"/>
  <c r="F139" i="135"/>
  <c r="F140" i="135"/>
  <c r="F141" i="135"/>
  <c r="F142" i="135"/>
  <c r="F143" i="135"/>
  <c r="F144" i="135"/>
  <c r="F145" i="135"/>
  <c r="F2" i="135"/>
  <c r="G3" i="135" l="1"/>
  <c r="G4" i="135"/>
  <c r="G5" i="135"/>
  <c r="G6" i="135"/>
  <c r="G7" i="135"/>
  <c r="G8" i="135"/>
  <c r="G9" i="135"/>
  <c r="G10" i="135"/>
  <c r="G11" i="135"/>
  <c r="G12" i="135"/>
  <c r="G13" i="135"/>
  <c r="G14" i="135"/>
  <c r="G15" i="135"/>
  <c r="G16" i="135"/>
  <c r="G17" i="135"/>
  <c r="G18" i="135"/>
  <c r="G19" i="135"/>
  <c r="G20" i="135"/>
  <c r="G21" i="135"/>
  <c r="G22" i="135"/>
  <c r="G23" i="135"/>
  <c r="G24" i="135"/>
  <c r="G25" i="135"/>
  <c r="G26" i="135"/>
  <c r="G27" i="135"/>
  <c r="G28" i="135"/>
  <c r="G29" i="135"/>
  <c r="G30" i="135"/>
  <c r="G31" i="135"/>
  <c r="G32" i="135"/>
  <c r="G33" i="135"/>
  <c r="G34" i="135"/>
  <c r="G35" i="135"/>
  <c r="G36" i="135"/>
  <c r="G37" i="135"/>
  <c r="G38" i="135"/>
  <c r="G39" i="135"/>
  <c r="G40" i="135"/>
  <c r="G41" i="135"/>
  <c r="G42" i="135"/>
  <c r="G43" i="135"/>
  <c r="G44" i="135"/>
  <c r="G45" i="135"/>
  <c r="G46" i="135"/>
  <c r="G47" i="135"/>
  <c r="G48" i="135"/>
  <c r="G49" i="135"/>
  <c r="G50" i="135"/>
  <c r="G51" i="135"/>
  <c r="G52" i="135"/>
  <c r="G53" i="135"/>
  <c r="G54" i="135"/>
  <c r="G55" i="135"/>
  <c r="G56" i="135"/>
  <c r="G57" i="135"/>
  <c r="G58" i="135"/>
  <c r="G59" i="135"/>
  <c r="G60" i="135"/>
  <c r="G61" i="135"/>
  <c r="G62" i="135"/>
  <c r="G63" i="135"/>
  <c r="G64" i="135"/>
  <c r="G65" i="135"/>
  <c r="G66" i="135"/>
  <c r="G67" i="135"/>
  <c r="G68" i="135"/>
  <c r="G69" i="135"/>
  <c r="G70" i="135"/>
  <c r="G71" i="135"/>
  <c r="G72" i="135"/>
  <c r="G73" i="135"/>
  <c r="G74" i="135"/>
  <c r="G75" i="135"/>
  <c r="G76" i="135"/>
  <c r="G77" i="135"/>
  <c r="G78" i="135"/>
  <c r="G79" i="135"/>
  <c r="G80" i="135"/>
  <c r="G81" i="135"/>
  <c r="G82" i="135"/>
  <c r="G83" i="135"/>
  <c r="G84" i="135"/>
  <c r="G85" i="135"/>
  <c r="G86" i="135"/>
  <c r="G87" i="135"/>
  <c r="G88" i="135"/>
  <c r="G89" i="135"/>
  <c r="G90" i="135"/>
  <c r="G91" i="135"/>
  <c r="G92" i="135"/>
  <c r="G93" i="135"/>
  <c r="G94" i="135"/>
  <c r="G95" i="135"/>
  <c r="G96" i="135"/>
  <c r="G97" i="135"/>
  <c r="G98" i="135"/>
  <c r="G99" i="135"/>
  <c r="G100" i="135"/>
  <c r="G101" i="135"/>
  <c r="G102" i="135"/>
  <c r="G103" i="135"/>
  <c r="G104" i="135"/>
  <c r="G105" i="135"/>
  <c r="G106" i="135"/>
  <c r="G107" i="135"/>
  <c r="G108" i="135"/>
  <c r="G109" i="135"/>
  <c r="G110" i="135"/>
  <c r="G111" i="135"/>
  <c r="G112" i="135"/>
  <c r="G113" i="135"/>
  <c r="G114" i="135"/>
  <c r="G115" i="135"/>
  <c r="G116" i="135"/>
  <c r="G117" i="135"/>
  <c r="G118" i="135"/>
  <c r="G119" i="135"/>
  <c r="G120" i="135"/>
  <c r="G121" i="135"/>
  <c r="G122" i="135"/>
  <c r="G123" i="135"/>
  <c r="G124" i="135"/>
  <c r="G125" i="135"/>
  <c r="G126" i="135"/>
  <c r="G127" i="135"/>
  <c r="G128" i="135"/>
  <c r="G129" i="135"/>
  <c r="G130" i="135"/>
  <c r="G131" i="135"/>
  <c r="G132" i="135"/>
  <c r="G133" i="135"/>
  <c r="G134" i="135"/>
  <c r="G135" i="135"/>
  <c r="G136" i="135"/>
  <c r="G137" i="135"/>
  <c r="G138" i="135"/>
  <c r="G139" i="135"/>
  <c r="G140" i="135"/>
  <c r="G141" i="135"/>
  <c r="G142" i="135"/>
  <c r="G143" i="135"/>
  <c r="G144" i="135"/>
  <c r="G145" i="135"/>
  <c r="G2" i="135"/>
  <c r="B6" i="96" l="1"/>
  <c r="A16" i="140" l="1"/>
  <c r="A15" i="140"/>
  <c r="A14" i="140"/>
  <c r="A13" i="140"/>
  <c r="A16" i="142"/>
  <c r="A15" i="142"/>
  <c r="A14" i="142"/>
  <c r="A13" i="142"/>
  <c r="A16" i="143"/>
  <c r="A15" i="143"/>
  <c r="A14" i="143"/>
  <c r="A13" i="143"/>
  <c r="A16" i="141"/>
  <c r="A15" i="141"/>
  <c r="A14" i="141"/>
  <c r="A13" i="141"/>
  <c r="A6" i="140"/>
  <c r="A6" i="142"/>
  <c r="J6" i="142" s="1"/>
  <c r="A6" i="143"/>
  <c r="T25" i="143" s="1"/>
  <c r="T30" i="143" s="1"/>
  <c r="A6" i="141"/>
  <c r="B8" i="140"/>
  <c r="B8" i="142"/>
  <c r="B8" i="143"/>
  <c r="B8" i="141"/>
  <c r="B15" i="140"/>
  <c r="B15" i="142"/>
  <c r="B15" i="143"/>
  <c r="B15" i="141"/>
  <c r="B16" i="140"/>
  <c r="B16" i="142"/>
  <c r="B16" i="143"/>
  <c r="B16" i="141"/>
  <c r="B14" i="140"/>
  <c r="B14" i="142"/>
  <c r="B14" i="143"/>
  <c r="B14" i="141"/>
  <c r="B13" i="140"/>
  <c r="B13" i="142"/>
  <c r="B13" i="143"/>
  <c r="B13" i="141"/>
  <c r="E13" i="141" s="1"/>
  <c r="B9" i="140"/>
  <c r="B9" i="142"/>
  <c r="B9" i="143"/>
  <c r="B9" i="141"/>
  <c r="B7" i="140"/>
  <c r="B7" i="142"/>
  <c r="B7" i="143"/>
  <c r="B7" i="141"/>
  <c r="B6" i="140"/>
  <c r="B6" i="142"/>
  <c r="B6" i="143"/>
  <c r="B6" i="141"/>
  <c r="E6" i="141" s="1"/>
  <c r="T18" i="141" s="1"/>
  <c r="CS6" i="96"/>
  <c r="CR6" i="96"/>
  <c r="CQ6" i="96"/>
  <c r="CP6" i="96"/>
  <c r="CO6" i="96"/>
  <c r="CN6" i="96"/>
  <c r="CM6" i="96"/>
  <c r="CL6" i="96"/>
  <c r="CK6" i="96"/>
  <c r="CJ6" i="96"/>
  <c r="CI6" i="96"/>
  <c r="CH6" i="96"/>
  <c r="CE6" i="96"/>
  <c r="CD6" i="96"/>
  <c r="CC6" i="96"/>
  <c r="CB6" i="96"/>
  <c r="CA6" i="96"/>
  <c r="BZ6" i="96"/>
  <c r="BY6" i="96"/>
  <c r="BX6" i="96"/>
  <c r="BW6" i="96"/>
  <c r="BV6" i="96"/>
  <c r="BU6" i="96"/>
  <c r="BT6" i="96"/>
  <c r="P19" i="143"/>
  <c r="O19" i="141"/>
  <c r="M19" i="141"/>
  <c r="N12" i="140"/>
  <c r="Q12" i="142"/>
  <c r="I12" i="142"/>
  <c r="O12" i="141"/>
  <c r="I12" i="141"/>
  <c r="G12" i="141"/>
  <c r="Q5" i="140"/>
  <c r="Q19" i="140" s="1"/>
  <c r="Q5" i="142"/>
  <c r="Q6" i="142" s="1"/>
  <c r="Q5" i="143"/>
  <c r="Q6" i="143" s="1"/>
  <c r="Q5" i="141"/>
  <c r="Q6" i="141" s="1"/>
  <c r="P5" i="140"/>
  <c r="P19" i="140" s="1"/>
  <c r="P5" i="142"/>
  <c r="P12" i="142" s="1"/>
  <c r="P14" i="142" s="1"/>
  <c r="P5" i="143"/>
  <c r="P5" i="141"/>
  <c r="O5" i="140"/>
  <c r="O6" i="140" s="1"/>
  <c r="O5" i="142"/>
  <c r="O12" i="142" s="1"/>
  <c r="O13" i="142" s="1"/>
  <c r="O5" i="143"/>
  <c r="O12" i="143" s="1"/>
  <c r="O5" i="141"/>
  <c r="N5" i="140"/>
  <c r="N6" i="140" s="1"/>
  <c r="N5" i="142"/>
  <c r="N12" i="142" s="1"/>
  <c r="N5" i="143"/>
  <c r="N12" i="143" s="1"/>
  <c r="N5" i="141"/>
  <c r="N12" i="141" s="1"/>
  <c r="M5" i="140"/>
  <c r="M19" i="140" s="1"/>
  <c r="M5" i="142"/>
  <c r="M5" i="143"/>
  <c r="M19" i="143" s="1"/>
  <c r="M5" i="141"/>
  <c r="M12" i="141" s="1"/>
  <c r="L5" i="140"/>
  <c r="L19" i="140" s="1"/>
  <c r="L5" i="142"/>
  <c r="L6" i="142" s="1"/>
  <c r="L5" i="143"/>
  <c r="L19" i="143" s="1"/>
  <c r="L5" i="141"/>
  <c r="L12" i="141" s="1"/>
  <c r="K5" i="140"/>
  <c r="K19" i="140" s="1"/>
  <c r="K5" i="142"/>
  <c r="K12" i="142" s="1"/>
  <c r="K5" i="143"/>
  <c r="K12" i="143" s="1"/>
  <c r="K5" i="141"/>
  <c r="K19" i="141" s="1"/>
  <c r="J5" i="140"/>
  <c r="J19" i="140" s="1"/>
  <c r="J5" i="142"/>
  <c r="J12" i="142" s="1"/>
  <c r="J5" i="143"/>
  <c r="J12" i="143" s="1"/>
  <c r="J5" i="141"/>
  <c r="J12" i="141" s="1"/>
  <c r="I5" i="140"/>
  <c r="I19" i="140" s="1"/>
  <c r="I5" i="142"/>
  <c r="I19" i="142" s="1"/>
  <c r="I5" i="143"/>
  <c r="I6" i="143" s="1"/>
  <c r="I5" i="141"/>
  <c r="I19" i="141" s="1"/>
  <c r="H5" i="140"/>
  <c r="H19" i="140" s="1"/>
  <c r="H5" i="142"/>
  <c r="H12" i="142" s="1"/>
  <c r="H5" i="143"/>
  <c r="H12" i="143" s="1"/>
  <c r="H13" i="143" s="1"/>
  <c r="H5" i="141"/>
  <c r="H19" i="141" s="1"/>
  <c r="G5" i="140"/>
  <c r="G6" i="140" s="1"/>
  <c r="G5" i="142"/>
  <c r="G12" i="142" s="1"/>
  <c r="G5" i="143"/>
  <c r="G12" i="143" s="1"/>
  <c r="G5" i="141"/>
  <c r="G19" i="141" s="1"/>
  <c r="F5" i="140"/>
  <c r="F12" i="140" s="1"/>
  <c r="F5" i="142"/>
  <c r="F12" i="142" s="1"/>
  <c r="F5" i="143"/>
  <c r="F12" i="143" s="1"/>
  <c r="F5" i="141"/>
  <c r="F19" i="141" s="1"/>
  <c r="L5" i="96"/>
  <c r="C5" i="96"/>
  <c r="D3" i="96"/>
  <c r="E1" i="135"/>
  <c r="D1" i="135"/>
  <c r="E1" i="138"/>
  <c r="D1" i="138"/>
  <c r="D6" i="96"/>
  <c r="BF47" i="143"/>
  <c r="BE47" i="143"/>
  <c r="BD47" i="143"/>
  <c r="BC47" i="143"/>
  <c r="BB47" i="143"/>
  <c r="BA47" i="143"/>
  <c r="AZ47" i="143"/>
  <c r="AY47" i="143"/>
  <c r="AX47" i="143"/>
  <c r="AW47" i="143"/>
  <c r="AV47" i="143"/>
  <c r="AU47" i="143"/>
  <c r="BF46" i="143"/>
  <c r="BE46" i="143"/>
  <c r="BD46" i="143"/>
  <c r="BC46" i="143"/>
  <c r="BB46" i="143"/>
  <c r="BA46" i="143"/>
  <c r="AZ46" i="143"/>
  <c r="AY46" i="143"/>
  <c r="AX46" i="143"/>
  <c r="AW46" i="143"/>
  <c r="AV46" i="143"/>
  <c r="AU46" i="143"/>
  <c r="AH46" i="143"/>
  <c r="BF45" i="143"/>
  <c r="BE45" i="143"/>
  <c r="BD45" i="143"/>
  <c r="BC45" i="143"/>
  <c r="BB45" i="143"/>
  <c r="BA45" i="143"/>
  <c r="AZ45" i="143"/>
  <c r="AY45" i="143"/>
  <c r="AX45" i="143"/>
  <c r="AW45" i="143"/>
  <c r="AV45" i="143"/>
  <c r="AU45" i="143"/>
  <c r="AH45" i="143"/>
  <c r="BF44" i="143"/>
  <c r="BE44" i="143"/>
  <c r="BD44" i="143"/>
  <c r="BC44" i="143"/>
  <c r="BB44" i="143"/>
  <c r="BA44" i="143"/>
  <c r="AZ44" i="143"/>
  <c r="AY44" i="143"/>
  <c r="AX44" i="143"/>
  <c r="AW44" i="143"/>
  <c r="AV44" i="143"/>
  <c r="AU44" i="143"/>
  <c r="AH44" i="143"/>
  <c r="AH43" i="143"/>
  <c r="X34" i="143"/>
  <c r="W34" i="143"/>
  <c r="V34" i="143"/>
  <c r="U34" i="143"/>
  <c r="BF29" i="143"/>
  <c r="BE29" i="143"/>
  <c r="BD29" i="143"/>
  <c r="BC29" i="143"/>
  <c r="BB29" i="143"/>
  <c r="BA29" i="143"/>
  <c r="AZ29" i="143"/>
  <c r="AY29" i="143"/>
  <c r="AX29" i="143"/>
  <c r="AW29" i="143"/>
  <c r="AV29" i="143"/>
  <c r="AU29" i="143"/>
  <c r="X29" i="143"/>
  <c r="W29" i="143"/>
  <c r="V29" i="143"/>
  <c r="U29" i="143"/>
  <c r="BF28" i="143"/>
  <c r="BE28" i="143"/>
  <c r="BD28" i="143"/>
  <c r="BC28" i="143"/>
  <c r="BB28" i="143"/>
  <c r="BA28" i="143"/>
  <c r="AZ28" i="143"/>
  <c r="AY28" i="143"/>
  <c r="AX28" i="143"/>
  <c r="AW28" i="143"/>
  <c r="AV28" i="143"/>
  <c r="AU28" i="143"/>
  <c r="AH28" i="143"/>
  <c r="BF27" i="143"/>
  <c r="BE27" i="143"/>
  <c r="BD27" i="143"/>
  <c r="BC27" i="143"/>
  <c r="BB27" i="143"/>
  <c r="BA27" i="143"/>
  <c r="AZ27" i="143"/>
  <c r="AY27" i="143"/>
  <c r="AX27" i="143"/>
  <c r="AW27" i="143"/>
  <c r="AV27" i="143"/>
  <c r="AU27" i="143"/>
  <c r="AH27" i="143"/>
  <c r="BF26" i="143"/>
  <c r="BE26" i="143"/>
  <c r="BD26" i="143"/>
  <c r="BC26" i="143"/>
  <c r="BB26" i="143"/>
  <c r="BA26" i="143"/>
  <c r="AZ26" i="143"/>
  <c r="AY26" i="143"/>
  <c r="AX26" i="143"/>
  <c r="AW26" i="143"/>
  <c r="AV26" i="143"/>
  <c r="AU26" i="143"/>
  <c r="AH26" i="143"/>
  <c r="AH25" i="143"/>
  <c r="X24" i="143"/>
  <c r="W24" i="143"/>
  <c r="V24" i="143"/>
  <c r="U24" i="143"/>
  <c r="E24" i="143"/>
  <c r="X17" i="143"/>
  <c r="W17" i="143"/>
  <c r="V17" i="143"/>
  <c r="U17" i="143"/>
  <c r="AW13" i="143"/>
  <c r="AX13" i="143" s="1"/>
  <c r="AY13" i="143" s="1"/>
  <c r="AZ13" i="143" s="1"/>
  <c r="BA13" i="143" s="1"/>
  <c r="BB13" i="143" s="1"/>
  <c r="BC13" i="143" s="1"/>
  <c r="BD13" i="143" s="1"/>
  <c r="BE13" i="143" s="1"/>
  <c r="BF13" i="143" s="1"/>
  <c r="BG13" i="143" s="1"/>
  <c r="BH13" i="143" s="1"/>
  <c r="BI13" i="143" s="1"/>
  <c r="BJ13" i="143" s="1"/>
  <c r="BK13" i="143" s="1"/>
  <c r="BL13" i="143" s="1"/>
  <c r="BM13" i="143" s="1"/>
  <c r="BN13" i="143" s="1"/>
  <c r="BO13" i="143" s="1"/>
  <c r="BP13" i="143" s="1"/>
  <c r="BQ13" i="143" s="1"/>
  <c r="BR13" i="143" s="1"/>
  <c r="T13" i="143"/>
  <c r="BC12" i="143"/>
  <c r="BD12" i="143" s="1"/>
  <c r="BE12" i="143" s="1"/>
  <c r="BF12" i="143" s="1"/>
  <c r="BG12" i="143" s="1"/>
  <c r="BH12" i="143" s="1"/>
  <c r="BI12" i="143" s="1"/>
  <c r="BJ12" i="143" s="1"/>
  <c r="BK12" i="143" s="1"/>
  <c r="BL12" i="143" s="1"/>
  <c r="BM12" i="143" s="1"/>
  <c r="BN12" i="143" s="1"/>
  <c r="BO12" i="143" s="1"/>
  <c r="BP12" i="143" s="1"/>
  <c r="BQ12" i="143" s="1"/>
  <c r="BR12" i="143" s="1"/>
  <c r="X12" i="143"/>
  <c r="W12" i="143"/>
  <c r="V12" i="143"/>
  <c r="A9" i="143"/>
  <c r="A8" i="143"/>
  <c r="A7" i="143"/>
  <c r="T6" i="143"/>
  <c r="X5" i="143"/>
  <c r="W5" i="143"/>
  <c r="T5" i="143"/>
  <c r="BF47" i="142"/>
  <c r="BE47" i="142"/>
  <c r="BD47" i="142"/>
  <c r="BC47" i="142"/>
  <c r="BB47" i="142"/>
  <c r="BA47" i="142"/>
  <c r="AZ47" i="142"/>
  <c r="AY47" i="142"/>
  <c r="AX47" i="142"/>
  <c r="AW47" i="142"/>
  <c r="AV47" i="142"/>
  <c r="AU47" i="142"/>
  <c r="BF46" i="142"/>
  <c r="BE46" i="142"/>
  <c r="BD46" i="142"/>
  <c r="BC46" i="142"/>
  <c r="BB46" i="142"/>
  <c r="BA46" i="142"/>
  <c r="AZ46" i="142"/>
  <c r="AY46" i="142"/>
  <c r="AX46" i="142"/>
  <c r="AW46" i="142"/>
  <c r="AV46" i="142"/>
  <c r="AU46" i="142"/>
  <c r="AH46" i="142"/>
  <c r="BF45" i="142"/>
  <c r="BE45" i="142"/>
  <c r="BD45" i="142"/>
  <c r="BC45" i="142"/>
  <c r="BB45" i="142"/>
  <c r="BA45" i="142"/>
  <c r="AZ45" i="142"/>
  <c r="AY45" i="142"/>
  <c r="AX45" i="142"/>
  <c r="AW45" i="142"/>
  <c r="AV45" i="142"/>
  <c r="AU45" i="142"/>
  <c r="AH45" i="142"/>
  <c r="BF44" i="142"/>
  <c r="BE44" i="142"/>
  <c r="BD44" i="142"/>
  <c r="BC44" i="142"/>
  <c r="BB44" i="142"/>
  <c r="BA44" i="142"/>
  <c r="AZ44" i="142"/>
  <c r="AY44" i="142"/>
  <c r="AX44" i="142"/>
  <c r="AW44" i="142"/>
  <c r="AV44" i="142"/>
  <c r="AU44" i="142"/>
  <c r="AH44" i="142"/>
  <c r="AH43" i="142"/>
  <c r="X34" i="142"/>
  <c r="W34" i="142"/>
  <c r="V34" i="142"/>
  <c r="U34" i="142"/>
  <c r="BF29" i="142"/>
  <c r="BE29" i="142"/>
  <c r="BD29" i="142"/>
  <c r="BC29" i="142"/>
  <c r="BB29" i="142"/>
  <c r="BA29" i="142"/>
  <c r="AZ29" i="142"/>
  <c r="AY29" i="142"/>
  <c r="AX29" i="142"/>
  <c r="AW29" i="142"/>
  <c r="AV29" i="142"/>
  <c r="AU29" i="142"/>
  <c r="X29" i="142"/>
  <c r="W29" i="142"/>
  <c r="V29" i="142"/>
  <c r="U29" i="142"/>
  <c r="BF28" i="142"/>
  <c r="BE28" i="142"/>
  <c r="BD28" i="142"/>
  <c r="BC28" i="142"/>
  <c r="BB28" i="142"/>
  <c r="BA28" i="142"/>
  <c r="AZ28" i="142"/>
  <c r="AY28" i="142"/>
  <c r="AX28" i="142"/>
  <c r="AW28" i="142"/>
  <c r="AV28" i="142"/>
  <c r="AU28" i="142"/>
  <c r="AH28" i="142"/>
  <c r="BF27" i="142"/>
  <c r="BE27" i="142"/>
  <c r="BD27" i="142"/>
  <c r="BC27" i="142"/>
  <c r="BB27" i="142"/>
  <c r="BA27" i="142"/>
  <c r="AZ27" i="142"/>
  <c r="AY27" i="142"/>
  <c r="AX27" i="142"/>
  <c r="AW27" i="142"/>
  <c r="AV27" i="142"/>
  <c r="AU27" i="142"/>
  <c r="AH27" i="142"/>
  <c r="BF26" i="142"/>
  <c r="BE26" i="142"/>
  <c r="BD26" i="142"/>
  <c r="BC26" i="142"/>
  <c r="BB26" i="142"/>
  <c r="BA26" i="142"/>
  <c r="AZ26" i="142"/>
  <c r="AY26" i="142"/>
  <c r="AX26" i="142"/>
  <c r="AW26" i="142"/>
  <c r="AV26" i="142"/>
  <c r="AU26" i="142"/>
  <c r="AH26" i="142"/>
  <c r="AH25" i="142"/>
  <c r="Z25" i="142"/>
  <c r="Z30" i="142" s="1"/>
  <c r="T25" i="142"/>
  <c r="T30" i="142" s="1"/>
  <c r="X24" i="142"/>
  <c r="W24" i="142"/>
  <c r="V24" i="142"/>
  <c r="U24" i="142"/>
  <c r="E24" i="142"/>
  <c r="X17" i="142"/>
  <c r="W17" i="142"/>
  <c r="V17" i="142"/>
  <c r="U17" i="142"/>
  <c r="AW13" i="142"/>
  <c r="AX13" i="142" s="1"/>
  <c r="AY13" i="142" s="1"/>
  <c r="AZ13" i="142" s="1"/>
  <c r="BA13" i="142" s="1"/>
  <c r="BB13" i="142" s="1"/>
  <c r="BC13" i="142" s="1"/>
  <c r="BD13" i="142" s="1"/>
  <c r="BE13" i="142" s="1"/>
  <c r="BF13" i="142" s="1"/>
  <c r="BG13" i="142" s="1"/>
  <c r="BH13" i="142" s="1"/>
  <c r="BI13" i="142" s="1"/>
  <c r="BJ13" i="142" s="1"/>
  <c r="BK13" i="142" s="1"/>
  <c r="BL13" i="142" s="1"/>
  <c r="BM13" i="142" s="1"/>
  <c r="BN13" i="142" s="1"/>
  <c r="BO13" i="142" s="1"/>
  <c r="BP13" i="142" s="1"/>
  <c r="BQ13" i="142" s="1"/>
  <c r="BR13" i="142" s="1"/>
  <c r="T13" i="142"/>
  <c r="BC12" i="142"/>
  <c r="BD12" i="142" s="1"/>
  <c r="BE12" i="142" s="1"/>
  <c r="BF12" i="142" s="1"/>
  <c r="BG12" i="142" s="1"/>
  <c r="BH12" i="142" s="1"/>
  <c r="BI12" i="142" s="1"/>
  <c r="BJ12" i="142" s="1"/>
  <c r="BK12" i="142" s="1"/>
  <c r="BL12" i="142" s="1"/>
  <c r="BM12" i="142" s="1"/>
  <c r="BN12" i="142" s="1"/>
  <c r="BO12" i="142" s="1"/>
  <c r="BP12" i="142" s="1"/>
  <c r="BQ12" i="142" s="1"/>
  <c r="BR12" i="142" s="1"/>
  <c r="X12" i="142"/>
  <c r="W12" i="142"/>
  <c r="V12" i="142"/>
  <c r="A9" i="142"/>
  <c r="P9" i="142" s="1"/>
  <c r="A8" i="142"/>
  <c r="A7" i="142"/>
  <c r="T6" i="142"/>
  <c r="O6" i="142"/>
  <c r="N6" i="142"/>
  <c r="K6" i="142"/>
  <c r="H6" i="142"/>
  <c r="G6" i="142"/>
  <c r="F6" i="142"/>
  <c r="E6" i="142"/>
  <c r="T18" i="142" s="1"/>
  <c r="X5" i="142"/>
  <c r="W5" i="142"/>
  <c r="T5" i="142"/>
  <c r="BF47" i="141"/>
  <c r="BE47" i="141"/>
  <c r="BD47" i="141"/>
  <c r="BC47" i="141"/>
  <c r="BB47" i="141"/>
  <c r="BA47" i="141"/>
  <c r="AZ47" i="141"/>
  <c r="AY47" i="141"/>
  <c r="AX47" i="141"/>
  <c r="AW47" i="141"/>
  <c r="AV47" i="141"/>
  <c r="AU47" i="141"/>
  <c r="BF46" i="141"/>
  <c r="BE46" i="141"/>
  <c r="BD46" i="141"/>
  <c r="BC46" i="141"/>
  <c r="BB46" i="141"/>
  <c r="BA46" i="141"/>
  <c r="AZ46" i="141"/>
  <c r="AY46" i="141"/>
  <c r="AX46" i="141"/>
  <c r="AW46" i="141"/>
  <c r="AV46" i="141"/>
  <c r="AU46" i="141"/>
  <c r="AH46" i="141"/>
  <c r="BF45" i="141"/>
  <c r="BE45" i="141"/>
  <c r="BD45" i="141"/>
  <c r="BC45" i="141"/>
  <c r="BB45" i="141"/>
  <c r="BA45" i="141"/>
  <c r="AZ45" i="141"/>
  <c r="AY45" i="141"/>
  <c r="AX45" i="141"/>
  <c r="AW45" i="141"/>
  <c r="AV45" i="141"/>
  <c r="AU45" i="141"/>
  <c r="AH45" i="141"/>
  <c r="BF44" i="141"/>
  <c r="BE44" i="141"/>
  <c r="BD44" i="141"/>
  <c r="BC44" i="141"/>
  <c r="BB44" i="141"/>
  <c r="BA44" i="141"/>
  <c r="AZ44" i="141"/>
  <c r="AY44" i="141"/>
  <c r="AX44" i="141"/>
  <c r="AW44" i="141"/>
  <c r="AV44" i="141"/>
  <c r="AU44" i="141"/>
  <c r="AH44" i="141"/>
  <c r="AH43" i="141"/>
  <c r="X34" i="141"/>
  <c r="W34" i="141"/>
  <c r="V34" i="141"/>
  <c r="U34" i="141"/>
  <c r="BF29" i="141"/>
  <c r="BE29" i="141"/>
  <c r="BD29" i="141"/>
  <c r="BC29" i="141"/>
  <c r="BB29" i="141"/>
  <c r="BA29" i="141"/>
  <c r="AZ29" i="141"/>
  <c r="AY29" i="141"/>
  <c r="AX29" i="141"/>
  <c r="AW29" i="141"/>
  <c r="AV29" i="141"/>
  <c r="AU29" i="141"/>
  <c r="X29" i="141"/>
  <c r="W29" i="141"/>
  <c r="V29" i="141"/>
  <c r="U29" i="141"/>
  <c r="BF28" i="141"/>
  <c r="BE28" i="141"/>
  <c r="BD28" i="141"/>
  <c r="BC28" i="141"/>
  <c r="BB28" i="141"/>
  <c r="BA28" i="141"/>
  <c r="AZ28" i="141"/>
  <c r="AY28" i="141"/>
  <c r="AX28" i="141"/>
  <c r="AW28" i="141"/>
  <c r="AV28" i="141"/>
  <c r="AU28" i="141"/>
  <c r="AH28" i="141"/>
  <c r="BF27" i="141"/>
  <c r="BE27" i="141"/>
  <c r="BD27" i="141"/>
  <c r="BC27" i="141"/>
  <c r="BB27" i="141"/>
  <c r="BA27" i="141"/>
  <c r="AZ27" i="141"/>
  <c r="AY27" i="141"/>
  <c r="AX27" i="141"/>
  <c r="AW27" i="141"/>
  <c r="AV27" i="141"/>
  <c r="AU27" i="141"/>
  <c r="AH27" i="141"/>
  <c r="BF26" i="141"/>
  <c r="BE26" i="141"/>
  <c r="BD26" i="141"/>
  <c r="BC26" i="141"/>
  <c r="BB26" i="141"/>
  <c r="BA26" i="141"/>
  <c r="AZ26" i="141"/>
  <c r="AY26" i="141"/>
  <c r="AX26" i="141"/>
  <c r="AW26" i="141"/>
  <c r="AV26" i="141"/>
  <c r="AU26" i="141"/>
  <c r="AH26" i="141"/>
  <c r="AH25" i="141"/>
  <c r="X24" i="141"/>
  <c r="W24" i="141"/>
  <c r="V24" i="141"/>
  <c r="U24" i="141"/>
  <c r="E24" i="141"/>
  <c r="X17" i="141"/>
  <c r="W17" i="141"/>
  <c r="V17" i="141"/>
  <c r="U17" i="141"/>
  <c r="O16" i="141"/>
  <c r="AW13" i="141"/>
  <c r="AX13" i="141" s="1"/>
  <c r="AY13" i="141" s="1"/>
  <c r="AZ13" i="141" s="1"/>
  <c r="BA13" i="141" s="1"/>
  <c r="BB13" i="141" s="1"/>
  <c r="BC13" i="141" s="1"/>
  <c r="BD13" i="141" s="1"/>
  <c r="BE13" i="141" s="1"/>
  <c r="BF13" i="141" s="1"/>
  <c r="BG13" i="141" s="1"/>
  <c r="BH13" i="141" s="1"/>
  <c r="BI13" i="141" s="1"/>
  <c r="BJ13" i="141" s="1"/>
  <c r="BK13" i="141" s="1"/>
  <c r="BL13" i="141" s="1"/>
  <c r="BM13" i="141" s="1"/>
  <c r="BN13" i="141" s="1"/>
  <c r="BO13" i="141" s="1"/>
  <c r="BP13" i="141" s="1"/>
  <c r="BQ13" i="141" s="1"/>
  <c r="BR13" i="141" s="1"/>
  <c r="T13" i="141"/>
  <c r="I13" i="141"/>
  <c r="BC12" i="141"/>
  <c r="BD12" i="141" s="1"/>
  <c r="BE12" i="141" s="1"/>
  <c r="BF12" i="141" s="1"/>
  <c r="BG12" i="141" s="1"/>
  <c r="BH12" i="141" s="1"/>
  <c r="BI12" i="141" s="1"/>
  <c r="BJ12" i="141" s="1"/>
  <c r="BK12" i="141" s="1"/>
  <c r="BL12" i="141" s="1"/>
  <c r="BM12" i="141" s="1"/>
  <c r="BN12" i="141" s="1"/>
  <c r="BO12" i="141" s="1"/>
  <c r="BP12" i="141" s="1"/>
  <c r="BQ12" i="141" s="1"/>
  <c r="BR12" i="141" s="1"/>
  <c r="X12" i="141"/>
  <c r="W12" i="141"/>
  <c r="V12" i="141"/>
  <c r="A9" i="141"/>
  <c r="A8" i="141"/>
  <c r="A7" i="141"/>
  <c r="T6" i="141"/>
  <c r="X5" i="141"/>
  <c r="W5" i="141"/>
  <c r="T5" i="141"/>
  <c r="B8" i="96"/>
  <c r="B9" i="96"/>
  <c r="B10" i="96"/>
  <c r="B11" i="96"/>
  <c r="B12" i="96"/>
  <c r="B13" i="96"/>
  <c r="B14" i="96"/>
  <c r="B15" i="96"/>
  <c r="B16" i="96"/>
  <c r="B17" i="96"/>
  <c r="B18" i="96"/>
  <c r="B19" i="96"/>
  <c r="B20" i="96"/>
  <c r="B21" i="96"/>
  <c r="B22" i="96"/>
  <c r="B23" i="96"/>
  <c r="B24" i="96"/>
  <c r="W6" i="96"/>
  <c r="B7" i="96"/>
  <c r="Z25" i="140"/>
  <c r="T25" i="140"/>
  <c r="H6" i="140"/>
  <c r="I6" i="140"/>
  <c r="K6" i="140"/>
  <c r="Q6" i="140"/>
  <c r="E6" i="140"/>
  <c r="T18" i="140" s="1"/>
  <c r="M15" i="141" l="1"/>
  <c r="M13" i="141"/>
  <c r="K12" i="141"/>
  <c r="K16" i="141" s="1"/>
  <c r="N13" i="140"/>
  <c r="N20" i="140" s="1"/>
  <c r="P6" i="140"/>
  <c r="X18" i="140" s="1"/>
  <c r="K6" i="143"/>
  <c r="K13" i="142"/>
  <c r="P6" i="142"/>
  <c r="P12" i="140"/>
  <c r="F19" i="140"/>
  <c r="M6" i="140"/>
  <c r="W18" i="140" s="1"/>
  <c r="K6" i="141"/>
  <c r="I6" i="142"/>
  <c r="F7" i="142"/>
  <c r="L6" i="143"/>
  <c r="J15" i="143"/>
  <c r="P6" i="141"/>
  <c r="N19" i="140"/>
  <c r="L6" i="140"/>
  <c r="O8" i="142"/>
  <c r="O6" i="143"/>
  <c r="G13" i="142"/>
  <c r="G20" i="142" s="1"/>
  <c r="M6" i="142"/>
  <c r="W18" i="142" s="1"/>
  <c r="P6" i="143"/>
  <c r="P12" i="143"/>
  <c r="P13" i="143" s="1"/>
  <c r="J6" i="140"/>
  <c r="L12" i="143"/>
  <c r="L13" i="143" s="1"/>
  <c r="J19" i="141"/>
  <c r="F19" i="143"/>
  <c r="N19" i="143"/>
  <c r="J19" i="142"/>
  <c r="N13" i="142"/>
  <c r="U22" i="96"/>
  <c r="W22" i="96"/>
  <c r="V22" i="96"/>
  <c r="U14" i="96"/>
  <c r="W14" i="96"/>
  <c r="V14" i="96"/>
  <c r="W21" i="96"/>
  <c r="U21" i="96"/>
  <c r="V21" i="96"/>
  <c r="W13" i="96"/>
  <c r="V13" i="96"/>
  <c r="U13" i="96"/>
  <c r="F6" i="143"/>
  <c r="H12" i="141"/>
  <c r="H13" i="141" s="1"/>
  <c r="P12" i="141"/>
  <c r="P13" i="141" s="1"/>
  <c r="P20" i="141" s="1"/>
  <c r="M12" i="143"/>
  <c r="M13" i="143" s="1"/>
  <c r="AC18" i="143" s="1"/>
  <c r="G12" i="140"/>
  <c r="G13" i="140" s="1"/>
  <c r="O12" i="140"/>
  <c r="G19" i="143"/>
  <c r="O19" i="143"/>
  <c r="K19" i="142"/>
  <c r="G19" i="140"/>
  <c r="O19" i="140"/>
  <c r="G6" i="143"/>
  <c r="Q12" i="141"/>
  <c r="Q13" i="141" s="1"/>
  <c r="H12" i="140"/>
  <c r="H13" i="140" s="1"/>
  <c r="L19" i="141"/>
  <c r="H19" i="143"/>
  <c r="L19" i="142"/>
  <c r="L12" i="142"/>
  <c r="L16" i="142" s="1"/>
  <c r="I12" i="140"/>
  <c r="Q12" i="140"/>
  <c r="Q13" i="140" s="1"/>
  <c r="I19" i="143"/>
  <c r="Q19" i="143"/>
  <c r="M19" i="142"/>
  <c r="W20" i="96"/>
  <c r="V20" i="96"/>
  <c r="U20" i="96"/>
  <c r="W12" i="96"/>
  <c r="AD12" i="96" s="1"/>
  <c r="V12" i="96"/>
  <c r="U12" i="96"/>
  <c r="F12" i="141"/>
  <c r="F13" i="141" s="1"/>
  <c r="M12" i="142"/>
  <c r="M13" i="142" s="1"/>
  <c r="M20" i="142" s="1"/>
  <c r="J12" i="140"/>
  <c r="J13" i="140" s="1"/>
  <c r="J20" i="140" s="1"/>
  <c r="N19" i="141"/>
  <c r="J19" i="143"/>
  <c r="F19" i="142"/>
  <c r="N19" i="142"/>
  <c r="J6" i="141"/>
  <c r="O13" i="143"/>
  <c r="O20" i="143" s="1"/>
  <c r="V19" i="96"/>
  <c r="AA19" i="96" s="1"/>
  <c r="U19" i="96"/>
  <c r="W19" i="96"/>
  <c r="AC19" i="96" s="1"/>
  <c r="V11" i="96"/>
  <c r="U11" i="96"/>
  <c r="W11" i="96"/>
  <c r="I12" i="143"/>
  <c r="I16" i="143" s="1"/>
  <c r="Q12" i="143"/>
  <c r="K12" i="140"/>
  <c r="K19" i="143"/>
  <c r="G19" i="142"/>
  <c r="O19" i="142"/>
  <c r="N6" i="143"/>
  <c r="W17" i="96"/>
  <c r="V17" i="96"/>
  <c r="U17" i="96"/>
  <c r="W9" i="96"/>
  <c r="V9" i="96"/>
  <c r="U9" i="96"/>
  <c r="L12" i="140"/>
  <c r="L13" i="140" s="1"/>
  <c r="P19" i="141"/>
  <c r="H19" i="142"/>
  <c r="P19" i="142"/>
  <c r="W7" i="96"/>
  <c r="V7" i="96"/>
  <c r="U7" i="96"/>
  <c r="U18" i="96"/>
  <c r="W18" i="96"/>
  <c r="V18" i="96"/>
  <c r="AD10" i="96"/>
  <c r="V10" i="96"/>
  <c r="AA10" i="96" s="1"/>
  <c r="W10" i="96"/>
  <c r="Y10" i="96" s="1"/>
  <c r="U10" i="96"/>
  <c r="W24" i="96"/>
  <c r="V24" i="96"/>
  <c r="U24" i="96"/>
  <c r="W16" i="96"/>
  <c r="V16" i="96"/>
  <c r="U16" i="96"/>
  <c r="W8" i="96"/>
  <c r="V8" i="96"/>
  <c r="U8" i="96"/>
  <c r="F6" i="140"/>
  <c r="F20" i="140" s="1"/>
  <c r="V23" i="96"/>
  <c r="U23" i="96"/>
  <c r="W23" i="96"/>
  <c r="W15" i="96"/>
  <c r="AB15" i="96" s="1"/>
  <c r="V15" i="96"/>
  <c r="U15" i="96"/>
  <c r="M12" i="140"/>
  <c r="M13" i="140" s="1"/>
  <c r="Q19" i="141"/>
  <c r="Q19" i="142"/>
  <c r="N24" i="96"/>
  <c r="M23" i="96"/>
  <c r="L22" i="96"/>
  <c r="N20" i="96"/>
  <c r="M19" i="96"/>
  <c r="L18" i="96"/>
  <c r="N16" i="96"/>
  <c r="M15" i="96"/>
  <c r="L14" i="96"/>
  <c r="N12" i="96"/>
  <c r="M11" i="96"/>
  <c r="N22" i="96"/>
  <c r="M21" i="96"/>
  <c r="N18" i="96"/>
  <c r="L16" i="96"/>
  <c r="M13" i="96"/>
  <c r="M22" i="96"/>
  <c r="N19" i="96"/>
  <c r="M18" i="96"/>
  <c r="N15" i="96"/>
  <c r="L13" i="96"/>
  <c r="M24" i="96"/>
  <c r="L23" i="96"/>
  <c r="N21" i="96"/>
  <c r="M20" i="96"/>
  <c r="L19" i="96"/>
  <c r="N17" i="96"/>
  <c r="M16" i="96"/>
  <c r="L15" i="96"/>
  <c r="N13" i="96"/>
  <c r="M12" i="96"/>
  <c r="L11" i="96"/>
  <c r="L24" i="96"/>
  <c r="L20" i="96"/>
  <c r="M17" i="96"/>
  <c r="N14" i="96"/>
  <c r="L12" i="96"/>
  <c r="N23" i="96"/>
  <c r="L21" i="96"/>
  <c r="L17" i="96"/>
  <c r="M14" i="96"/>
  <c r="N11" i="96"/>
  <c r="E3" i="96"/>
  <c r="L10" i="96"/>
  <c r="N8" i="96"/>
  <c r="M7" i="96"/>
  <c r="N9" i="96"/>
  <c r="M8" i="96"/>
  <c r="L7" i="96"/>
  <c r="N10" i="96"/>
  <c r="M9" i="96"/>
  <c r="L8" i="96"/>
  <c r="M10" i="96"/>
  <c r="L9" i="96"/>
  <c r="N7" i="96"/>
  <c r="F13" i="143"/>
  <c r="F20" i="143" s="1"/>
  <c r="K13" i="143"/>
  <c r="K20" i="143" s="1"/>
  <c r="E13" i="140"/>
  <c r="E20" i="140" s="1"/>
  <c r="J13" i="141"/>
  <c r="N13" i="141"/>
  <c r="H13" i="142"/>
  <c r="H20" i="142" s="1"/>
  <c r="L13" i="142"/>
  <c r="P13" i="142"/>
  <c r="P20" i="142" s="1"/>
  <c r="G13" i="143"/>
  <c r="E13" i="143"/>
  <c r="Z18" i="143" s="1"/>
  <c r="P13" i="140"/>
  <c r="P20" i="140" s="1"/>
  <c r="K13" i="140"/>
  <c r="K20" i="140" s="1"/>
  <c r="F13" i="140"/>
  <c r="G13" i="141"/>
  <c r="K13" i="141"/>
  <c r="O13" i="141"/>
  <c r="E13" i="142"/>
  <c r="E20" i="142" s="1"/>
  <c r="I13" i="142"/>
  <c r="I20" i="142" s="1"/>
  <c r="Q13" i="142"/>
  <c r="Q20" i="142" s="1"/>
  <c r="N13" i="143"/>
  <c r="O13" i="140"/>
  <c r="I13" i="140"/>
  <c r="AB18" i="140" s="1"/>
  <c r="L13" i="141"/>
  <c r="F13" i="142"/>
  <c r="J13" i="142"/>
  <c r="J13" i="143"/>
  <c r="N6" i="141"/>
  <c r="N20" i="141" s="1"/>
  <c r="T25" i="141"/>
  <c r="T30" i="141" s="1"/>
  <c r="H6" i="141"/>
  <c r="O6" i="141"/>
  <c r="Z25" i="141"/>
  <c r="Z30" i="141" s="1"/>
  <c r="H6" i="143"/>
  <c r="H20" i="143" s="1"/>
  <c r="M6" i="143"/>
  <c r="Z25" i="143"/>
  <c r="Z30" i="143" s="1"/>
  <c r="E6" i="143"/>
  <c r="T18" i="143" s="1"/>
  <c r="J6" i="143"/>
  <c r="F6" i="141"/>
  <c r="G6" i="141"/>
  <c r="I6" i="141"/>
  <c r="I20" i="141" s="1"/>
  <c r="L6" i="141"/>
  <c r="M6" i="141"/>
  <c r="K14" i="141"/>
  <c r="P9" i="143"/>
  <c r="F9" i="141"/>
  <c r="Z7" i="142"/>
  <c r="T7" i="142" s="1"/>
  <c r="Z8" i="142"/>
  <c r="Z7" i="141"/>
  <c r="T7" i="141" s="1"/>
  <c r="Z8" i="141"/>
  <c r="Z7" i="143"/>
  <c r="Z8" i="143"/>
  <c r="K20" i="141"/>
  <c r="G9" i="143"/>
  <c r="E8" i="142"/>
  <c r="T20" i="142" s="1"/>
  <c r="T36" i="142" s="1"/>
  <c r="F14" i="142"/>
  <c r="F21" i="142" s="1"/>
  <c r="AB10" i="96"/>
  <c r="AB14" i="96"/>
  <c r="V18" i="142"/>
  <c r="U18" i="142"/>
  <c r="N20" i="143"/>
  <c r="K20" i="142"/>
  <c r="O20" i="142"/>
  <c r="G14" i="142"/>
  <c r="T7" i="143"/>
  <c r="F14" i="143"/>
  <c r="K9" i="141"/>
  <c r="I7" i="142"/>
  <c r="J14" i="143"/>
  <c r="J9" i="141"/>
  <c r="Y14" i="96"/>
  <c r="J14" i="141"/>
  <c r="J7" i="142"/>
  <c r="M14" i="142"/>
  <c r="E16" i="142"/>
  <c r="Z21" i="142" s="1"/>
  <c r="Z37" i="142" s="1"/>
  <c r="Y21" i="96"/>
  <c r="O14" i="142"/>
  <c r="Q7" i="142"/>
  <c r="J8" i="142"/>
  <c r="J14" i="142"/>
  <c r="Q14" i="142"/>
  <c r="J16" i="142"/>
  <c r="J17" i="142" s="1"/>
  <c r="M9" i="143"/>
  <c r="K14" i="143"/>
  <c r="E14" i="142"/>
  <c r="E21" i="142" s="1"/>
  <c r="K14" i="142"/>
  <c r="T8" i="143"/>
  <c r="E14" i="143"/>
  <c r="E21" i="143" s="1"/>
  <c r="N8" i="141"/>
  <c r="O8" i="141"/>
  <c r="Q15" i="142"/>
  <c r="H15" i="142"/>
  <c r="P15" i="142"/>
  <c r="E15" i="142"/>
  <c r="Z20" i="142" s="1"/>
  <c r="Z36" i="142" s="1"/>
  <c r="G8" i="141"/>
  <c r="N14" i="141"/>
  <c r="F14" i="141"/>
  <c r="O14" i="141"/>
  <c r="I15" i="142"/>
  <c r="P16" i="142"/>
  <c r="H16" i="142"/>
  <c r="H17" i="142" s="1"/>
  <c r="M16" i="142"/>
  <c r="F16" i="142"/>
  <c r="F17" i="142" s="1"/>
  <c r="Q16" i="142"/>
  <c r="Q7" i="143"/>
  <c r="M7" i="143"/>
  <c r="E7" i="143"/>
  <c r="T19" i="143" s="1"/>
  <c r="T35" i="143" s="1"/>
  <c r="P15" i="143"/>
  <c r="Q15" i="143"/>
  <c r="I15" i="143"/>
  <c r="N15" i="143"/>
  <c r="F15" i="143"/>
  <c r="E15" i="143"/>
  <c r="Z20" i="143" s="1"/>
  <c r="Z36" i="143" s="1"/>
  <c r="K8" i="141"/>
  <c r="Q9" i="141"/>
  <c r="O9" i="141"/>
  <c r="O23" i="141" s="1"/>
  <c r="G9" i="141"/>
  <c r="N9" i="141"/>
  <c r="G14" i="141"/>
  <c r="N16" i="141"/>
  <c r="G16" i="141"/>
  <c r="G17" i="141" s="1"/>
  <c r="O7" i="142"/>
  <c r="M7" i="142"/>
  <c r="E7" i="142"/>
  <c r="T19" i="142" s="1"/>
  <c r="T35" i="142" s="1"/>
  <c r="N7" i="142"/>
  <c r="M15" i="142"/>
  <c r="K16" i="143"/>
  <c r="K17" i="143" s="1"/>
  <c r="I9" i="143"/>
  <c r="N9" i="143"/>
  <c r="F16" i="143"/>
  <c r="N16" i="143"/>
  <c r="I14" i="142"/>
  <c r="N14" i="142"/>
  <c r="E9" i="143"/>
  <c r="T21" i="143" s="1"/>
  <c r="T37" i="143" s="1"/>
  <c r="J9" i="143"/>
  <c r="O9" i="143"/>
  <c r="G14" i="143"/>
  <c r="N14" i="143"/>
  <c r="G16" i="143"/>
  <c r="O16" i="143"/>
  <c r="F9" i="143"/>
  <c r="K9" i="143"/>
  <c r="Q9" i="143"/>
  <c r="I14" i="143"/>
  <c r="O14" i="143"/>
  <c r="J16" i="143"/>
  <c r="J17" i="143" s="1"/>
  <c r="N8" i="143"/>
  <c r="J8" i="143"/>
  <c r="J22" i="143" s="1"/>
  <c r="F8" i="143"/>
  <c r="Q8" i="143"/>
  <c r="M8" i="143"/>
  <c r="I8" i="143"/>
  <c r="E8" i="143"/>
  <c r="T20" i="143" s="1"/>
  <c r="T36" i="143" s="1"/>
  <c r="L8" i="143"/>
  <c r="P20" i="143"/>
  <c r="X18" i="143"/>
  <c r="H7" i="143"/>
  <c r="P7" i="143"/>
  <c r="G8" i="143"/>
  <c r="O8" i="143"/>
  <c r="I7" i="143"/>
  <c r="H8" i="143"/>
  <c r="P8" i="143"/>
  <c r="Z32" i="143"/>
  <c r="T32" i="143"/>
  <c r="T27" i="143"/>
  <c r="T26" i="143"/>
  <c r="T31" i="143" s="1"/>
  <c r="O7" i="143"/>
  <c r="K7" i="143"/>
  <c r="G7" i="143"/>
  <c r="Z27" i="143"/>
  <c r="N7" i="143"/>
  <c r="J7" i="143"/>
  <c r="F7" i="143"/>
  <c r="Z26" i="143"/>
  <c r="Z31" i="143" s="1"/>
  <c r="L7" i="143"/>
  <c r="K8" i="143"/>
  <c r="T9" i="143"/>
  <c r="Z19" i="143"/>
  <c r="Z35" i="143" s="1"/>
  <c r="L20" i="143"/>
  <c r="H9" i="143"/>
  <c r="L9" i="143"/>
  <c r="H14" i="143"/>
  <c r="L14" i="143"/>
  <c r="P14" i="143"/>
  <c r="G15" i="143"/>
  <c r="K15" i="143"/>
  <c r="O15" i="143"/>
  <c r="H16" i="143"/>
  <c r="L16" i="143"/>
  <c r="P16" i="143"/>
  <c r="E20" i="143"/>
  <c r="M14" i="143"/>
  <c r="H15" i="143"/>
  <c r="L15" i="143"/>
  <c r="E16" i="143"/>
  <c r="M16" i="143"/>
  <c r="P8" i="142"/>
  <c r="L8" i="142"/>
  <c r="H8" i="142"/>
  <c r="I8" i="142"/>
  <c r="N8" i="142"/>
  <c r="H9" i="142"/>
  <c r="M9" i="142"/>
  <c r="F20" i="142"/>
  <c r="N20" i="142"/>
  <c r="X18" i="142"/>
  <c r="G7" i="142"/>
  <c r="G21" i="142" s="1"/>
  <c r="K7" i="142"/>
  <c r="F8" i="142"/>
  <c r="K8" i="142"/>
  <c r="Q8" i="142"/>
  <c r="T8" i="142"/>
  <c r="E9" i="142"/>
  <c r="T21" i="142" s="1"/>
  <c r="T37" i="142" s="1"/>
  <c r="J9" i="142"/>
  <c r="O15" i="142"/>
  <c r="K15" i="142"/>
  <c r="G15" i="142"/>
  <c r="N15" i="142"/>
  <c r="J15" i="142"/>
  <c r="F15" i="142"/>
  <c r="L15" i="142"/>
  <c r="O9" i="142"/>
  <c r="K9" i="142"/>
  <c r="G9" i="142"/>
  <c r="I9" i="142"/>
  <c r="N9" i="142"/>
  <c r="Z32" i="142"/>
  <c r="T32" i="142"/>
  <c r="T27" i="142"/>
  <c r="Z26" i="142"/>
  <c r="Z31" i="142" s="1"/>
  <c r="T26" i="142"/>
  <c r="T31" i="142" s="1"/>
  <c r="Z27" i="142"/>
  <c r="H7" i="142"/>
  <c r="L7" i="142"/>
  <c r="P7" i="142"/>
  <c r="G8" i="142"/>
  <c r="M8" i="142"/>
  <c r="F9" i="142"/>
  <c r="L9" i="142"/>
  <c r="L23" i="142" s="1"/>
  <c r="Q9" i="142"/>
  <c r="T9" i="142"/>
  <c r="L17" i="142"/>
  <c r="L20" i="142"/>
  <c r="H14" i="142"/>
  <c r="L14" i="142"/>
  <c r="O16" i="142"/>
  <c r="K16" i="142"/>
  <c r="G16" i="142"/>
  <c r="I16" i="142"/>
  <c r="N16" i="142"/>
  <c r="O21" i="142"/>
  <c r="T32" i="141"/>
  <c r="T27" i="141"/>
  <c r="Z32" i="141"/>
  <c r="Z26" i="141"/>
  <c r="Z31" i="141" s="1"/>
  <c r="T26" i="141"/>
  <c r="T31" i="141" s="1"/>
  <c r="Z27" i="141"/>
  <c r="H7" i="141"/>
  <c r="L7" i="141"/>
  <c r="P7" i="141"/>
  <c r="E15" i="141"/>
  <c r="J15" i="141"/>
  <c r="E7" i="141"/>
  <c r="T19" i="141" s="1"/>
  <c r="T35" i="141" s="1"/>
  <c r="I7" i="141"/>
  <c r="M7" i="141"/>
  <c r="Q7" i="141"/>
  <c r="H8" i="141"/>
  <c r="L8" i="141"/>
  <c r="P8" i="141"/>
  <c r="H14" i="141"/>
  <c r="L14" i="141"/>
  <c r="Q14" i="141"/>
  <c r="F15" i="141"/>
  <c r="L15" i="141"/>
  <c r="Q15" i="141"/>
  <c r="F7" i="141"/>
  <c r="J7" i="141"/>
  <c r="N7" i="141"/>
  <c r="E8" i="141"/>
  <c r="T20" i="141" s="1"/>
  <c r="T36" i="141" s="1"/>
  <c r="I8" i="141"/>
  <c r="M8" i="141"/>
  <c r="M22" i="141" s="1"/>
  <c r="Q8" i="141"/>
  <c r="H9" i="141"/>
  <c r="L9" i="141"/>
  <c r="P9" i="141"/>
  <c r="G7" i="141"/>
  <c r="K7" i="141"/>
  <c r="K21" i="141" s="1"/>
  <c r="O7" i="141"/>
  <c r="F8" i="141"/>
  <c r="J8" i="141"/>
  <c r="T8" i="141"/>
  <c r="E9" i="141"/>
  <c r="T21" i="141" s="1"/>
  <c r="T37" i="141" s="1"/>
  <c r="I9" i="141"/>
  <c r="M9" i="141"/>
  <c r="E20" i="141"/>
  <c r="Z18" i="141"/>
  <c r="Q20" i="141"/>
  <c r="E14" i="141"/>
  <c r="I14" i="141"/>
  <c r="M14" i="141"/>
  <c r="T9" i="141"/>
  <c r="O15" i="141"/>
  <c r="O17" i="141" s="1"/>
  <c r="K15" i="141"/>
  <c r="G15" i="141"/>
  <c r="G22" i="141" s="1"/>
  <c r="I15" i="141"/>
  <c r="N15" i="141"/>
  <c r="L16" i="141"/>
  <c r="P16" i="141"/>
  <c r="E16" i="141"/>
  <c r="I16" i="141"/>
  <c r="M16" i="141"/>
  <c r="Q16" i="141"/>
  <c r="F16" i="141"/>
  <c r="J16" i="141"/>
  <c r="Y19" i="96"/>
  <c r="AC23" i="96"/>
  <c r="AC14" i="96"/>
  <c r="AD19" i="96"/>
  <c r="AC15" i="96"/>
  <c r="AD14" i="96"/>
  <c r="AC10" i="96"/>
  <c r="U18" i="140"/>
  <c r="V18" i="140"/>
  <c r="H20" i="140"/>
  <c r="O20" i="140"/>
  <c r="R6" i="140"/>
  <c r="AC18" i="140" l="1"/>
  <c r="L20" i="140"/>
  <c r="AA18" i="141"/>
  <c r="H20" i="141"/>
  <c r="M20" i="143"/>
  <c r="R6" i="142"/>
  <c r="M15" i="143"/>
  <c r="M17" i="143" s="1"/>
  <c r="P14" i="141"/>
  <c r="P21" i="141" s="1"/>
  <c r="V18" i="143"/>
  <c r="X18" i="141"/>
  <c r="AA18" i="142"/>
  <c r="I13" i="143"/>
  <c r="J20" i="141"/>
  <c r="Z18" i="140"/>
  <c r="H16" i="141"/>
  <c r="P15" i="141"/>
  <c r="AD20" i="141" s="1"/>
  <c r="Z19" i="142"/>
  <c r="Z35" i="142" s="1"/>
  <c r="U18" i="143"/>
  <c r="P17" i="142"/>
  <c r="AB12" i="96"/>
  <c r="G20" i="141"/>
  <c r="M20" i="140"/>
  <c r="AC12" i="96"/>
  <c r="Z18" i="142"/>
  <c r="H15" i="141"/>
  <c r="R15" i="141" s="1"/>
  <c r="Y12" i="96"/>
  <c r="AA18" i="140"/>
  <c r="G20" i="140"/>
  <c r="V18" i="141"/>
  <c r="AC18" i="142"/>
  <c r="Q14" i="143"/>
  <c r="AC9" i="143" s="1"/>
  <c r="Q16" i="143"/>
  <c r="Q17" i="143" s="1"/>
  <c r="Q13" i="143"/>
  <c r="AD18" i="141"/>
  <c r="U18" i="141"/>
  <c r="J21" i="142"/>
  <c r="V19" i="142"/>
  <c r="R13" i="143"/>
  <c r="AC18" i="141"/>
  <c r="L20" i="141"/>
  <c r="R13" i="140"/>
  <c r="R20" i="140" s="1"/>
  <c r="AA18" i="143"/>
  <c r="Q22" i="142"/>
  <c r="AC9" i="142"/>
  <c r="R13" i="142"/>
  <c r="AD18" i="140"/>
  <c r="AB18" i="141"/>
  <c r="G21" i="141"/>
  <c r="I20" i="140"/>
  <c r="R13" i="141"/>
  <c r="AD18" i="142"/>
  <c r="O20" i="141"/>
  <c r="J20" i="142"/>
  <c r="Q20" i="140"/>
  <c r="AB18" i="142"/>
  <c r="G20" i="143"/>
  <c r="W18" i="141"/>
  <c r="Y15" i="96"/>
  <c r="AD15" i="96"/>
  <c r="Z12" i="96"/>
  <c r="AA15" i="96"/>
  <c r="AA14" i="96"/>
  <c r="Z14" i="96"/>
  <c r="Z10" i="96"/>
  <c r="W18" i="143"/>
  <c r="J20" i="143"/>
  <c r="R6" i="143"/>
  <c r="F20" i="141"/>
  <c r="M20" i="141"/>
  <c r="R6" i="141"/>
  <c r="E22" i="142"/>
  <c r="E22" i="143"/>
  <c r="E23" i="142"/>
  <c r="F21" i="143"/>
  <c r="M21" i="143"/>
  <c r="G23" i="143"/>
  <c r="AA21" i="96"/>
  <c r="AA12" i="96"/>
  <c r="P22" i="142"/>
  <c r="AD19" i="142"/>
  <c r="I21" i="142"/>
  <c r="K23" i="141"/>
  <c r="X21" i="141"/>
  <c r="X30" i="141" s="1"/>
  <c r="M21" i="142"/>
  <c r="N21" i="142"/>
  <c r="N22" i="143"/>
  <c r="AC21" i="142"/>
  <c r="I22" i="143"/>
  <c r="Q17" i="142"/>
  <c r="W19" i="142"/>
  <c r="Q23" i="142"/>
  <c r="AC21" i="96"/>
  <c r="AD21" i="96"/>
  <c r="N21" i="141"/>
  <c r="P23" i="142"/>
  <c r="Q21" i="142"/>
  <c r="G17" i="143"/>
  <c r="M21" i="141"/>
  <c r="W19" i="143"/>
  <c r="X19" i="142"/>
  <c r="K22" i="141"/>
  <c r="J22" i="142"/>
  <c r="N22" i="141"/>
  <c r="N23" i="141"/>
  <c r="F21" i="141"/>
  <c r="N17" i="143"/>
  <c r="J21" i="141"/>
  <c r="F23" i="142"/>
  <c r="I22" i="142"/>
  <c r="M17" i="142"/>
  <c r="M23" i="142"/>
  <c r="J21" i="143"/>
  <c r="N21" i="143"/>
  <c r="Z23" i="96"/>
  <c r="O21" i="143"/>
  <c r="Z21" i="96"/>
  <c r="AB21" i="96"/>
  <c r="F23" i="143"/>
  <c r="K17" i="141"/>
  <c r="H21" i="141"/>
  <c r="J23" i="142"/>
  <c r="M22" i="142"/>
  <c r="G22" i="143"/>
  <c r="J23" i="143"/>
  <c r="F22" i="143"/>
  <c r="AA23" i="96"/>
  <c r="U19" i="142"/>
  <c r="U35" i="142" s="1"/>
  <c r="F17" i="143"/>
  <c r="R9" i="141"/>
  <c r="X20" i="141"/>
  <c r="X20" i="142"/>
  <c r="N22" i="142"/>
  <c r="H22" i="143"/>
  <c r="H21" i="143"/>
  <c r="V21" i="143"/>
  <c r="V30" i="143" s="1"/>
  <c r="G21" i="143"/>
  <c r="X21" i="143"/>
  <c r="X30" i="143" s="1"/>
  <c r="AA19" i="141"/>
  <c r="Z19" i="96"/>
  <c r="N17" i="141"/>
  <c r="K21" i="142"/>
  <c r="Q22" i="143"/>
  <c r="K21" i="143"/>
  <c r="P22" i="143"/>
  <c r="N23" i="143"/>
  <c r="H23" i="142"/>
  <c r="AB19" i="96"/>
  <c r="Z15" i="96"/>
  <c r="Y23" i="96"/>
  <c r="AB23" i="96"/>
  <c r="AD23" i="96"/>
  <c r="U21" i="141"/>
  <c r="AB19" i="143"/>
  <c r="I21" i="143"/>
  <c r="O23" i="143"/>
  <c r="O17" i="143"/>
  <c r="H22" i="142"/>
  <c r="G23" i="141"/>
  <c r="R16" i="143"/>
  <c r="AA21" i="142"/>
  <c r="AA25" i="142" s="1"/>
  <c r="H21" i="142"/>
  <c r="K22" i="142"/>
  <c r="AB19" i="142"/>
  <c r="AD21" i="143"/>
  <c r="AD37" i="143" s="1"/>
  <c r="K22" i="143"/>
  <c r="K23" i="143"/>
  <c r="W20" i="143"/>
  <c r="Z21" i="143"/>
  <c r="Z37" i="143" s="1"/>
  <c r="E23" i="143"/>
  <c r="L22" i="143"/>
  <c r="AC20" i="143"/>
  <c r="L23" i="143"/>
  <c r="L17" i="143"/>
  <c r="AC21" i="143"/>
  <c r="W21" i="143"/>
  <c r="V25" i="143"/>
  <c r="R15" i="143"/>
  <c r="AA19" i="143"/>
  <c r="R20" i="143"/>
  <c r="V19" i="143"/>
  <c r="R8" i="143"/>
  <c r="U20" i="143"/>
  <c r="M23" i="143"/>
  <c r="H17" i="143"/>
  <c r="H23" i="143"/>
  <c r="P21" i="143"/>
  <c r="AB20" i="143"/>
  <c r="R7" i="143"/>
  <c r="U19" i="143"/>
  <c r="U35" i="143" s="1"/>
  <c r="U21" i="143"/>
  <c r="V20" i="143"/>
  <c r="I23" i="143"/>
  <c r="AB21" i="143"/>
  <c r="I17" i="143"/>
  <c r="AB22" i="143" s="1"/>
  <c r="AD20" i="143"/>
  <c r="O22" i="143"/>
  <c r="L21" i="143"/>
  <c r="AC19" i="143"/>
  <c r="P17" i="143"/>
  <c r="P23" i="143"/>
  <c r="AA20" i="143"/>
  <c r="AA21" i="143"/>
  <c r="W9" i="143"/>
  <c r="X19" i="143"/>
  <c r="R9" i="143"/>
  <c r="X20" i="143"/>
  <c r="U21" i="142"/>
  <c r="R9" i="142"/>
  <c r="V21" i="142"/>
  <c r="AA20" i="142"/>
  <c r="F22" i="142"/>
  <c r="R15" i="142"/>
  <c r="AD9" i="142" s="1"/>
  <c r="P21" i="142"/>
  <c r="V20" i="142"/>
  <c r="N23" i="142"/>
  <c r="N17" i="142"/>
  <c r="I23" i="142"/>
  <c r="AB21" i="142"/>
  <c r="I17" i="142"/>
  <c r="L21" i="142"/>
  <c r="AC19" i="142"/>
  <c r="R7" i="142"/>
  <c r="AD20" i="142"/>
  <c r="O22" i="142"/>
  <c r="AA19" i="142"/>
  <c r="U20" i="142"/>
  <c r="R8" i="142"/>
  <c r="W9" i="142"/>
  <c r="O23" i="142"/>
  <c r="AD21" i="142"/>
  <c r="O17" i="142"/>
  <c r="G23" i="142"/>
  <c r="G17" i="142"/>
  <c r="AA22" i="142" s="1"/>
  <c r="R14" i="142"/>
  <c r="W20" i="142"/>
  <c r="K23" i="142"/>
  <c r="K17" i="142"/>
  <c r="W21" i="142"/>
  <c r="X21" i="142"/>
  <c r="L22" i="142"/>
  <c r="AC20" i="142"/>
  <c r="G22" i="142"/>
  <c r="AB20" i="142"/>
  <c r="R16" i="142"/>
  <c r="X25" i="141"/>
  <c r="H23" i="141"/>
  <c r="H17" i="141"/>
  <c r="I21" i="141"/>
  <c r="AB19" i="141"/>
  <c r="V21" i="141"/>
  <c r="AA20" i="141"/>
  <c r="F22" i="141"/>
  <c r="J22" i="141"/>
  <c r="W19" i="141"/>
  <c r="E21" i="141"/>
  <c r="Z19" i="141"/>
  <c r="Z35" i="141" s="1"/>
  <c r="V20" i="141"/>
  <c r="U19" i="141"/>
  <c r="R7" i="141"/>
  <c r="Q21" i="141"/>
  <c r="W20" i="141"/>
  <c r="V19" i="141"/>
  <c r="E22" i="141"/>
  <c r="Z20" i="141"/>
  <c r="Z36" i="141" s="1"/>
  <c r="M17" i="141"/>
  <c r="M23" i="141"/>
  <c r="J23" i="141"/>
  <c r="J17" i="141"/>
  <c r="I23" i="141"/>
  <c r="AB21" i="141"/>
  <c r="I17" i="141"/>
  <c r="P17" i="141"/>
  <c r="P23" i="141"/>
  <c r="O22" i="141"/>
  <c r="AD21" i="141"/>
  <c r="U20" i="141"/>
  <c r="R8" i="141"/>
  <c r="Q22" i="141"/>
  <c r="AC19" i="141"/>
  <c r="L21" i="141"/>
  <c r="Q17" i="141"/>
  <c r="Q23" i="141"/>
  <c r="AA21" i="141"/>
  <c r="R16" i="141"/>
  <c r="F23" i="141"/>
  <c r="F17" i="141"/>
  <c r="Z21" i="141"/>
  <c r="Z37" i="141" s="1"/>
  <c r="E23" i="141"/>
  <c r="L17" i="141"/>
  <c r="L23" i="141"/>
  <c r="AC21" i="141"/>
  <c r="I22" i="141"/>
  <c r="AB20" i="141"/>
  <c r="X19" i="141"/>
  <c r="X35" i="141" s="1"/>
  <c r="W9" i="141"/>
  <c r="W21" i="141"/>
  <c r="AC20" i="141"/>
  <c r="L22" i="141"/>
  <c r="P22" i="141"/>
  <c r="O21" i="141"/>
  <c r="Z13" i="96"/>
  <c r="AD13" i="96"/>
  <c r="AC13" i="96"/>
  <c r="Y13" i="96"/>
  <c r="AA13" i="96"/>
  <c r="AB13" i="96"/>
  <c r="Y17" i="96"/>
  <c r="AC17" i="96"/>
  <c r="AB17" i="96"/>
  <c r="AD17" i="96"/>
  <c r="Z17" i="96"/>
  <c r="AA17" i="96"/>
  <c r="Z22" i="96"/>
  <c r="AD22" i="96"/>
  <c r="AC22" i="96"/>
  <c r="Y22" i="96"/>
  <c r="AA22" i="96"/>
  <c r="AB22" i="96"/>
  <c r="AB11" i="96"/>
  <c r="Y11" i="96"/>
  <c r="AC11" i="96"/>
  <c r="Z11" i="96"/>
  <c r="AD11" i="96"/>
  <c r="AA11" i="96"/>
  <c r="AB16" i="96"/>
  <c r="Z16" i="96"/>
  <c r="AA16" i="96"/>
  <c r="AC16" i="96"/>
  <c r="Y16" i="96"/>
  <c r="AD16" i="96"/>
  <c r="AB20" i="96"/>
  <c r="AA20" i="96"/>
  <c r="AC20" i="96"/>
  <c r="Y20" i="96"/>
  <c r="AD20" i="96"/>
  <c r="Z20" i="96"/>
  <c r="Z18" i="96"/>
  <c r="AD18" i="96"/>
  <c r="AC18" i="96"/>
  <c r="Y18" i="96"/>
  <c r="AA18" i="96"/>
  <c r="AB18" i="96"/>
  <c r="AC9" i="141" l="1"/>
  <c r="AD9" i="141" s="1"/>
  <c r="X37" i="141"/>
  <c r="M22" i="143"/>
  <c r="H22" i="141"/>
  <c r="R20" i="141"/>
  <c r="I20" i="143"/>
  <c r="AB18" i="143"/>
  <c r="AB25" i="143" s="1"/>
  <c r="R14" i="141"/>
  <c r="V36" i="143"/>
  <c r="AC30" i="142"/>
  <c r="R20" i="142"/>
  <c r="Q23" i="143"/>
  <c r="AD19" i="141"/>
  <c r="AD31" i="141" s="1"/>
  <c r="U35" i="141"/>
  <c r="AA35" i="141"/>
  <c r="R14" i="143"/>
  <c r="R21" i="143" s="1"/>
  <c r="U25" i="141"/>
  <c r="W35" i="142"/>
  <c r="Q21" i="143"/>
  <c r="AD19" i="143"/>
  <c r="AA36" i="143" s="1"/>
  <c r="Q20" i="143"/>
  <c r="AD18" i="143"/>
  <c r="AD30" i="143" s="1"/>
  <c r="AA35" i="142"/>
  <c r="AD22" i="142"/>
  <c r="AD32" i="142" s="1"/>
  <c r="U36" i="142"/>
  <c r="X9" i="141"/>
  <c r="AD35" i="142"/>
  <c r="AA36" i="142"/>
  <c r="AC25" i="142"/>
  <c r="X35" i="142"/>
  <c r="AC22" i="142"/>
  <c r="AC32" i="142" s="1"/>
  <c r="V35" i="142"/>
  <c r="AB35" i="141"/>
  <c r="AB36" i="141"/>
  <c r="AB36" i="142"/>
  <c r="AA30" i="142"/>
  <c r="AA37" i="142"/>
  <c r="AC35" i="143"/>
  <c r="AD22" i="143"/>
  <c r="X35" i="143"/>
  <c r="W35" i="143"/>
  <c r="U30" i="141"/>
  <c r="X25" i="143"/>
  <c r="X37" i="143"/>
  <c r="AD36" i="143"/>
  <c r="AA22" i="143"/>
  <c r="AB38" i="143" s="1"/>
  <c r="AC35" i="141"/>
  <c r="W36" i="142"/>
  <c r="W36" i="143"/>
  <c r="AA31" i="142"/>
  <c r="AD22" i="141"/>
  <c r="X36" i="143"/>
  <c r="V26" i="143"/>
  <c r="X9" i="142"/>
  <c r="AC35" i="142"/>
  <c r="W36" i="141"/>
  <c r="R21" i="142"/>
  <c r="AD9" i="143"/>
  <c r="AC22" i="141"/>
  <c r="AC32" i="141" s="1"/>
  <c r="AD36" i="141"/>
  <c r="AA36" i="141"/>
  <c r="U37" i="141"/>
  <c r="W35" i="141"/>
  <c r="AC36" i="143"/>
  <c r="R17" i="143"/>
  <c r="U36" i="143"/>
  <c r="AB35" i="143"/>
  <c r="W37" i="143"/>
  <c r="W31" i="143"/>
  <c r="W26" i="143"/>
  <c r="W25" i="143"/>
  <c r="W30" i="143"/>
  <c r="AD26" i="143"/>
  <c r="V35" i="143"/>
  <c r="X26" i="143"/>
  <c r="R22" i="143"/>
  <c r="V31" i="143"/>
  <c r="AC30" i="143"/>
  <c r="AC37" i="143"/>
  <c r="AC26" i="143"/>
  <c r="AC31" i="143"/>
  <c r="AC25" i="143"/>
  <c r="X9" i="143"/>
  <c r="AB27" i="143"/>
  <c r="AB32" i="143"/>
  <c r="U30" i="143"/>
  <c r="U31" i="143"/>
  <c r="U37" i="143"/>
  <c r="U25" i="143"/>
  <c r="U26" i="143"/>
  <c r="X31" i="143"/>
  <c r="V37" i="143"/>
  <c r="AC22" i="143"/>
  <c r="R23" i="143"/>
  <c r="AA37" i="143"/>
  <c r="AA31" i="143"/>
  <c r="AA30" i="143"/>
  <c r="AA25" i="143"/>
  <c r="AA26" i="143"/>
  <c r="AB37" i="143"/>
  <c r="AB31" i="143"/>
  <c r="AB26" i="143"/>
  <c r="AB36" i="143"/>
  <c r="AD36" i="142"/>
  <c r="AB22" i="142"/>
  <c r="R22" i="142"/>
  <c r="AB37" i="142"/>
  <c r="AB31" i="142"/>
  <c r="AB26" i="142"/>
  <c r="AB25" i="142"/>
  <c r="AB30" i="142"/>
  <c r="V36" i="142"/>
  <c r="V37" i="142"/>
  <c r="V31" i="142"/>
  <c r="V30" i="142"/>
  <c r="V26" i="142"/>
  <c r="V25" i="142"/>
  <c r="AA26" i="142"/>
  <c r="AC26" i="142"/>
  <c r="AD30" i="142"/>
  <c r="AD31" i="142"/>
  <c r="AD26" i="142"/>
  <c r="AD37" i="142"/>
  <c r="AD25" i="142"/>
  <c r="U31" i="142"/>
  <c r="U37" i="142"/>
  <c r="U30" i="142"/>
  <c r="U26" i="142"/>
  <c r="U25" i="142"/>
  <c r="AC31" i="142"/>
  <c r="AA38" i="142"/>
  <c r="AA32" i="142"/>
  <c r="AA27" i="142"/>
  <c r="R23" i="142"/>
  <c r="X30" i="142"/>
  <c r="X25" i="142"/>
  <c r="X37" i="142"/>
  <c r="X26" i="142"/>
  <c r="X31" i="142"/>
  <c r="R17" i="142"/>
  <c r="AB35" i="142"/>
  <c r="X36" i="142"/>
  <c r="AC36" i="142"/>
  <c r="W37" i="142"/>
  <c r="W31" i="142"/>
  <c r="W26" i="142"/>
  <c r="W30" i="142"/>
  <c r="W25" i="142"/>
  <c r="AC37" i="142"/>
  <c r="AA22" i="141"/>
  <c r="R17" i="141"/>
  <c r="V37" i="141"/>
  <c r="V31" i="141"/>
  <c r="V30" i="141"/>
  <c r="V25" i="141"/>
  <c r="V26" i="141"/>
  <c r="U31" i="141"/>
  <c r="X36" i="141"/>
  <c r="X31" i="141"/>
  <c r="AB22" i="141"/>
  <c r="AC36" i="141"/>
  <c r="R23" i="141"/>
  <c r="R21" i="141"/>
  <c r="AD37" i="141"/>
  <c r="AD30" i="141"/>
  <c r="AD25" i="141"/>
  <c r="AB37" i="141"/>
  <c r="AB26" i="141"/>
  <c r="AB30" i="141"/>
  <c r="AB31" i="141"/>
  <c r="AB25" i="141"/>
  <c r="W37" i="141"/>
  <c r="W26" i="141"/>
  <c r="W30" i="141"/>
  <c r="W31" i="141"/>
  <c r="W25" i="141"/>
  <c r="AC30" i="141"/>
  <c r="AC25" i="141"/>
  <c r="AC31" i="141"/>
  <c r="AC37" i="141"/>
  <c r="AC26" i="141"/>
  <c r="AA31" i="141"/>
  <c r="AA30" i="141"/>
  <c r="AA26" i="141"/>
  <c r="AA25" i="141"/>
  <c r="U36" i="141"/>
  <c r="V35" i="141"/>
  <c r="V36" i="141"/>
  <c r="R22" i="141"/>
  <c r="U26" i="141"/>
  <c r="X26" i="141"/>
  <c r="AD27" i="141" l="1"/>
  <c r="AB30" i="143"/>
  <c r="AD26" i="141"/>
  <c r="AA37" i="141"/>
  <c r="AC38" i="141"/>
  <c r="AD35" i="141"/>
  <c r="AA35" i="143"/>
  <c r="AA38" i="143"/>
  <c r="AD35" i="143"/>
  <c r="AD31" i="143"/>
  <c r="AD32" i="141"/>
  <c r="AD25" i="143"/>
  <c r="AD32" i="143"/>
  <c r="AD27" i="142"/>
  <c r="AC27" i="141"/>
  <c r="AC38" i="142"/>
  <c r="AC27" i="142"/>
  <c r="AD38" i="142"/>
  <c r="AA32" i="143"/>
  <c r="AA27" i="143"/>
  <c r="AD38" i="141"/>
  <c r="AD27" i="143"/>
  <c r="AC32" i="143"/>
  <c r="AC27" i="143"/>
  <c r="AC38" i="143"/>
  <c r="AD38" i="143"/>
  <c r="AB38" i="142"/>
  <c r="AB32" i="142"/>
  <c r="AB27" i="142"/>
  <c r="AA38" i="141"/>
  <c r="AA27" i="141"/>
  <c r="AA32" i="141"/>
  <c r="AB38" i="141"/>
  <c r="AB27" i="141"/>
  <c r="AB32" i="141"/>
  <c r="BF47" i="140" l="1"/>
  <c r="BE47" i="140"/>
  <c r="BD47" i="140"/>
  <c r="BC47" i="140"/>
  <c r="BB47" i="140"/>
  <c r="BA47" i="140"/>
  <c r="AZ47" i="140"/>
  <c r="AY47" i="140"/>
  <c r="AX47" i="140"/>
  <c r="AW47" i="140"/>
  <c r="AV47" i="140"/>
  <c r="AU47" i="140"/>
  <c r="BF46" i="140"/>
  <c r="BE46" i="140"/>
  <c r="BD46" i="140"/>
  <c r="BC46" i="140"/>
  <c r="BB46" i="140"/>
  <c r="BA46" i="140"/>
  <c r="AZ46" i="140"/>
  <c r="AY46" i="140"/>
  <c r="AX46" i="140"/>
  <c r="AW46" i="140"/>
  <c r="AV46" i="140"/>
  <c r="AU46" i="140"/>
  <c r="AH46" i="140"/>
  <c r="BF45" i="140"/>
  <c r="BE45" i="140"/>
  <c r="BD45" i="140"/>
  <c r="BC45" i="140"/>
  <c r="BB45" i="140"/>
  <c r="BA45" i="140"/>
  <c r="AZ45" i="140"/>
  <c r="AY45" i="140"/>
  <c r="AX45" i="140"/>
  <c r="AW45" i="140"/>
  <c r="AV45" i="140"/>
  <c r="AU45" i="140"/>
  <c r="AH45" i="140"/>
  <c r="BF44" i="140"/>
  <c r="BE44" i="140"/>
  <c r="BD44" i="140"/>
  <c r="BC44" i="140"/>
  <c r="BB44" i="140"/>
  <c r="BA44" i="140"/>
  <c r="AZ44" i="140"/>
  <c r="AY44" i="140"/>
  <c r="AX44" i="140"/>
  <c r="AW44" i="140"/>
  <c r="AV44" i="140"/>
  <c r="AU44" i="140"/>
  <c r="AH43" i="140"/>
  <c r="AH44" i="140"/>
  <c r="X34" i="140"/>
  <c r="W34" i="140"/>
  <c r="V34" i="140"/>
  <c r="U34" i="140"/>
  <c r="X29" i="140"/>
  <c r="W29" i="140"/>
  <c r="V29" i="140"/>
  <c r="U29" i="140"/>
  <c r="BF29" i="140"/>
  <c r="BE29" i="140"/>
  <c r="BD29" i="140"/>
  <c r="BC29" i="140"/>
  <c r="BB29" i="140"/>
  <c r="BA29" i="140"/>
  <c r="AZ29" i="140"/>
  <c r="AY29" i="140"/>
  <c r="AX29" i="140"/>
  <c r="AW29" i="140"/>
  <c r="AV29" i="140"/>
  <c r="AU29" i="140"/>
  <c r="BF28" i="140"/>
  <c r="BE28" i="140"/>
  <c r="BD28" i="140"/>
  <c r="BC28" i="140"/>
  <c r="BB28" i="140"/>
  <c r="BA28" i="140"/>
  <c r="AZ28" i="140"/>
  <c r="AY28" i="140"/>
  <c r="AX28" i="140"/>
  <c r="AW28" i="140"/>
  <c r="AV28" i="140"/>
  <c r="AU28" i="140"/>
  <c r="AH28" i="140"/>
  <c r="BF27" i="140"/>
  <c r="BE27" i="140"/>
  <c r="BD27" i="140"/>
  <c r="BC27" i="140"/>
  <c r="BB27" i="140"/>
  <c r="BA27" i="140"/>
  <c r="AZ27" i="140"/>
  <c r="AY27" i="140"/>
  <c r="AX27" i="140"/>
  <c r="AW27" i="140"/>
  <c r="AV27" i="140"/>
  <c r="AU27" i="140"/>
  <c r="AH27" i="140"/>
  <c r="BF26" i="140"/>
  <c r="BE26" i="140"/>
  <c r="BD26" i="140"/>
  <c r="BC26" i="140"/>
  <c r="BB26" i="140"/>
  <c r="BA26" i="140"/>
  <c r="AZ26" i="140"/>
  <c r="AY26" i="140"/>
  <c r="AX26" i="140"/>
  <c r="AW26" i="140"/>
  <c r="AV26" i="140"/>
  <c r="AU26" i="140"/>
  <c r="AH25" i="140"/>
  <c r="X24" i="140"/>
  <c r="W24" i="140"/>
  <c r="V24" i="140"/>
  <c r="U24" i="140"/>
  <c r="E24" i="140"/>
  <c r="AH26" i="140"/>
  <c r="X17" i="140"/>
  <c r="W17" i="140"/>
  <c r="V17" i="140"/>
  <c r="U17" i="140"/>
  <c r="AW13" i="140"/>
  <c r="AX13" i="140" s="1"/>
  <c r="AY13" i="140" s="1"/>
  <c r="AZ13" i="140" s="1"/>
  <c r="BA13" i="140" s="1"/>
  <c r="BB13" i="140" s="1"/>
  <c r="BC13" i="140" s="1"/>
  <c r="BD13" i="140" s="1"/>
  <c r="BE13" i="140" s="1"/>
  <c r="BF13" i="140" s="1"/>
  <c r="BG13" i="140" s="1"/>
  <c r="BH13" i="140" s="1"/>
  <c r="BI13" i="140" s="1"/>
  <c r="BJ13" i="140" s="1"/>
  <c r="BK13" i="140" s="1"/>
  <c r="BL13" i="140" s="1"/>
  <c r="BM13" i="140" s="1"/>
  <c r="BN13" i="140" s="1"/>
  <c r="BO13" i="140" s="1"/>
  <c r="BP13" i="140" s="1"/>
  <c r="BQ13" i="140" s="1"/>
  <c r="BR13" i="140" s="1"/>
  <c r="T13" i="140"/>
  <c r="BC12" i="140"/>
  <c r="BD12" i="140" s="1"/>
  <c r="BE12" i="140" s="1"/>
  <c r="BF12" i="140" s="1"/>
  <c r="BG12" i="140" s="1"/>
  <c r="BH12" i="140" s="1"/>
  <c r="BI12" i="140" s="1"/>
  <c r="BJ12" i="140" s="1"/>
  <c r="BK12" i="140" s="1"/>
  <c r="BL12" i="140" s="1"/>
  <c r="BM12" i="140" s="1"/>
  <c r="BN12" i="140" s="1"/>
  <c r="BO12" i="140" s="1"/>
  <c r="BP12" i="140" s="1"/>
  <c r="BQ12" i="140" s="1"/>
  <c r="BR12" i="140" s="1"/>
  <c r="X12" i="140"/>
  <c r="W12" i="140"/>
  <c r="V12" i="140"/>
  <c r="A9" i="140"/>
  <c r="A8" i="140"/>
  <c r="T6" i="140"/>
  <c r="A7" i="140"/>
  <c r="X5" i="140"/>
  <c r="W5" i="140"/>
  <c r="T5" i="140"/>
  <c r="Z8" i="140" l="1"/>
  <c r="T8" i="140" s="1"/>
  <c r="Z7" i="140"/>
  <c r="Z27" i="140"/>
  <c r="T32" i="140"/>
  <c r="Z32" i="140"/>
  <c r="T27" i="140"/>
  <c r="Z26" i="140"/>
  <c r="Z31" i="140" s="1"/>
  <c r="T26" i="140"/>
  <c r="T31" i="140" s="1"/>
  <c r="T9" i="140"/>
  <c r="E7" i="140"/>
  <c r="T19" i="140" s="1"/>
  <c r="T35" i="140" s="1"/>
  <c r="E14" i="140"/>
  <c r="E8" i="140"/>
  <c r="T20" i="140" s="1"/>
  <c r="E15" i="140"/>
  <c r="T7" i="140"/>
  <c r="E9" i="140"/>
  <c r="T21" i="140" s="1"/>
  <c r="E16" i="140"/>
  <c r="E22" i="140" l="1"/>
  <c r="Z20" i="140"/>
  <c r="T37" i="140"/>
  <c r="Z21" i="140"/>
  <c r="E23" i="140"/>
  <c r="E21" i="140"/>
  <c r="Z19" i="140"/>
  <c r="Z35" i="140" s="1"/>
  <c r="T36" i="140"/>
  <c r="T30" i="140"/>
  <c r="Z37" i="140" l="1"/>
  <c r="Z30" i="140"/>
  <c r="Z36" i="140"/>
  <c r="E6" i="96" l="1"/>
  <c r="C6" i="96"/>
  <c r="AS5" i="96" l="1"/>
  <c r="AQ6" i="96"/>
  <c r="AP6" i="96"/>
  <c r="N6" i="96"/>
  <c r="M6" i="96"/>
  <c r="V6" i="96" s="1"/>
  <c r="L6" i="96"/>
  <c r="U6" i="96" s="1"/>
  <c r="Y4" i="139" l="1"/>
  <c r="X4" i="139"/>
  <c r="W4" i="139"/>
  <c r="V4" i="139"/>
  <c r="U4" i="139"/>
  <c r="T4" i="139"/>
  <c r="S4" i="139"/>
  <c r="R4" i="139"/>
  <c r="Q4" i="139"/>
  <c r="P4" i="139"/>
  <c r="O4" i="139"/>
  <c r="N10" i="139"/>
  <c r="N9" i="139"/>
  <c r="N8" i="139"/>
  <c r="N7" i="139"/>
  <c r="N6" i="139"/>
  <c r="N5" i="139"/>
  <c r="N4" i="139"/>
  <c r="M9" i="139"/>
  <c r="M8" i="139"/>
  <c r="M7" i="139"/>
  <c r="M6" i="139"/>
  <c r="M5" i="139"/>
  <c r="L8" i="139"/>
  <c r="L7" i="139"/>
  <c r="L6" i="139"/>
  <c r="L5" i="139"/>
  <c r="M4" i="139"/>
  <c r="L4" i="139"/>
  <c r="K7" i="139"/>
  <c r="K6" i="139"/>
  <c r="K5" i="139"/>
  <c r="K4" i="139"/>
  <c r="J6" i="139"/>
  <c r="J5" i="139"/>
  <c r="J4" i="139"/>
  <c r="I5" i="139"/>
  <c r="I4" i="139"/>
  <c r="H4" i="139"/>
  <c r="G4" i="139"/>
  <c r="F4" i="139"/>
  <c r="E4" i="139"/>
  <c r="D4" i="139"/>
  <c r="D15" i="139"/>
  <c r="D14" i="139"/>
  <c r="D13" i="139"/>
  <c r="D12" i="139"/>
  <c r="D11" i="139"/>
  <c r="D10" i="139"/>
  <c r="D9" i="139"/>
  <c r="D8" i="139"/>
  <c r="D7" i="139"/>
  <c r="D6" i="139"/>
  <c r="D5" i="139"/>
  <c r="C15" i="139"/>
  <c r="C14" i="139"/>
  <c r="C13" i="139"/>
  <c r="C12" i="139"/>
  <c r="C11" i="139"/>
  <c r="C10" i="139"/>
  <c r="C9" i="139"/>
  <c r="C8" i="139"/>
  <c r="C7" i="139"/>
  <c r="C6" i="139"/>
  <c r="C5" i="139"/>
  <c r="C4" i="139"/>
  <c r="B4" i="139"/>
  <c r="B15" i="139"/>
  <c r="B14" i="139"/>
  <c r="B13" i="139"/>
  <c r="B12" i="139"/>
  <c r="B11" i="139"/>
  <c r="B10" i="139"/>
  <c r="B9" i="139"/>
  <c r="B8" i="139"/>
  <c r="B7" i="139"/>
  <c r="B6" i="139"/>
  <c r="B5" i="139"/>
  <c r="A15" i="139"/>
  <c r="A14" i="139"/>
  <c r="A13" i="139"/>
  <c r="A12" i="139"/>
  <c r="A11" i="139"/>
  <c r="A10" i="139"/>
  <c r="A9" i="139"/>
  <c r="A8" i="139"/>
  <c r="A7" i="139"/>
  <c r="A6" i="139"/>
  <c r="A5" i="139"/>
  <c r="A4" i="139"/>
  <c r="AC6" i="96"/>
  <c r="BI15" i="143" l="1"/>
  <c r="BI15" i="142"/>
  <c r="BI15" i="141"/>
  <c r="BM15" i="143"/>
  <c r="BM15" i="142"/>
  <c r="BM15" i="141"/>
  <c r="BQ15" i="143"/>
  <c r="BQ15" i="142"/>
  <c r="BQ15" i="141"/>
  <c r="BA15" i="143"/>
  <c r="BA15" i="142"/>
  <c r="BA15" i="141"/>
  <c r="AX15" i="143"/>
  <c r="AX15" i="142"/>
  <c r="AX15" i="141"/>
  <c r="AU15" i="143"/>
  <c r="AU15" i="141"/>
  <c r="AU15" i="142"/>
  <c r="AP15" i="143"/>
  <c r="AP15" i="142"/>
  <c r="AP15" i="141"/>
  <c r="AL15" i="143"/>
  <c r="AL15" i="142"/>
  <c r="AL15" i="141"/>
  <c r="BJ15" i="143"/>
  <c r="BJ15" i="142"/>
  <c r="BJ15" i="141"/>
  <c r="BN15" i="143"/>
  <c r="BN15" i="142"/>
  <c r="BN15" i="141"/>
  <c r="BR15" i="143"/>
  <c r="BR15" i="142"/>
  <c r="BR15" i="141"/>
  <c r="BF15" i="143"/>
  <c r="BF15" i="142"/>
  <c r="BF15" i="141"/>
  <c r="BD15" i="141"/>
  <c r="BD15" i="143"/>
  <c r="BD15" i="142"/>
  <c r="AZ15" i="141"/>
  <c r="AZ15" i="143"/>
  <c r="AZ15" i="142"/>
  <c r="AS15" i="143"/>
  <c r="AS15" i="142"/>
  <c r="AS15" i="141"/>
  <c r="AO15" i="143"/>
  <c r="AO15" i="142"/>
  <c r="AO15" i="141"/>
  <c r="AK15" i="143"/>
  <c r="AK15" i="142"/>
  <c r="AK15" i="141"/>
  <c r="BG15" i="142"/>
  <c r="BG15" i="143"/>
  <c r="BG15" i="141"/>
  <c r="BK15" i="143"/>
  <c r="BK15" i="141"/>
  <c r="BK15" i="142"/>
  <c r="BO15" i="143"/>
  <c r="BO15" i="142"/>
  <c r="BO15" i="141"/>
  <c r="BE15" i="143"/>
  <c r="BE15" i="142"/>
  <c r="BE15" i="141"/>
  <c r="BC15" i="141"/>
  <c r="BC15" i="142"/>
  <c r="BC15" i="143"/>
  <c r="AY15" i="143"/>
  <c r="AY15" i="142"/>
  <c r="AY15" i="141"/>
  <c r="AT15" i="143"/>
  <c r="AT15" i="142"/>
  <c r="AT15" i="141"/>
  <c r="AR15" i="141"/>
  <c r="AR15" i="143"/>
  <c r="AR15" i="142"/>
  <c r="AN15" i="141"/>
  <c r="AN15" i="143"/>
  <c r="AN15" i="142"/>
  <c r="AJ15" i="141"/>
  <c r="AJ15" i="143"/>
  <c r="AJ15" i="142"/>
  <c r="BH15" i="141"/>
  <c r="BH15" i="143"/>
  <c r="BH15" i="142"/>
  <c r="BL15" i="141"/>
  <c r="BL15" i="143"/>
  <c r="BL15" i="142"/>
  <c r="BP15" i="141"/>
  <c r="BP15" i="143"/>
  <c r="BP15" i="142"/>
  <c r="BB15" i="143"/>
  <c r="BB15" i="142"/>
  <c r="BB15" i="141"/>
  <c r="AW15" i="143"/>
  <c r="AW15" i="142"/>
  <c r="AW15" i="141"/>
  <c r="AV15" i="141"/>
  <c r="AV15" i="143"/>
  <c r="AV15" i="142"/>
  <c r="AQ15" i="142"/>
  <c r="AQ15" i="143"/>
  <c r="AQ15" i="141"/>
  <c r="AM15" i="141"/>
  <c r="AM15" i="142"/>
  <c r="AM15" i="143"/>
  <c r="AI15" i="143"/>
  <c r="AI15" i="142"/>
  <c r="AI15" i="141"/>
  <c r="AU6" i="96"/>
  <c r="BI15" i="140"/>
  <c r="BI20" i="140" s="1"/>
  <c r="AY6" i="96"/>
  <c r="BM15" i="140"/>
  <c r="BM20" i="140" s="1"/>
  <c r="BC6" i="96"/>
  <c r="BQ15" i="140"/>
  <c r="BA15" i="140"/>
  <c r="AX15" i="140"/>
  <c r="AU15" i="140"/>
  <c r="AP15" i="140"/>
  <c r="AP16" i="140" s="1"/>
  <c r="AL15" i="140"/>
  <c r="AL16" i="140" s="1"/>
  <c r="BJ15" i="140"/>
  <c r="BJ20" i="140" s="1"/>
  <c r="BN15" i="140"/>
  <c r="BD6" i="96"/>
  <c r="BR15" i="140"/>
  <c r="BF15" i="140"/>
  <c r="BF16" i="140" s="1"/>
  <c r="BF25" i="140" s="1"/>
  <c r="BD15" i="140"/>
  <c r="BD16" i="140" s="1"/>
  <c r="BD25" i="140" s="1"/>
  <c r="AZ15" i="140"/>
  <c r="AZ16" i="140" s="1"/>
  <c r="AZ25" i="140" s="1"/>
  <c r="AS15" i="140"/>
  <c r="AO15" i="140"/>
  <c r="AO16" i="140" s="1"/>
  <c r="AK15" i="140"/>
  <c r="BG15" i="140"/>
  <c r="BG20" i="140" s="1"/>
  <c r="AW6" i="96"/>
  <c r="BK15" i="140"/>
  <c r="BK20" i="140" s="1"/>
  <c r="BA6" i="96"/>
  <c r="BO15" i="140"/>
  <c r="BE15" i="140"/>
  <c r="BC15" i="140"/>
  <c r="BC16" i="140" s="1"/>
  <c r="BC25" i="140" s="1"/>
  <c r="AY15" i="140"/>
  <c r="AY16" i="140" s="1"/>
  <c r="AY25" i="140" s="1"/>
  <c r="AT15" i="140"/>
  <c r="AT16" i="140" s="1"/>
  <c r="AR15" i="140"/>
  <c r="AN15" i="140"/>
  <c r="AJ15" i="140"/>
  <c r="AT6" i="96"/>
  <c r="BH15" i="140"/>
  <c r="BH20" i="140" s="1"/>
  <c r="AX6" i="96"/>
  <c r="BL15" i="140"/>
  <c r="BP15" i="140"/>
  <c r="BP20" i="140" s="1"/>
  <c r="BB15" i="140"/>
  <c r="BB16" i="140" s="1"/>
  <c r="BB25" i="140" s="1"/>
  <c r="AW15" i="140"/>
  <c r="AW16" i="140" s="1"/>
  <c r="AW25" i="140" s="1"/>
  <c r="AV15" i="140"/>
  <c r="AV16" i="140" s="1"/>
  <c r="AV25" i="140" s="1"/>
  <c r="AQ15" i="140"/>
  <c r="AQ16" i="140" s="1"/>
  <c r="AM15" i="140"/>
  <c r="AI15" i="140"/>
  <c r="O9" i="140"/>
  <c r="K8" i="140"/>
  <c r="AX16" i="140"/>
  <c r="AX25" i="140" s="1"/>
  <c r="K9" i="140"/>
  <c r="G8" i="140"/>
  <c r="G9" i="140"/>
  <c r="Q9" i="140"/>
  <c r="BL20" i="140"/>
  <c r="N7" i="140"/>
  <c r="I7" i="140"/>
  <c r="G7" i="140"/>
  <c r="L7" i="140"/>
  <c r="J8" i="140"/>
  <c r="AN16" i="140"/>
  <c r="J9" i="140"/>
  <c r="AM16" i="140"/>
  <c r="AK16" i="140"/>
  <c r="BA16" i="140"/>
  <c r="BA25" i="140" s="1"/>
  <c r="M9" i="140"/>
  <c r="AR16" i="140"/>
  <c r="BN20" i="140"/>
  <c r="O7" i="140"/>
  <c r="L8" i="140"/>
  <c r="AS16" i="140"/>
  <c r="K7" i="140"/>
  <c r="N8" i="140"/>
  <c r="P7" i="140"/>
  <c r="AI16" i="140"/>
  <c r="J7" i="140"/>
  <c r="Q7" i="140"/>
  <c r="Q8" i="140"/>
  <c r="P8" i="140"/>
  <c r="F8" i="140"/>
  <c r="N9" i="140"/>
  <c r="AJ16" i="140"/>
  <c r="H9" i="140"/>
  <c r="BE16" i="140"/>
  <c r="BE25" i="140" s="1"/>
  <c r="AU16" i="140"/>
  <c r="AU25" i="140" s="1"/>
  <c r="BR20" i="140"/>
  <c r="M8" i="140"/>
  <c r="H7" i="140"/>
  <c r="M7" i="140"/>
  <c r="O8" i="140"/>
  <c r="F9" i="140"/>
  <c r="F7" i="140"/>
  <c r="H8" i="140"/>
  <c r="L9" i="140"/>
  <c r="I8" i="140"/>
  <c r="P9" i="140"/>
  <c r="I9" i="140"/>
  <c r="BE34" i="140"/>
  <c r="BE43" i="140" s="1"/>
  <c r="L14" i="140"/>
  <c r="AS6" i="96"/>
  <c r="BB6" i="96"/>
  <c r="AV6" i="96"/>
  <c r="AZ6" i="96"/>
  <c r="D24" i="96" l="1"/>
  <c r="D20" i="96"/>
  <c r="D16" i="96"/>
  <c r="D12" i="96"/>
  <c r="D8" i="96"/>
  <c r="D22" i="96"/>
  <c r="D10" i="96"/>
  <c r="D17" i="96"/>
  <c r="D9" i="96"/>
  <c r="D23" i="96"/>
  <c r="D19" i="96"/>
  <c r="D15" i="96"/>
  <c r="D11" i="96"/>
  <c r="D7" i="96"/>
  <c r="D18" i="96"/>
  <c r="D14" i="96"/>
  <c r="D21" i="96"/>
  <c r="D13" i="96"/>
  <c r="AS13" i="96"/>
  <c r="AS21" i="96"/>
  <c r="AS22" i="96"/>
  <c r="AS10" i="96"/>
  <c r="AS14" i="96"/>
  <c r="AS23" i="96"/>
  <c r="AS20" i="96"/>
  <c r="AS11" i="96"/>
  <c r="AS16" i="96"/>
  <c r="AS17" i="96"/>
  <c r="AS18" i="96"/>
  <c r="AS15" i="96"/>
  <c r="AS19" i="96"/>
  <c r="AS12" i="96"/>
  <c r="AT10" i="96"/>
  <c r="AT12" i="96"/>
  <c r="AT20" i="96"/>
  <c r="AT21" i="96"/>
  <c r="AT14" i="96"/>
  <c r="AT15" i="96"/>
  <c r="AT16" i="96"/>
  <c r="AT17" i="96"/>
  <c r="AT23" i="96"/>
  <c r="AT18" i="96"/>
  <c r="AT11" i="96"/>
  <c r="AT22" i="96"/>
  <c r="AT13" i="96"/>
  <c r="AT19" i="96"/>
  <c r="BD12" i="96"/>
  <c r="BD13" i="96"/>
  <c r="BD10" i="96"/>
  <c r="BD15" i="96"/>
  <c r="BD14" i="96"/>
  <c r="BD17" i="96"/>
  <c r="BD19" i="96"/>
  <c r="BD21" i="96"/>
  <c r="BD22" i="96"/>
  <c r="BD18" i="96"/>
  <c r="BD16" i="96"/>
  <c r="BD11" i="96"/>
  <c r="BD20" i="96"/>
  <c r="BD23" i="96"/>
  <c r="AI34" i="143"/>
  <c r="AI16" i="143"/>
  <c r="AQ34" i="141"/>
  <c r="AQ16" i="141"/>
  <c r="AV34" i="143"/>
  <c r="AV43" i="143" s="1"/>
  <c r="AV16" i="143"/>
  <c r="AV25" i="143" s="1"/>
  <c r="AW34" i="143"/>
  <c r="AW43" i="143" s="1"/>
  <c r="AW16" i="143"/>
  <c r="AW25" i="143" s="1"/>
  <c r="BP38" i="142"/>
  <c r="BP20" i="142"/>
  <c r="BL38" i="143"/>
  <c r="BL20" i="143"/>
  <c r="BH38" i="141"/>
  <c r="BH20" i="141"/>
  <c r="AN34" i="142"/>
  <c r="AN16" i="142"/>
  <c r="AR16" i="143"/>
  <c r="AR34" i="143"/>
  <c r="AT34" i="143"/>
  <c r="AT16" i="143"/>
  <c r="BC34" i="143"/>
  <c r="BC43" i="143" s="1"/>
  <c r="BC16" i="143"/>
  <c r="BC25" i="143" s="1"/>
  <c r="BE16" i="142"/>
  <c r="BE25" i="142" s="1"/>
  <c r="BE34" i="142"/>
  <c r="BE43" i="142" s="1"/>
  <c r="BO38" i="143"/>
  <c r="BO20" i="143"/>
  <c r="BG38" i="141"/>
  <c r="BG20" i="141"/>
  <c r="AK34" i="142"/>
  <c r="AK16" i="142"/>
  <c r="AO34" i="143"/>
  <c r="AO16" i="143"/>
  <c r="AZ34" i="142"/>
  <c r="AZ43" i="142" s="1"/>
  <c r="AZ16" i="142"/>
  <c r="AZ25" i="142" s="1"/>
  <c r="BD34" i="143"/>
  <c r="BD43" i="143" s="1"/>
  <c r="BD16" i="143"/>
  <c r="BD25" i="143" s="1"/>
  <c r="BF34" i="143"/>
  <c r="BF43" i="143" s="1"/>
  <c r="BF16" i="143"/>
  <c r="BF25" i="143" s="1"/>
  <c r="BN38" i="141"/>
  <c r="BN20" i="141"/>
  <c r="BJ20" i="142"/>
  <c r="BJ38" i="142"/>
  <c r="AL34" i="143"/>
  <c r="AL16" i="143"/>
  <c r="AU34" i="142"/>
  <c r="AU43" i="142" s="1"/>
  <c r="AU16" i="142"/>
  <c r="AU25" i="142" s="1"/>
  <c r="AX34" i="142"/>
  <c r="AX43" i="142" s="1"/>
  <c r="AX16" i="142"/>
  <c r="AX25" i="142" s="1"/>
  <c r="BA34" i="143"/>
  <c r="BA43" i="143" s="1"/>
  <c r="BA16" i="143"/>
  <c r="BA25" i="143" s="1"/>
  <c r="BM38" i="141"/>
  <c r="BM20" i="141"/>
  <c r="BI20" i="142"/>
  <c r="BI38" i="142"/>
  <c r="AZ10" i="96"/>
  <c r="AZ22" i="96"/>
  <c r="AZ14" i="96"/>
  <c r="AZ19" i="96"/>
  <c r="AZ15" i="96"/>
  <c r="AZ13" i="96"/>
  <c r="AZ17" i="96"/>
  <c r="AZ12" i="96"/>
  <c r="AZ21" i="96"/>
  <c r="AZ18" i="96"/>
  <c r="AZ20" i="96"/>
  <c r="AZ11" i="96"/>
  <c r="AZ23" i="96"/>
  <c r="AZ16" i="96"/>
  <c r="E10" i="96"/>
  <c r="C14" i="96"/>
  <c r="C10" i="96"/>
  <c r="AP14" i="96"/>
  <c r="AP15" i="96"/>
  <c r="E17" i="96"/>
  <c r="AP22" i="96"/>
  <c r="E12" i="96"/>
  <c r="C15" i="96"/>
  <c r="AP16" i="96"/>
  <c r="C19" i="96"/>
  <c r="C21" i="96"/>
  <c r="AP12" i="96"/>
  <c r="C17" i="96"/>
  <c r="AP10" i="96"/>
  <c r="E16" i="96"/>
  <c r="AP17" i="96"/>
  <c r="E14" i="96"/>
  <c r="AP18" i="96"/>
  <c r="E21" i="96"/>
  <c r="AP23" i="96"/>
  <c r="E7" i="96"/>
  <c r="E15" i="96"/>
  <c r="E19" i="96"/>
  <c r="AP20" i="96"/>
  <c r="C20" i="96"/>
  <c r="E13" i="96"/>
  <c r="C11" i="96"/>
  <c r="AP11" i="96"/>
  <c r="C23" i="96"/>
  <c r="E23" i="96"/>
  <c r="C12" i="96"/>
  <c r="C22" i="96"/>
  <c r="E18" i="96"/>
  <c r="C16" i="96"/>
  <c r="AP19" i="96"/>
  <c r="AP13" i="96"/>
  <c r="C7" i="96"/>
  <c r="E9" i="96"/>
  <c r="C24" i="96"/>
  <c r="E8" i="96"/>
  <c r="E11" i="96"/>
  <c r="C13" i="96"/>
  <c r="C8" i="96"/>
  <c r="C18" i="96"/>
  <c r="E20" i="96"/>
  <c r="E24" i="96"/>
  <c r="E22" i="96"/>
  <c r="C9" i="96"/>
  <c r="BA10" i="96"/>
  <c r="BA21" i="96"/>
  <c r="BA16" i="96"/>
  <c r="BA14" i="96"/>
  <c r="BA22" i="96"/>
  <c r="BA20" i="96"/>
  <c r="BA15" i="96"/>
  <c r="BA12" i="96"/>
  <c r="BA18" i="96"/>
  <c r="BA17" i="96"/>
  <c r="BA19" i="96"/>
  <c r="BA23" i="96"/>
  <c r="BA13" i="96"/>
  <c r="BA11" i="96"/>
  <c r="BC14" i="96"/>
  <c r="BC12" i="96"/>
  <c r="BC10" i="96"/>
  <c r="BC15" i="96"/>
  <c r="BC21" i="96"/>
  <c r="BC23" i="96"/>
  <c r="BC20" i="96"/>
  <c r="BC19" i="96"/>
  <c r="BC18" i="96"/>
  <c r="BC22" i="96"/>
  <c r="BC11" i="96"/>
  <c r="BC17" i="96"/>
  <c r="BC16" i="96"/>
  <c r="BC13" i="96"/>
  <c r="AU14" i="96"/>
  <c r="AU10" i="96"/>
  <c r="AU12" i="96"/>
  <c r="AU18" i="96"/>
  <c r="AU23" i="96"/>
  <c r="AU17" i="96"/>
  <c r="AU15" i="96"/>
  <c r="AU16" i="96"/>
  <c r="AU20" i="96"/>
  <c r="AU21" i="96"/>
  <c r="AU22" i="96"/>
  <c r="AU19" i="96"/>
  <c r="AU13" i="96"/>
  <c r="AU11" i="96"/>
  <c r="AM34" i="143"/>
  <c r="AM16" i="143"/>
  <c r="AQ34" i="143"/>
  <c r="AQ16" i="143"/>
  <c r="AV34" i="141"/>
  <c r="AV43" i="141" s="1"/>
  <c r="AV16" i="141"/>
  <c r="AV25" i="141" s="1"/>
  <c r="BB34" i="141"/>
  <c r="BB43" i="141" s="1"/>
  <c r="BB16" i="141"/>
  <c r="BB25" i="141" s="1"/>
  <c r="BP38" i="143"/>
  <c r="BP20" i="143"/>
  <c r="BL38" i="141"/>
  <c r="BL20" i="141"/>
  <c r="AJ16" i="142"/>
  <c r="AJ34" i="142"/>
  <c r="AN34" i="143"/>
  <c r="AN16" i="143"/>
  <c r="AR34" i="141"/>
  <c r="AR16" i="141"/>
  <c r="AY34" i="141"/>
  <c r="AY43" i="141" s="1"/>
  <c r="AY16" i="141"/>
  <c r="AY25" i="141" s="1"/>
  <c r="BC16" i="142"/>
  <c r="BC25" i="142" s="1"/>
  <c r="BC34" i="142"/>
  <c r="BC43" i="142" s="1"/>
  <c r="BE34" i="143"/>
  <c r="BE43" i="143" s="1"/>
  <c r="BE16" i="143"/>
  <c r="BE25" i="143" s="1"/>
  <c r="BK20" i="142"/>
  <c r="BK38" i="142"/>
  <c r="BG38" i="143"/>
  <c r="BG20" i="143"/>
  <c r="AK34" i="143"/>
  <c r="AK16" i="143"/>
  <c r="AS16" i="141"/>
  <c r="AS34" i="141"/>
  <c r="AZ34" i="143"/>
  <c r="AZ43" i="143" s="1"/>
  <c r="AZ16" i="143"/>
  <c r="AZ25" i="143" s="1"/>
  <c r="BD34" i="141"/>
  <c r="BD43" i="141" s="1"/>
  <c r="BD16" i="141"/>
  <c r="BD25" i="141" s="1"/>
  <c r="BR38" i="141"/>
  <c r="BR20" i="141"/>
  <c r="BN38" i="142"/>
  <c r="BN20" i="142"/>
  <c r="BJ20" i="143"/>
  <c r="BJ38" i="143"/>
  <c r="AP16" i="141"/>
  <c r="AP34" i="141"/>
  <c r="AU34" i="141"/>
  <c r="AU43" i="141" s="1"/>
  <c r="AU16" i="141"/>
  <c r="AU25" i="141" s="1"/>
  <c r="AX34" i="143"/>
  <c r="AX43" i="143" s="1"/>
  <c r="AX16" i="143"/>
  <c r="AX25" i="143" s="1"/>
  <c r="BQ38" i="141"/>
  <c r="BQ20" i="141"/>
  <c r="BM38" i="142"/>
  <c r="BM20" i="142"/>
  <c r="BI38" i="143"/>
  <c r="BI20" i="143"/>
  <c r="AX10" i="96"/>
  <c r="AX21" i="96"/>
  <c r="AX12" i="96"/>
  <c r="AX14" i="96"/>
  <c r="AX15" i="96"/>
  <c r="AX22" i="96"/>
  <c r="AX16" i="96"/>
  <c r="AX11" i="96"/>
  <c r="AX13" i="96"/>
  <c r="AX19" i="96"/>
  <c r="AX17" i="96"/>
  <c r="AX20" i="96"/>
  <c r="AX23" i="96"/>
  <c r="AX18" i="96"/>
  <c r="AI34" i="141"/>
  <c r="AI16" i="141"/>
  <c r="AM16" i="142"/>
  <c r="AM34" i="142"/>
  <c r="AQ16" i="142"/>
  <c r="AQ34" i="142"/>
  <c r="AW34" i="141"/>
  <c r="AW43" i="141" s="1"/>
  <c r="AW16" i="141"/>
  <c r="AW25" i="141" s="1"/>
  <c r="BB34" i="142"/>
  <c r="BB43" i="142" s="1"/>
  <c r="BB16" i="142"/>
  <c r="BB25" i="142" s="1"/>
  <c r="BP38" i="141"/>
  <c r="BP20" i="141"/>
  <c r="BH38" i="142"/>
  <c r="BH20" i="142"/>
  <c r="AJ34" i="143"/>
  <c r="AJ16" i="143"/>
  <c r="AN16" i="141"/>
  <c r="AN34" i="141"/>
  <c r="AT34" i="141"/>
  <c r="AT16" i="141"/>
  <c r="AY16" i="142"/>
  <c r="AY25" i="142" s="1"/>
  <c r="AY34" i="142"/>
  <c r="AY43" i="142" s="1"/>
  <c r="BC34" i="141"/>
  <c r="BC43" i="141" s="1"/>
  <c r="BC16" i="141"/>
  <c r="BC25" i="141" s="1"/>
  <c r="BO38" i="141"/>
  <c r="BO20" i="141"/>
  <c r="BK38" i="141"/>
  <c r="BK20" i="141"/>
  <c r="BG38" i="142"/>
  <c r="BG20" i="142"/>
  <c r="AO34" i="141"/>
  <c r="AO16" i="141"/>
  <c r="AS34" i="142"/>
  <c r="AS16" i="142"/>
  <c r="AZ34" i="141"/>
  <c r="AZ43" i="141" s="1"/>
  <c r="AZ16" i="141"/>
  <c r="AZ25" i="141" s="1"/>
  <c r="BF34" i="141"/>
  <c r="BF43" i="141" s="1"/>
  <c r="BF16" i="141"/>
  <c r="BF25" i="141" s="1"/>
  <c r="BR20" i="142"/>
  <c r="BR38" i="142"/>
  <c r="BN20" i="143"/>
  <c r="BN38" i="143"/>
  <c r="AL16" i="141"/>
  <c r="AL34" i="141"/>
  <c r="AP34" i="142"/>
  <c r="AP16" i="142"/>
  <c r="AU34" i="143"/>
  <c r="AU43" i="143" s="1"/>
  <c r="AU16" i="143"/>
  <c r="AU25" i="143" s="1"/>
  <c r="BA34" i="141"/>
  <c r="BA43" i="141" s="1"/>
  <c r="BA16" i="141"/>
  <c r="BA25" i="141" s="1"/>
  <c r="BQ20" i="142"/>
  <c r="BQ38" i="142"/>
  <c r="BM38" i="143"/>
  <c r="BM20" i="143"/>
  <c r="AV14" i="96"/>
  <c r="AV10" i="96"/>
  <c r="AV12" i="96"/>
  <c r="AV13" i="96"/>
  <c r="AV15" i="96"/>
  <c r="AV19" i="96"/>
  <c r="AV17" i="96"/>
  <c r="AV21" i="96"/>
  <c r="AV22" i="96"/>
  <c r="AV23" i="96"/>
  <c r="AV20" i="96"/>
  <c r="AV11" i="96"/>
  <c r="AV18" i="96"/>
  <c r="AV16" i="96"/>
  <c r="BB10" i="96"/>
  <c r="BB14" i="96"/>
  <c r="BB15" i="96"/>
  <c r="BB21" i="96"/>
  <c r="BB17" i="96"/>
  <c r="BB12" i="96"/>
  <c r="BB16" i="96"/>
  <c r="BB19" i="96"/>
  <c r="BB13" i="96"/>
  <c r="BB18" i="96"/>
  <c r="BB22" i="96"/>
  <c r="BB20" i="96"/>
  <c r="BB23" i="96"/>
  <c r="BB11" i="96"/>
  <c r="AW14" i="96"/>
  <c r="AW16" i="96"/>
  <c r="AW21" i="96"/>
  <c r="AW10" i="96"/>
  <c r="AW18" i="96"/>
  <c r="AW17" i="96"/>
  <c r="AW11" i="96"/>
  <c r="AW13" i="96"/>
  <c r="AW19" i="96"/>
  <c r="AW20" i="96"/>
  <c r="AW22" i="96"/>
  <c r="AW12" i="96"/>
  <c r="AW23" i="96"/>
  <c r="AW15" i="96"/>
  <c r="AY12" i="96"/>
  <c r="AY14" i="96"/>
  <c r="AY17" i="96"/>
  <c r="AY22" i="96"/>
  <c r="AY10" i="96"/>
  <c r="AY15" i="96"/>
  <c r="AY20" i="96"/>
  <c r="AY16" i="96"/>
  <c r="AY21" i="96"/>
  <c r="AY23" i="96"/>
  <c r="AY13" i="96"/>
  <c r="AY18" i="96"/>
  <c r="AY11" i="96"/>
  <c r="AY19" i="96"/>
  <c r="AI16" i="142"/>
  <c r="AI34" i="142"/>
  <c r="AM34" i="141"/>
  <c r="AM16" i="141"/>
  <c r="AV34" i="142"/>
  <c r="AV43" i="142" s="1"/>
  <c r="AV16" i="142"/>
  <c r="AV25" i="142" s="1"/>
  <c r="AW16" i="142"/>
  <c r="AW25" i="142" s="1"/>
  <c r="AW34" i="142"/>
  <c r="AW43" i="142" s="1"/>
  <c r="BB34" i="143"/>
  <c r="BB43" i="143" s="1"/>
  <c r="BB16" i="143"/>
  <c r="BB25" i="143" s="1"/>
  <c r="BL38" i="142"/>
  <c r="BL20" i="142"/>
  <c r="BH38" i="143"/>
  <c r="BH20" i="143"/>
  <c r="AJ34" i="141"/>
  <c r="AJ16" i="141"/>
  <c r="AR16" i="142"/>
  <c r="AR34" i="142"/>
  <c r="AT34" i="142"/>
  <c r="AT16" i="142"/>
  <c r="AY34" i="143"/>
  <c r="AY43" i="143" s="1"/>
  <c r="AY16" i="143"/>
  <c r="AY25" i="143" s="1"/>
  <c r="BE34" i="141"/>
  <c r="BE43" i="141" s="1"/>
  <c r="BE16" i="141"/>
  <c r="BE25" i="141" s="1"/>
  <c r="BO38" i="142"/>
  <c r="BO20" i="142"/>
  <c r="BK38" i="143"/>
  <c r="BK20" i="143"/>
  <c r="AK16" i="141"/>
  <c r="AK34" i="141"/>
  <c r="AO16" i="142"/>
  <c r="AO34" i="142"/>
  <c r="AS34" i="143"/>
  <c r="AS16" i="143"/>
  <c r="BD34" i="142"/>
  <c r="BD43" i="142" s="1"/>
  <c r="BD16" i="142"/>
  <c r="BD25" i="142" s="1"/>
  <c r="BF34" i="142"/>
  <c r="BF43" i="142" s="1"/>
  <c r="BF16" i="142"/>
  <c r="BF25" i="142" s="1"/>
  <c r="BR20" i="143"/>
  <c r="BR38" i="143"/>
  <c r="BJ20" i="141"/>
  <c r="BJ38" i="141"/>
  <c r="AL34" i="142"/>
  <c r="AL16" i="142"/>
  <c r="AP34" i="143"/>
  <c r="AP16" i="143"/>
  <c r="AX34" i="141"/>
  <c r="AX43" i="141" s="1"/>
  <c r="AX16" i="141"/>
  <c r="AX25" i="141" s="1"/>
  <c r="BA34" i="142"/>
  <c r="BA43" i="142" s="1"/>
  <c r="BA16" i="142"/>
  <c r="BA25" i="142" s="1"/>
  <c r="BQ38" i="143"/>
  <c r="BQ20" i="143"/>
  <c r="BI38" i="141"/>
  <c r="BI20" i="141"/>
  <c r="AX7" i="96"/>
  <c r="AX24" i="96"/>
  <c r="AX9" i="96"/>
  <c r="AX8" i="96"/>
  <c r="BB8" i="96"/>
  <c r="BB7" i="96"/>
  <c r="BB24" i="96"/>
  <c r="BB9" i="96"/>
  <c r="AW9" i="96"/>
  <c r="AW7" i="96"/>
  <c r="AW24" i="96"/>
  <c r="AW8" i="96"/>
  <c r="AY7" i="96"/>
  <c r="AY24" i="96"/>
  <c r="AY8" i="96"/>
  <c r="AY9" i="96"/>
  <c r="AS9" i="96"/>
  <c r="AS7" i="96"/>
  <c r="AS24" i="96"/>
  <c r="AS8" i="96"/>
  <c r="AT24" i="96"/>
  <c r="AT9" i="96"/>
  <c r="AT8" i="96"/>
  <c r="AT7" i="96"/>
  <c r="BD8" i="96"/>
  <c r="BD7" i="96"/>
  <c r="BD24" i="96"/>
  <c r="BD9" i="96"/>
  <c r="AV24" i="96"/>
  <c r="AV9" i="96"/>
  <c r="AV8" i="96"/>
  <c r="AV7" i="96"/>
  <c r="AZ7" i="96"/>
  <c r="AZ24" i="96"/>
  <c r="AZ9" i="96"/>
  <c r="AZ8" i="96"/>
  <c r="BA24" i="96"/>
  <c r="BA9" i="96"/>
  <c r="BA7" i="96"/>
  <c r="BA8" i="96"/>
  <c r="BC8" i="96"/>
  <c r="BC7" i="96"/>
  <c r="BC9" i="96"/>
  <c r="BC24" i="96"/>
  <c r="AU24" i="96"/>
  <c r="AU9" i="96"/>
  <c r="AU7" i="96"/>
  <c r="AU8" i="96"/>
  <c r="BQ20" i="140"/>
  <c r="BO20" i="140"/>
  <c r="V21" i="140"/>
  <c r="V20" i="140"/>
  <c r="W21" i="140"/>
  <c r="X20" i="140"/>
  <c r="G16" i="140"/>
  <c r="BA34" i="140"/>
  <c r="BA43" i="140" s="1"/>
  <c r="AS34" i="140"/>
  <c r="F16" i="140"/>
  <c r="F23" i="140" s="1"/>
  <c r="AP34" i="140"/>
  <c r="J16" i="140"/>
  <c r="J23" i="140" s="1"/>
  <c r="N16" i="140"/>
  <c r="N23" i="140" s="1"/>
  <c r="AV34" i="140"/>
  <c r="AV43" i="140" s="1"/>
  <c r="AX34" i="140"/>
  <c r="AX43" i="140" s="1"/>
  <c r="BD34" i="140"/>
  <c r="BD43" i="140" s="1"/>
  <c r="BB34" i="140"/>
  <c r="BB43" i="140" s="1"/>
  <c r="M15" i="140"/>
  <c r="M22" i="140" s="1"/>
  <c r="AW34" i="140"/>
  <c r="AW43" i="140" s="1"/>
  <c r="G15" i="140"/>
  <c r="G22" i="140" s="1"/>
  <c r="AZ34" i="140"/>
  <c r="AZ43" i="140" s="1"/>
  <c r="Q16" i="140"/>
  <c r="Q23" i="140" s="1"/>
  <c r="AU34" i="140"/>
  <c r="AU43" i="140" s="1"/>
  <c r="AT34" i="140"/>
  <c r="BF34" i="140"/>
  <c r="BF43" i="140" s="1"/>
  <c r="K15" i="140"/>
  <c r="K22" i="140" s="1"/>
  <c r="P14" i="140"/>
  <c r="P21" i="140" s="1"/>
  <c r="AL34" i="140"/>
  <c r="BC34" i="140"/>
  <c r="BC43" i="140" s="1"/>
  <c r="AQ34" i="140"/>
  <c r="L15" i="140"/>
  <c r="L22" i="140" s="1"/>
  <c r="BP38" i="140"/>
  <c r="M14" i="140"/>
  <c r="M21" i="140" s="1"/>
  <c r="O15" i="140"/>
  <c r="O22" i="140" s="1"/>
  <c r="O16" i="140"/>
  <c r="O23" i="140" s="1"/>
  <c r="BI38" i="140"/>
  <c r="BN38" i="140"/>
  <c r="F14" i="140"/>
  <c r="F21" i="140" s="1"/>
  <c r="P16" i="140"/>
  <c r="P23" i="140" s="1"/>
  <c r="AK34" i="140"/>
  <c r="G14" i="140"/>
  <c r="G21" i="140" s="1"/>
  <c r="AJ34" i="140"/>
  <c r="Q14" i="140"/>
  <c r="Q21" i="140" s="1"/>
  <c r="AO34" i="140"/>
  <c r="H16" i="140"/>
  <c r="H23" i="140" s="1"/>
  <c r="I15" i="140"/>
  <c r="I22" i="140" s="1"/>
  <c r="L16" i="140"/>
  <c r="L23" i="140" s="1"/>
  <c r="BR38" i="140"/>
  <c r="K16" i="140"/>
  <c r="AM34" i="140"/>
  <c r="N15" i="140"/>
  <c r="N22" i="140" s="1"/>
  <c r="Q15" i="140"/>
  <c r="Q22" i="140" s="1"/>
  <c r="BO38" i="140"/>
  <c r="AY34" i="140"/>
  <c r="AY43" i="140" s="1"/>
  <c r="O14" i="140"/>
  <c r="O21" i="140" s="1"/>
  <c r="BH38" i="140"/>
  <c r="N14" i="140"/>
  <c r="N21" i="140" s="1"/>
  <c r="BM38" i="140"/>
  <c r="BL38" i="140"/>
  <c r="I14" i="140"/>
  <c r="I21" i="140" s="1"/>
  <c r="J15" i="140"/>
  <c r="J22" i="140" s="1"/>
  <c r="P15" i="140"/>
  <c r="P22" i="140" s="1"/>
  <c r="BJ38" i="140"/>
  <c r="F15" i="140"/>
  <c r="F22" i="140" s="1"/>
  <c r="K14" i="140"/>
  <c r="K21" i="140" s="1"/>
  <c r="BG38" i="140"/>
  <c r="BQ38" i="140"/>
  <c r="M16" i="140"/>
  <c r="M23" i="140" s="1"/>
  <c r="AI34" i="140"/>
  <c r="AN34" i="140"/>
  <c r="BK38" i="140"/>
  <c r="I16" i="140"/>
  <c r="H14" i="140"/>
  <c r="H21" i="140" s="1"/>
  <c r="AR34" i="140"/>
  <c r="J14" i="140"/>
  <c r="J21" i="140" s="1"/>
  <c r="H15" i="140"/>
  <c r="H22" i="140" s="1"/>
  <c r="W20" i="140"/>
  <c r="V19" i="140"/>
  <c r="W19" i="140"/>
  <c r="X21" i="140"/>
  <c r="U19" i="140"/>
  <c r="U35" i="140" s="1"/>
  <c r="R7" i="140"/>
  <c r="U21" i="140"/>
  <c r="R9" i="140"/>
  <c r="R8" i="140"/>
  <c r="U20" i="140"/>
  <c r="X19" i="140"/>
  <c r="W9" i="140"/>
  <c r="L21" i="140"/>
  <c r="BR6" i="96"/>
  <c r="G16" i="96" l="1"/>
  <c r="J17" i="96"/>
  <c r="K17" i="140"/>
  <c r="G17" i="140"/>
  <c r="J17" i="140"/>
  <c r="BR10" i="96"/>
  <c r="BR20" i="96"/>
  <c r="BR16" i="96"/>
  <c r="BR19" i="96"/>
  <c r="BR15" i="96"/>
  <c r="BR14" i="96"/>
  <c r="BR22" i="96"/>
  <c r="BR21" i="96"/>
  <c r="BR17" i="96"/>
  <c r="BR11" i="96"/>
  <c r="BR13" i="96"/>
  <c r="BR18" i="96"/>
  <c r="BR23" i="96"/>
  <c r="BR12" i="96"/>
  <c r="Q12" i="96"/>
  <c r="AF12" i="96"/>
  <c r="P12" i="96"/>
  <c r="AQ12" i="96"/>
  <c r="S12" i="96"/>
  <c r="R12" i="96"/>
  <c r="AQ11" i="96"/>
  <c r="S11" i="96"/>
  <c r="P11" i="96"/>
  <c r="AF11" i="96"/>
  <c r="R11" i="96"/>
  <c r="Q11" i="96"/>
  <c r="Q17" i="96"/>
  <c r="AF17" i="96"/>
  <c r="S17" i="96"/>
  <c r="AQ17" i="96"/>
  <c r="P17" i="96"/>
  <c r="R17" i="96"/>
  <c r="R18" i="96"/>
  <c r="P18" i="96"/>
  <c r="S18" i="96"/>
  <c r="AQ18" i="96"/>
  <c r="Q18" i="96"/>
  <c r="AF18" i="96"/>
  <c r="S20" i="96"/>
  <c r="P20" i="96"/>
  <c r="AF20" i="96"/>
  <c r="AQ20" i="96"/>
  <c r="R20" i="96"/>
  <c r="Q20" i="96"/>
  <c r="G23" i="96"/>
  <c r="H23" i="96"/>
  <c r="I23" i="96"/>
  <c r="J23" i="96"/>
  <c r="I19" i="96"/>
  <c r="G19" i="96"/>
  <c r="H19" i="96"/>
  <c r="J19" i="96"/>
  <c r="R15" i="96"/>
  <c r="AQ15" i="96"/>
  <c r="S15" i="96"/>
  <c r="P15" i="96"/>
  <c r="Q15" i="96"/>
  <c r="AF15" i="96"/>
  <c r="BE15" i="96"/>
  <c r="BE11" i="96"/>
  <c r="BE10" i="96"/>
  <c r="I22" i="96"/>
  <c r="G22" i="96"/>
  <c r="H22" i="96"/>
  <c r="J22" i="96"/>
  <c r="J18" i="96"/>
  <c r="I18" i="96"/>
  <c r="G18" i="96"/>
  <c r="H18" i="96"/>
  <c r="Q23" i="96"/>
  <c r="AQ23" i="96"/>
  <c r="P23" i="96"/>
  <c r="AF23" i="96"/>
  <c r="S23" i="96"/>
  <c r="R23" i="96"/>
  <c r="I15" i="96"/>
  <c r="J15" i="96"/>
  <c r="G15" i="96"/>
  <c r="H15" i="96"/>
  <c r="J14" i="96"/>
  <c r="I14" i="96"/>
  <c r="H14" i="96"/>
  <c r="G14" i="96"/>
  <c r="J16" i="96"/>
  <c r="I16" i="96"/>
  <c r="H16" i="96"/>
  <c r="P21" i="96"/>
  <c r="AP21" i="96"/>
  <c r="AF14" i="96"/>
  <c r="P14" i="96"/>
  <c r="R14" i="96"/>
  <c r="AQ14" i="96"/>
  <c r="Q14" i="96"/>
  <c r="S14" i="96"/>
  <c r="H10" i="96"/>
  <c r="G10" i="96"/>
  <c r="J10" i="96"/>
  <c r="I10" i="96"/>
  <c r="BE23" i="96"/>
  <c r="BE18" i="96"/>
  <c r="BE20" i="96"/>
  <c r="BE22" i="96"/>
  <c r="J20" i="96"/>
  <c r="I20" i="96"/>
  <c r="H20" i="96"/>
  <c r="G20" i="96"/>
  <c r="J13" i="96"/>
  <c r="I13" i="96"/>
  <c r="G13" i="96"/>
  <c r="H13" i="96"/>
  <c r="AQ13" i="96"/>
  <c r="AF13" i="96"/>
  <c r="Q13" i="96"/>
  <c r="P13" i="96"/>
  <c r="R13" i="96"/>
  <c r="S13" i="96"/>
  <c r="AF22" i="96"/>
  <c r="AQ22" i="96"/>
  <c r="R22" i="96"/>
  <c r="P22" i="96"/>
  <c r="Q22" i="96"/>
  <c r="S22" i="96"/>
  <c r="Q10" i="96"/>
  <c r="P10" i="96"/>
  <c r="S10" i="96"/>
  <c r="AQ10" i="96"/>
  <c r="R10" i="96"/>
  <c r="AF10" i="96"/>
  <c r="I12" i="96"/>
  <c r="J12" i="96"/>
  <c r="G12" i="96"/>
  <c r="G17" i="96"/>
  <c r="H17" i="96"/>
  <c r="I17" i="96"/>
  <c r="BE12" i="96"/>
  <c r="BE17" i="96"/>
  <c r="BE21" i="96"/>
  <c r="BF5" i="142"/>
  <c r="BF5" i="143"/>
  <c r="BF5" i="141"/>
  <c r="AB14" i="143"/>
  <c r="AB13" i="143"/>
  <c r="V14" i="141"/>
  <c r="V13" i="141"/>
  <c r="V14" i="143"/>
  <c r="AC13" i="143"/>
  <c r="AB14" i="141"/>
  <c r="W13" i="141"/>
  <c r="AC13" i="141"/>
  <c r="W13" i="143"/>
  <c r="AC13" i="142"/>
  <c r="V13" i="142"/>
  <c r="AB13" i="141"/>
  <c r="V14" i="142"/>
  <c r="W13" i="142"/>
  <c r="AB13" i="142"/>
  <c r="V13" i="143"/>
  <c r="AB14" i="142"/>
  <c r="I11" i="96"/>
  <c r="J11" i="96"/>
  <c r="G11" i="96"/>
  <c r="H11" i="96"/>
  <c r="H12" i="96"/>
  <c r="R19" i="96"/>
  <c r="P19" i="96"/>
  <c r="AF19" i="96"/>
  <c r="AQ19" i="96"/>
  <c r="S19" i="96"/>
  <c r="Q19" i="96"/>
  <c r="J21" i="96"/>
  <c r="I21" i="96"/>
  <c r="G21" i="96"/>
  <c r="H21" i="96"/>
  <c r="P16" i="96"/>
  <c r="AF16" i="96"/>
  <c r="Q16" i="96"/>
  <c r="AQ16" i="96"/>
  <c r="S16" i="96"/>
  <c r="R16" i="96"/>
  <c r="S21" i="96"/>
  <c r="AF21" i="96"/>
  <c r="R21" i="96"/>
  <c r="AQ21" i="96"/>
  <c r="Q21" i="96"/>
  <c r="BE19" i="96"/>
  <c r="BE16" i="96"/>
  <c r="BE14" i="96"/>
  <c r="BE13" i="96"/>
  <c r="BD25" i="96"/>
  <c r="BR8" i="96"/>
  <c r="BR7" i="96"/>
  <c r="BR24" i="96"/>
  <c r="BR9" i="96"/>
  <c r="AQ9" i="96"/>
  <c r="AQ24" i="96"/>
  <c r="AQ7" i="96"/>
  <c r="AQ8" i="96"/>
  <c r="N25" i="96"/>
  <c r="AW25" i="96"/>
  <c r="BB25" i="96"/>
  <c r="L25" i="96"/>
  <c r="AY25" i="96"/>
  <c r="V25" i="96"/>
  <c r="AZ25" i="96"/>
  <c r="AV25" i="96"/>
  <c r="AU25" i="96"/>
  <c r="AT25" i="96"/>
  <c r="W25" i="96"/>
  <c r="BA25" i="96"/>
  <c r="AX25" i="96"/>
  <c r="M25" i="96"/>
  <c r="AS25" i="96"/>
  <c r="BC25" i="96"/>
  <c r="U25" i="96"/>
  <c r="C25" i="96"/>
  <c r="E25" i="96"/>
  <c r="D25" i="96"/>
  <c r="Z8" i="96"/>
  <c r="AA8" i="96"/>
  <c r="Y8" i="96"/>
  <c r="AA9" i="96"/>
  <c r="AC9" i="96"/>
  <c r="V36" i="140"/>
  <c r="W35" i="140"/>
  <c r="F17" i="140"/>
  <c r="G23" i="140"/>
  <c r="L17" i="140"/>
  <c r="N17" i="140"/>
  <c r="AC20" i="140"/>
  <c r="AB21" i="140"/>
  <c r="AB25" i="140" s="1"/>
  <c r="K23" i="140"/>
  <c r="X35" i="140"/>
  <c r="V35" i="140"/>
  <c r="AD19" i="140"/>
  <c r="X31" i="140"/>
  <c r="X30" i="140"/>
  <c r="W31" i="140"/>
  <c r="W30" i="140"/>
  <c r="U31" i="140"/>
  <c r="U30" i="140"/>
  <c r="V30" i="140"/>
  <c r="V31" i="140"/>
  <c r="W25" i="140"/>
  <c r="W26" i="140"/>
  <c r="X25" i="140"/>
  <c r="X26" i="140"/>
  <c r="U26" i="140"/>
  <c r="U25" i="140"/>
  <c r="V26" i="140"/>
  <c r="V25" i="140"/>
  <c r="AC9" i="140"/>
  <c r="V37" i="140"/>
  <c r="AD21" i="140"/>
  <c r="AD37" i="140" s="1"/>
  <c r="AA21" i="140"/>
  <c r="H17" i="140"/>
  <c r="O17" i="140"/>
  <c r="X36" i="140"/>
  <c r="I17" i="140"/>
  <c r="P17" i="140"/>
  <c r="AC19" i="140"/>
  <c r="Y24" i="96"/>
  <c r="AB24" i="96"/>
  <c r="R16" i="140"/>
  <c r="R23" i="140" s="1"/>
  <c r="AC21" i="140"/>
  <c r="AA24" i="96"/>
  <c r="W37" i="140"/>
  <c r="W36" i="140"/>
  <c r="X37" i="140"/>
  <c r="Y7" i="96"/>
  <c r="Y9" i="96"/>
  <c r="Z9" i="96"/>
  <c r="AC24" i="96"/>
  <c r="AC8" i="96"/>
  <c r="R15" i="140"/>
  <c r="R22" i="140" s="1"/>
  <c r="AB20" i="140"/>
  <c r="Q17" i="140"/>
  <c r="AD9" i="96"/>
  <c r="AD8" i="96"/>
  <c r="AB7" i="96"/>
  <c r="AD20" i="140"/>
  <c r="M17" i="140"/>
  <c r="AB8" i="96"/>
  <c r="Z24" i="96"/>
  <c r="AB9" i="96"/>
  <c r="AD7" i="96"/>
  <c r="AC7" i="96"/>
  <c r="AD24" i="96"/>
  <c r="I23" i="140"/>
  <c r="Z7" i="96"/>
  <c r="AA7" i="96"/>
  <c r="AA19" i="140"/>
  <c r="AA35" i="140" s="1"/>
  <c r="AA20" i="140"/>
  <c r="R14" i="140"/>
  <c r="R21" i="140" s="1"/>
  <c r="AB19" i="140"/>
  <c r="BF5" i="140"/>
  <c r="X9" i="140"/>
  <c r="U36" i="140"/>
  <c r="W13" i="140"/>
  <c r="V14" i="140"/>
  <c r="V13" i="140"/>
  <c r="U37" i="140"/>
  <c r="I8" i="96"/>
  <c r="H8" i="96"/>
  <c r="G8" i="96"/>
  <c r="J8" i="96"/>
  <c r="BL6" i="96"/>
  <c r="BH6" i="96"/>
  <c r="BQ6" i="96"/>
  <c r="BP6" i="96"/>
  <c r="BM6" i="96"/>
  <c r="BN6" i="96"/>
  <c r="BG6" i="96"/>
  <c r="BJ6" i="96"/>
  <c r="BO6" i="96"/>
  <c r="BI6" i="96"/>
  <c r="BR1" i="96"/>
  <c r="BK6" i="96"/>
  <c r="AP9" i="96"/>
  <c r="AF24" i="96"/>
  <c r="P24" i="96"/>
  <c r="S24" i="96"/>
  <c r="R24" i="96"/>
  <c r="Q24" i="96"/>
  <c r="G9" i="96"/>
  <c r="J9" i="96"/>
  <c r="I9" i="96"/>
  <c r="H9" i="96"/>
  <c r="AF9" i="96"/>
  <c r="R9" i="96"/>
  <c r="Q9" i="96"/>
  <c r="P9" i="96"/>
  <c r="S9" i="96"/>
  <c r="BE7" i="96"/>
  <c r="BE24" i="96"/>
  <c r="AG10" i="96"/>
  <c r="AP8" i="96"/>
  <c r="AF8" i="96"/>
  <c r="P8" i="96"/>
  <c r="S8" i="96"/>
  <c r="R8" i="96"/>
  <c r="Q8" i="96"/>
  <c r="AP24" i="96"/>
  <c r="I24" i="96"/>
  <c r="H24" i="96"/>
  <c r="G24" i="96"/>
  <c r="J24" i="96"/>
  <c r="AF7" i="96"/>
  <c r="R7" i="96"/>
  <c r="Q7" i="96"/>
  <c r="P7" i="96"/>
  <c r="S7" i="96"/>
  <c r="BE8" i="96"/>
  <c r="BE9" i="96"/>
  <c r="AP7" i="96"/>
  <c r="G7" i="96"/>
  <c r="J7" i="96"/>
  <c r="I7" i="96"/>
  <c r="H7" i="96"/>
  <c r="X13" i="141" l="1"/>
  <c r="AD13" i="143"/>
  <c r="AB22" i="140"/>
  <c r="AB32" i="140" s="1"/>
  <c r="X13" i="142"/>
  <c r="AD13" i="142"/>
  <c r="BQ8" i="143"/>
  <c r="BG5" i="143"/>
  <c r="BH8" i="143"/>
  <c r="BN8" i="143"/>
  <c r="BO8" i="143"/>
  <c r="BJ8" i="143"/>
  <c r="BL8" i="143"/>
  <c r="BG8" i="143"/>
  <c r="BR8" i="143"/>
  <c r="BP8" i="143"/>
  <c r="BK8" i="143"/>
  <c r="BI8" i="143"/>
  <c r="BM8" i="143"/>
  <c r="AC6" i="143"/>
  <c r="AD6" i="143" s="1"/>
  <c r="W6" i="141"/>
  <c r="X6" i="141" s="1"/>
  <c r="AC6" i="142"/>
  <c r="AD6" i="142" s="1"/>
  <c r="W6" i="143"/>
  <c r="X6" i="143" s="1"/>
  <c r="AC14" i="143"/>
  <c r="AD14" i="143" s="1"/>
  <c r="W14" i="142"/>
  <c r="X14" i="142" s="1"/>
  <c r="W14" i="143"/>
  <c r="X14" i="143" s="1"/>
  <c r="AC14" i="142"/>
  <c r="AD14" i="142" s="1"/>
  <c r="W6" i="142"/>
  <c r="X6" i="142" s="1"/>
  <c r="AC6" i="141"/>
  <c r="AD6" i="141" s="1"/>
  <c r="W14" i="141"/>
  <c r="X14" i="141" s="1"/>
  <c r="AC14" i="141"/>
  <c r="AD14" i="141" s="1"/>
  <c r="AG17" i="96"/>
  <c r="AH17" i="96" s="1"/>
  <c r="AG20" i="96"/>
  <c r="AH20" i="96" s="1"/>
  <c r="AG15" i="96"/>
  <c r="AH15" i="96" s="1"/>
  <c r="AG23" i="96"/>
  <c r="AH23" i="96" s="1"/>
  <c r="AG14" i="96"/>
  <c r="AH14" i="96" s="1"/>
  <c r="AG13" i="96"/>
  <c r="AH13" i="96" s="1"/>
  <c r="AG22" i="96"/>
  <c r="AH22" i="96" s="1"/>
  <c r="BJ19" i="96"/>
  <c r="BJ22" i="96"/>
  <c r="BJ10" i="96"/>
  <c r="BJ14" i="96"/>
  <c r="BJ15" i="96"/>
  <c r="BJ13" i="96"/>
  <c r="BJ21" i="96"/>
  <c r="BJ17" i="96"/>
  <c r="BJ11" i="96"/>
  <c r="BJ20" i="96"/>
  <c r="BJ12" i="96"/>
  <c r="BJ16" i="96"/>
  <c r="BJ18" i="96"/>
  <c r="BJ23" i="96"/>
  <c r="AG7" i="96"/>
  <c r="BQ13" i="96"/>
  <c r="BQ14" i="96"/>
  <c r="BQ22" i="96"/>
  <c r="BQ10" i="96"/>
  <c r="BQ15" i="96"/>
  <c r="BQ17" i="96"/>
  <c r="BQ12" i="96"/>
  <c r="BQ18" i="96"/>
  <c r="BQ21" i="96"/>
  <c r="BQ23" i="96"/>
  <c r="BQ20" i="96"/>
  <c r="BQ11" i="96"/>
  <c r="BQ19" i="96"/>
  <c r="BQ16" i="96"/>
  <c r="AG24" i="96"/>
  <c r="BI12" i="96"/>
  <c r="BI10" i="96"/>
  <c r="BI14" i="96"/>
  <c r="BI15" i="96"/>
  <c r="BI23" i="96"/>
  <c r="BI21" i="96"/>
  <c r="BI22" i="96"/>
  <c r="BI17" i="96"/>
  <c r="BI16" i="96"/>
  <c r="BI18" i="96"/>
  <c r="BI20" i="96"/>
  <c r="BI19" i="96"/>
  <c r="BI13" i="96"/>
  <c r="BI11" i="96"/>
  <c r="BN10" i="96"/>
  <c r="BN15" i="96"/>
  <c r="BN16" i="96"/>
  <c r="BN14" i="96"/>
  <c r="BN19" i="96"/>
  <c r="BN21" i="96"/>
  <c r="BN23" i="96"/>
  <c r="BN22" i="96"/>
  <c r="BN20" i="96"/>
  <c r="BN11" i="96"/>
  <c r="BN13" i="96"/>
  <c r="BN18" i="96"/>
  <c r="BN17" i="96"/>
  <c r="BN12" i="96"/>
  <c r="BH10" i="96"/>
  <c r="BH14" i="96"/>
  <c r="BH22" i="96"/>
  <c r="BH21" i="96"/>
  <c r="BH15" i="96"/>
  <c r="BH16" i="96"/>
  <c r="BH17" i="96"/>
  <c r="BH12" i="96"/>
  <c r="BH13" i="96"/>
  <c r="BH20" i="96"/>
  <c r="BH23" i="96"/>
  <c r="BH11" i="96"/>
  <c r="BH18" i="96"/>
  <c r="BH19" i="96"/>
  <c r="AG9" i="96"/>
  <c r="AG19" i="96"/>
  <c r="AH19" i="96" s="1"/>
  <c r="AG12" i="96"/>
  <c r="AH12" i="96" s="1"/>
  <c r="BK12" i="96"/>
  <c r="BK21" i="96"/>
  <c r="BK10" i="96"/>
  <c r="BK14" i="96"/>
  <c r="BK16" i="96"/>
  <c r="BK17" i="96"/>
  <c r="BK20" i="96"/>
  <c r="BK23" i="96"/>
  <c r="BK18" i="96"/>
  <c r="BK22" i="96"/>
  <c r="BK19" i="96"/>
  <c r="BK13" i="96"/>
  <c r="BK15" i="96"/>
  <c r="BK11" i="96"/>
  <c r="BP10" i="96"/>
  <c r="BP12" i="96"/>
  <c r="BP14" i="96"/>
  <c r="BP22" i="96"/>
  <c r="BP21" i="96"/>
  <c r="BP15" i="96"/>
  <c r="BP16" i="96"/>
  <c r="BP17" i="96"/>
  <c r="BP20" i="96"/>
  <c r="BP18" i="96"/>
  <c r="CV18" i="96" s="1"/>
  <c r="CZ18" i="96" s="1"/>
  <c r="AJ18" i="96" s="1"/>
  <c r="BP11" i="96"/>
  <c r="BP23" i="96"/>
  <c r="CV23" i="96" s="1"/>
  <c r="CZ23" i="96" s="1"/>
  <c r="AJ23" i="96" s="1"/>
  <c r="BP13" i="96"/>
  <c r="BP19" i="96"/>
  <c r="BG10" i="96"/>
  <c r="BG16" i="96"/>
  <c r="BG17" i="96"/>
  <c r="BG20" i="96"/>
  <c r="BG21" i="96"/>
  <c r="BG14" i="96"/>
  <c r="BG12" i="96"/>
  <c r="BG19" i="96"/>
  <c r="BG15" i="96"/>
  <c r="BG18" i="96"/>
  <c r="BG11" i="96"/>
  <c r="BG23" i="96"/>
  <c r="BG13" i="96"/>
  <c r="BG22" i="96"/>
  <c r="BO21" i="96"/>
  <c r="BO14" i="96"/>
  <c r="BO10" i="96"/>
  <c r="BO12" i="96"/>
  <c r="BO22" i="96"/>
  <c r="BO17" i="96"/>
  <c r="BO11" i="96"/>
  <c r="BO23" i="96"/>
  <c r="BO16" i="96"/>
  <c r="BO15" i="96"/>
  <c r="BO20" i="96"/>
  <c r="BO18" i="96"/>
  <c r="BO19" i="96"/>
  <c r="BO13" i="96"/>
  <c r="BM14" i="96"/>
  <c r="BM17" i="96"/>
  <c r="BM23" i="96"/>
  <c r="BM10" i="96"/>
  <c r="BM13" i="96"/>
  <c r="BM15" i="96"/>
  <c r="BM12" i="96"/>
  <c r="BM21" i="96"/>
  <c r="BM22" i="96"/>
  <c r="BM19" i="96"/>
  <c r="BM11" i="96"/>
  <c r="BM18" i="96"/>
  <c r="BM16" i="96"/>
  <c r="BM20" i="96"/>
  <c r="BL10" i="96"/>
  <c r="BL12" i="96"/>
  <c r="BL21" i="96"/>
  <c r="BL15" i="96"/>
  <c r="BL20" i="96"/>
  <c r="BL14" i="96"/>
  <c r="BL16" i="96"/>
  <c r="BL22" i="96"/>
  <c r="BL17" i="96"/>
  <c r="BL23" i="96"/>
  <c r="BL19" i="96"/>
  <c r="BL18" i="96"/>
  <c r="BL11" i="96"/>
  <c r="BL13" i="96"/>
  <c r="AG8" i="96"/>
  <c r="AD13" i="141"/>
  <c r="AG18" i="96"/>
  <c r="AH18" i="96" s="1"/>
  <c r="AG11" i="96"/>
  <c r="AH11" i="96" s="1"/>
  <c r="AG21" i="96"/>
  <c r="AH21" i="96" s="1"/>
  <c r="AG16" i="96"/>
  <c r="AH16" i="96" s="1"/>
  <c r="BP8" i="141"/>
  <c r="BQ8" i="141"/>
  <c r="BK8" i="141"/>
  <c r="BG5" i="141"/>
  <c r="BN8" i="141"/>
  <c r="BG8" i="141"/>
  <c r="BM8" i="141"/>
  <c r="BR8" i="141"/>
  <c r="BJ8" i="141"/>
  <c r="BO8" i="141"/>
  <c r="BI8" i="141"/>
  <c r="BH8" i="141"/>
  <c r="BL8" i="141"/>
  <c r="X13" i="143"/>
  <c r="BQ8" i="142"/>
  <c r="BG8" i="142"/>
  <c r="BG5" i="142"/>
  <c r="BM8" i="142"/>
  <c r="BL8" i="142"/>
  <c r="BH8" i="142"/>
  <c r="BR8" i="142"/>
  <c r="BN8" i="142"/>
  <c r="BK8" i="142"/>
  <c r="BO8" i="142"/>
  <c r="BP8" i="142"/>
  <c r="BJ8" i="142"/>
  <c r="BI8" i="142"/>
  <c r="AH10" i="96"/>
  <c r="BO7" i="96"/>
  <c r="BO9" i="96"/>
  <c r="BO24" i="96"/>
  <c r="BO8" i="96"/>
  <c r="BM7" i="96"/>
  <c r="BM24" i="96"/>
  <c r="BM8" i="96"/>
  <c r="BM9" i="96"/>
  <c r="BL7" i="96"/>
  <c r="BL24" i="96"/>
  <c r="BL9" i="96"/>
  <c r="BL8" i="96"/>
  <c r="BK24" i="96"/>
  <c r="BK9" i="96"/>
  <c r="BK7" i="96"/>
  <c r="BK8" i="96"/>
  <c r="BJ8" i="96"/>
  <c r="BJ24" i="96"/>
  <c r="BJ7" i="96"/>
  <c r="BJ9" i="96"/>
  <c r="BP8" i="96"/>
  <c r="BP7" i="96"/>
  <c r="BP24" i="96"/>
  <c r="BP9" i="96"/>
  <c r="BG24" i="96"/>
  <c r="BG9" i="96"/>
  <c r="BG7" i="96"/>
  <c r="BG8" i="96"/>
  <c r="BQ8" i="96"/>
  <c r="BQ7" i="96"/>
  <c r="BQ9" i="96"/>
  <c r="BQ24" i="96"/>
  <c r="BI24" i="96"/>
  <c r="BI9" i="96"/>
  <c r="BI7" i="96"/>
  <c r="BI8" i="96"/>
  <c r="BN7" i="96"/>
  <c r="BN9" i="96"/>
  <c r="BN8" i="96"/>
  <c r="BN24" i="96"/>
  <c r="BH24" i="96"/>
  <c r="BH9" i="96"/>
  <c r="BH8" i="96"/>
  <c r="BH7" i="96"/>
  <c r="AQ25" i="96"/>
  <c r="AG25" i="96"/>
  <c r="BE25" i="96"/>
  <c r="BR25" i="96"/>
  <c r="AA36" i="140"/>
  <c r="AA37" i="140"/>
  <c r="AA22" i="140"/>
  <c r="AA38" i="140" s="1"/>
  <c r="AD22" i="140"/>
  <c r="AD32" i="140" s="1"/>
  <c r="AD9" i="140"/>
  <c r="AC22" i="140"/>
  <c r="AC32" i="140" s="1"/>
  <c r="AC37" i="140"/>
  <c r="AB30" i="140"/>
  <c r="AD36" i="140"/>
  <c r="AC35" i="140"/>
  <c r="AD35" i="140"/>
  <c r="AB37" i="140"/>
  <c r="AB14" i="140"/>
  <c r="AB26" i="140"/>
  <c r="AB35" i="140"/>
  <c r="AB36" i="140"/>
  <c r="AC36" i="140"/>
  <c r="AA30" i="140"/>
  <c r="AA31" i="140"/>
  <c r="AC31" i="140"/>
  <c r="AC30" i="140"/>
  <c r="AB31" i="140"/>
  <c r="AD31" i="140"/>
  <c r="AD30" i="140"/>
  <c r="AC25" i="140"/>
  <c r="AC26" i="140"/>
  <c r="AA26" i="140"/>
  <c r="AA25" i="140"/>
  <c r="AD25" i="140"/>
  <c r="AD26" i="140"/>
  <c r="R17" i="140"/>
  <c r="AB13" i="140"/>
  <c r="AC13" i="140"/>
  <c r="AB27" i="140"/>
  <c r="W14" i="140"/>
  <c r="X14" i="140" s="1"/>
  <c r="AC14" i="140"/>
  <c r="BP8" i="140"/>
  <c r="BO8" i="140"/>
  <c r="BG8" i="140"/>
  <c r="BK8" i="140"/>
  <c r="BN8" i="140"/>
  <c r="BR8" i="140"/>
  <c r="BJ8" i="140"/>
  <c r="BM8" i="140"/>
  <c r="BL8" i="140"/>
  <c r="BH8" i="140"/>
  <c r="BG5" i="140"/>
  <c r="BQ8" i="140"/>
  <c r="BI8" i="140"/>
  <c r="X13" i="140"/>
  <c r="BI1" i="96"/>
  <c r="BO1" i="96"/>
  <c r="BN1" i="96"/>
  <c r="BQ1" i="96"/>
  <c r="BL1" i="96"/>
  <c r="BK1" i="96"/>
  <c r="BM1" i="96"/>
  <c r="BH1" i="96"/>
  <c r="BG1" i="96"/>
  <c r="BJ1" i="96"/>
  <c r="BP1" i="96"/>
  <c r="CV17" i="96" l="1"/>
  <c r="CZ17" i="96" s="1"/>
  <c r="AJ17" i="96" s="1"/>
  <c r="CV13" i="96"/>
  <c r="CZ13" i="96" s="1"/>
  <c r="AJ13" i="96" s="1"/>
  <c r="CV19" i="96"/>
  <c r="CZ19" i="96" s="1"/>
  <c r="AJ19" i="96" s="1"/>
  <c r="CV15" i="96"/>
  <c r="CZ15" i="96" s="1"/>
  <c r="AJ15" i="96" s="1"/>
  <c r="CV21" i="96"/>
  <c r="CZ21" i="96" s="1"/>
  <c r="AJ21" i="96" s="1"/>
  <c r="CV14" i="96"/>
  <c r="CZ14" i="96" s="1"/>
  <c r="AJ14" i="96" s="1"/>
  <c r="CV10" i="96"/>
  <c r="CZ10" i="96" s="1"/>
  <c r="AJ10" i="96" s="1"/>
  <c r="CV11" i="96"/>
  <c r="CZ11" i="96" s="1"/>
  <c r="AJ11" i="96" s="1"/>
  <c r="CW14" i="96"/>
  <c r="DA14" i="96" s="1"/>
  <c r="AK14" i="96" s="1"/>
  <c r="BZ10" i="96"/>
  <c r="BX9" i="96"/>
  <c r="BW9" i="96"/>
  <c r="BV10" i="96"/>
  <c r="BT10" i="96"/>
  <c r="BY10" i="96"/>
  <c r="BX10" i="96"/>
  <c r="BW10" i="96"/>
  <c r="BU10" i="96"/>
  <c r="CJ10" i="96"/>
  <c r="CH10" i="96"/>
  <c r="CL10" i="96"/>
  <c r="CM9" i="96"/>
  <c r="CK10" i="96"/>
  <c r="CN9" i="96"/>
  <c r="CI10" i="96"/>
  <c r="CM10" i="96"/>
  <c r="CN10" i="96"/>
  <c r="BY9" i="96"/>
  <c r="BZ9" i="96"/>
  <c r="CL9" i="96"/>
  <c r="CK9" i="96"/>
  <c r="CW11" i="96"/>
  <c r="DA11" i="96" s="1"/>
  <c r="AK11" i="96" s="1"/>
  <c r="CV12" i="96"/>
  <c r="CZ12" i="96" s="1"/>
  <c r="AJ12" i="96" s="1"/>
  <c r="CW19" i="96"/>
  <c r="DA19" i="96" s="1"/>
  <c r="AK19" i="96" s="1"/>
  <c r="CW15" i="96"/>
  <c r="DA15" i="96" s="1"/>
  <c r="AK15" i="96" s="1"/>
  <c r="CV22" i="96"/>
  <c r="CZ22" i="96" s="1"/>
  <c r="AJ22" i="96" s="1"/>
  <c r="CW16" i="96"/>
  <c r="DA16" i="96" s="1"/>
  <c r="AK16" i="96" s="1"/>
  <c r="CW22" i="96"/>
  <c r="DA22" i="96" s="1"/>
  <c r="AK22" i="96" s="1"/>
  <c r="CW13" i="96"/>
  <c r="DA13" i="96" s="1"/>
  <c r="AK13" i="96" s="1"/>
  <c r="BX16" i="96"/>
  <c r="BW16" i="96"/>
  <c r="CD15" i="96"/>
  <c r="CC22" i="96"/>
  <c r="CC15" i="96"/>
  <c r="BW22" i="96"/>
  <c r="BW14" i="96"/>
  <c r="BV13" i="96"/>
  <c r="CD11" i="96"/>
  <c r="CA14" i="96"/>
  <c r="CE10" i="96"/>
  <c r="CA13" i="96"/>
  <c r="BW20" i="96"/>
  <c r="BY16" i="96"/>
  <c r="BV22" i="96"/>
  <c r="CD14" i="96"/>
  <c r="BZ16" i="96"/>
  <c r="BX20" i="96"/>
  <c r="CC20" i="96"/>
  <c r="BW19" i="96"/>
  <c r="BY21" i="96"/>
  <c r="BV17" i="96"/>
  <c r="CD19" i="96"/>
  <c r="CB11" i="96"/>
  <c r="CB21" i="96"/>
  <c r="CA11" i="96"/>
  <c r="CE15" i="96"/>
  <c r="BT15" i="96"/>
  <c r="BZ13" i="96"/>
  <c r="BZ17" i="96"/>
  <c r="BW18" i="96"/>
  <c r="BY23" i="96"/>
  <c r="CB10" i="96"/>
  <c r="CA20" i="96"/>
  <c r="CE16" i="96"/>
  <c r="BU13" i="96"/>
  <c r="BU23" i="96"/>
  <c r="BT22" i="96"/>
  <c r="BZ14" i="96"/>
  <c r="CC18" i="96"/>
  <c r="BW11" i="96"/>
  <c r="BV19" i="96"/>
  <c r="BV18" i="96"/>
  <c r="CD23" i="96"/>
  <c r="CB12" i="96"/>
  <c r="CA16" i="96"/>
  <c r="CA22" i="96"/>
  <c r="CE18" i="96"/>
  <c r="BU22" i="96"/>
  <c r="BT21" i="96"/>
  <c r="BZ12" i="96"/>
  <c r="CC13" i="96"/>
  <c r="BY17" i="96"/>
  <c r="BV12" i="96"/>
  <c r="CD21" i="96"/>
  <c r="CB19" i="96"/>
  <c r="CE20" i="96"/>
  <c r="CE14" i="96"/>
  <c r="BU20" i="96"/>
  <c r="BT16" i="96"/>
  <c r="BT14" i="96"/>
  <c r="BZ22" i="96"/>
  <c r="BY19" i="96"/>
  <c r="BV11" i="96"/>
  <c r="CB17" i="96"/>
  <c r="CE11" i="96"/>
  <c r="BU15" i="96"/>
  <c r="BX14" i="96"/>
  <c r="CC16" i="96"/>
  <c r="BW15" i="96"/>
  <c r="BY13" i="96"/>
  <c r="CD20" i="96"/>
  <c r="CB13" i="96"/>
  <c r="CA17" i="96"/>
  <c r="BU14" i="96"/>
  <c r="BX12" i="96"/>
  <c r="CC12" i="96"/>
  <c r="BY20" i="96"/>
  <c r="CD13" i="96"/>
  <c r="CD12" i="96"/>
  <c r="CB14" i="96"/>
  <c r="BT17" i="96"/>
  <c r="BX21" i="96"/>
  <c r="BW17" i="96"/>
  <c r="CD16" i="96"/>
  <c r="CB15" i="96"/>
  <c r="CA21" i="96"/>
  <c r="BU11" i="96"/>
  <c r="BX15" i="96"/>
  <c r="BX17" i="96"/>
  <c r="CC19" i="96"/>
  <c r="BY22" i="96"/>
  <c r="BV21" i="96"/>
  <c r="CA12" i="96"/>
  <c r="CE21" i="96"/>
  <c r="BU19" i="96"/>
  <c r="BZ20" i="96"/>
  <c r="CB22" i="96"/>
  <c r="BT20" i="96"/>
  <c r="BZ15" i="96"/>
  <c r="BX13" i="96"/>
  <c r="BV16" i="96"/>
  <c r="CD22" i="96"/>
  <c r="CE13" i="96"/>
  <c r="BU17" i="96"/>
  <c r="BT12" i="96"/>
  <c r="BX22" i="96"/>
  <c r="CC10" i="96"/>
  <c r="BV15" i="96"/>
  <c r="CA15" i="96"/>
  <c r="CE22" i="96"/>
  <c r="CE12" i="96"/>
  <c r="BU16" i="96"/>
  <c r="BT19" i="96"/>
  <c r="BT13" i="96"/>
  <c r="CC21" i="96"/>
  <c r="BY18" i="96"/>
  <c r="CD17" i="96"/>
  <c r="CB20" i="96"/>
  <c r="CA19" i="96"/>
  <c r="BT11" i="96"/>
  <c r="BX19" i="96"/>
  <c r="BY15" i="96"/>
  <c r="BV20" i="96"/>
  <c r="BV14" i="96"/>
  <c r="CD10" i="96"/>
  <c r="BZ19" i="96"/>
  <c r="CC11" i="96"/>
  <c r="CC14" i="96"/>
  <c r="BW13" i="96"/>
  <c r="BY11" i="96"/>
  <c r="CB23" i="96"/>
  <c r="BU21" i="96"/>
  <c r="BZ11" i="96"/>
  <c r="BX11" i="96"/>
  <c r="BY12" i="96"/>
  <c r="CD18" i="96"/>
  <c r="CB16" i="96"/>
  <c r="CA10" i="96"/>
  <c r="AA27" i="140"/>
  <c r="BH9" i="141"/>
  <c r="BH35" i="141" s="1"/>
  <c r="BH44" i="141" s="1"/>
  <c r="BN9" i="141"/>
  <c r="BN35" i="141" s="1"/>
  <c r="BN44" i="141" s="1"/>
  <c r="BG9" i="141"/>
  <c r="BG16" i="141" s="1"/>
  <c r="BG25" i="141" s="1"/>
  <c r="BK9" i="141"/>
  <c r="BO9" i="141"/>
  <c r="BO39" i="141" s="1"/>
  <c r="BO47" i="141" s="1"/>
  <c r="BG17" i="141"/>
  <c r="BG26" i="141" s="1"/>
  <c r="BL9" i="141"/>
  <c r="BL21" i="141" s="1"/>
  <c r="BL29" i="141" s="1"/>
  <c r="BQ9" i="141"/>
  <c r="BQ35" i="141" s="1"/>
  <c r="BQ44" i="141" s="1"/>
  <c r="BM9" i="141"/>
  <c r="BM34" i="141" s="1"/>
  <c r="BM43" i="141" s="1"/>
  <c r="BR9" i="141"/>
  <c r="BR34" i="141" s="1"/>
  <c r="BR43" i="141" s="1"/>
  <c r="BP9" i="141"/>
  <c r="BP17" i="141" s="1"/>
  <c r="BP26" i="141" s="1"/>
  <c r="BI9" i="141"/>
  <c r="BI39" i="141" s="1"/>
  <c r="BI47" i="141" s="1"/>
  <c r="BQ16" i="141"/>
  <c r="BQ25" i="141" s="1"/>
  <c r="BQ39" i="141"/>
  <c r="BQ47" i="141" s="1"/>
  <c r="BQ34" i="141"/>
  <c r="BQ43" i="141" s="1"/>
  <c r="CW12" i="96"/>
  <c r="DA12" i="96" s="1"/>
  <c r="AK12" i="96" s="1"/>
  <c r="CO12" i="96"/>
  <c r="CL12" i="96"/>
  <c r="CP12" i="96"/>
  <c r="CN12" i="96"/>
  <c r="CJ12" i="96"/>
  <c r="CW23" i="96"/>
  <c r="DA23" i="96" s="1"/>
  <c r="AK23" i="96" s="1"/>
  <c r="CL23" i="96"/>
  <c r="CJ23" i="96"/>
  <c r="CR23" i="96"/>
  <c r="CS23" i="96"/>
  <c r="CH23" i="96"/>
  <c r="CP23" i="96"/>
  <c r="CQ23" i="96"/>
  <c r="CX11" i="96"/>
  <c r="DB11" i="96" s="1"/>
  <c r="AL11" i="96" s="1"/>
  <c r="CX12" i="96"/>
  <c r="DB12" i="96" s="1"/>
  <c r="AL12" i="96" s="1"/>
  <c r="BU12" i="96"/>
  <c r="BW12" i="96"/>
  <c r="CX17" i="96"/>
  <c r="DB17" i="96" s="1"/>
  <c r="AL17" i="96" s="1"/>
  <c r="CE17" i="96"/>
  <c r="CC17" i="96"/>
  <c r="CR12" i="96"/>
  <c r="CV20" i="96"/>
  <c r="CZ20" i="96" s="1"/>
  <c r="AJ20" i="96" s="1"/>
  <c r="CN22" i="96"/>
  <c r="CL20" i="96"/>
  <c r="CQ19" i="96"/>
  <c r="CK19" i="96"/>
  <c r="CM22" i="96"/>
  <c r="CJ11" i="96"/>
  <c r="CS11" i="96"/>
  <c r="CS15" i="96"/>
  <c r="CN20" i="96"/>
  <c r="CM15" i="96"/>
  <c r="CR10" i="96"/>
  <c r="CP10" i="96"/>
  <c r="CO20" i="96"/>
  <c r="CI14" i="96"/>
  <c r="CH20" i="96"/>
  <c r="CN19" i="96"/>
  <c r="CN15" i="96"/>
  <c r="CQ14" i="96"/>
  <c r="CM20" i="96"/>
  <c r="CM14" i="96"/>
  <c r="CJ16" i="96"/>
  <c r="CR13" i="96"/>
  <c r="CO16" i="96"/>
  <c r="CI22" i="96"/>
  <c r="CL11" i="96"/>
  <c r="CP15" i="96"/>
  <c r="CQ21" i="96"/>
  <c r="CM19" i="96"/>
  <c r="CO19" i="96"/>
  <c r="CI15" i="96"/>
  <c r="CH11" i="96"/>
  <c r="CL18" i="96"/>
  <c r="CQ16" i="96"/>
  <c r="CJ20" i="96"/>
  <c r="CR11" i="96"/>
  <c r="CP13" i="96"/>
  <c r="CH18" i="96"/>
  <c r="CN23" i="96"/>
  <c r="CK13" i="96"/>
  <c r="CH17" i="96"/>
  <c r="CN11" i="96"/>
  <c r="CL21" i="96"/>
  <c r="CK20" i="96"/>
  <c r="CM12" i="96"/>
  <c r="CO21" i="96"/>
  <c r="CI11" i="96"/>
  <c r="CL17" i="96"/>
  <c r="CQ20" i="96"/>
  <c r="CK16" i="96"/>
  <c r="CR19" i="96"/>
  <c r="CO11" i="96"/>
  <c r="CI19" i="96"/>
  <c r="CH15" i="96"/>
  <c r="CN13" i="96"/>
  <c r="CS16" i="96"/>
  <c r="CI13" i="96"/>
  <c r="CH22" i="96"/>
  <c r="CK11" i="96"/>
  <c r="CJ19" i="96"/>
  <c r="CO22" i="96"/>
  <c r="CS17" i="96"/>
  <c r="CI17" i="96"/>
  <c r="CH12" i="96"/>
  <c r="CH21" i="96"/>
  <c r="CN21" i="96"/>
  <c r="CL22" i="96"/>
  <c r="CQ17" i="96"/>
  <c r="CM17" i="96"/>
  <c r="CJ22" i="96"/>
  <c r="CR21" i="96"/>
  <c r="CS20" i="96"/>
  <c r="CS14" i="96"/>
  <c r="CH14" i="96"/>
  <c r="CR15" i="96"/>
  <c r="CP20" i="96"/>
  <c r="CI12" i="96"/>
  <c r="CL19" i="96"/>
  <c r="CL14" i="96"/>
  <c r="CQ15" i="96"/>
  <c r="CK15" i="96"/>
  <c r="CM13" i="96"/>
  <c r="CJ13" i="96"/>
  <c r="CJ14" i="96"/>
  <c r="CR20" i="96"/>
  <c r="CO17" i="96"/>
  <c r="CS19" i="96"/>
  <c r="CQ11" i="96"/>
  <c r="CQ12" i="96"/>
  <c r="CK21" i="96"/>
  <c r="CM11" i="96"/>
  <c r="CP14" i="96"/>
  <c r="CK17" i="96"/>
  <c r="CM16" i="96"/>
  <c r="CR16" i="96"/>
  <c r="CR14" i="96"/>
  <c r="CP16" i="96"/>
  <c r="CH16" i="96"/>
  <c r="CN16" i="96"/>
  <c r="CL15" i="96"/>
  <c r="CL16" i="96"/>
  <c r="CK23" i="96"/>
  <c r="CM21" i="96"/>
  <c r="CJ21" i="96"/>
  <c r="CP11" i="96"/>
  <c r="CS21" i="96"/>
  <c r="CI18" i="96"/>
  <c r="CN17" i="96"/>
  <c r="CQ22" i="96"/>
  <c r="CK18" i="96"/>
  <c r="CK14" i="96"/>
  <c r="CP22" i="96"/>
  <c r="CO14" i="96"/>
  <c r="CS10" i="96"/>
  <c r="CI23" i="96"/>
  <c r="CN14" i="96"/>
  <c r="CL13" i="96"/>
  <c r="CJ18" i="96"/>
  <c r="CR22" i="96"/>
  <c r="CO13" i="96"/>
  <c r="CS18" i="96"/>
  <c r="CS13" i="96"/>
  <c r="CQ13" i="96"/>
  <c r="CQ10" i="96"/>
  <c r="CK12" i="96"/>
  <c r="CJ15" i="96"/>
  <c r="CP19" i="96"/>
  <c r="CO23" i="96"/>
  <c r="CS22" i="96"/>
  <c r="CS12" i="96"/>
  <c r="CI16" i="96"/>
  <c r="CH19" i="96"/>
  <c r="CH13" i="96"/>
  <c r="CI20" i="96"/>
  <c r="CW20" i="96"/>
  <c r="DA20" i="96" s="1"/>
  <c r="AK20" i="96" s="1"/>
  <c r="CW17" i="96"/>
  <c r="DA17" i="96" s="1"/>
  <c r="AK17" i="96" s="1"/>
  <c r="CJ17" i="96"/>
  <c r="CR17" i="96"/>
  <c r="CP17" i="96"/>
  <c r="CX22" i="96"/>
  <c r="DB22" i="96" s="1"/>
  <c r="AL22" i="96" s="1"/>
  <c r="CX18" i="96"/>
  <c r="DB18" i="96" s="1"/>
  <c r="AL18" i="96" s="1"/>
  <c r="BZ18" i="96"/>
  <c r="BU18" i="96"/>
  <c r="BX18" i="96"/>
  <c r="CB18" i="96"/>
  <c r="BT18" i="96"/>
  <c r="CA18" i="96"/>
  <c r="CX14" i="96"/>
  <c r="DB14" i="96" s="1"/>
  <c r="AL14" i="96" s="1"/>
  <c r="CX16" i="96"/>
  <c r="DB16" i="96" s="1"/>
  <c r="AL16" i="96" s="1"/>
  <c r="BY14" i="96"/>
  <c r="CV16" i="96"/>
  <c r="CZ16" i="96" s="1"/>
  <c r="AJ16" i="96" s="1"/>
  <c r="BG9" i="142"/>
  <c r="BG16" i="142" s="1"/>
  <c r="BG25" i="142" s="1"/>
  <c r="BI9" i="142"/>
  <c r="BI21" i="142" s="1"/>
  <c r="BI29" i="142" s="1"/>
  <c r="BJ9" i="142"/>
  <c r="BJ16" i="142" s="1"/>
  <c r="BJ25" i="142" s="1"/>
  <c r="BH9" i="142"/>
  <c r="BL9" i="142"/>
  <c r="BL16" i="142" s="1"/>
  <c r="BL25" i="142" s="1"/>
  <c r="BP9" i="142"/>
  <c r="BP17" i="142" s="1"/>
  <c r="BP26" i="142" s="1"/>
  <c r="BK9" i="142"/>
  <c r="BK17" i="142" s="1"/>
  <c r="BK26" i="142" s="1"/>
  <c r="BM9" i="142"/>
  <c r="BM17" i="142" s="1"/>
  <c r="BM26" i="142" s="1"/>
  <c r="BN9" i="142"/>
  <c r="BN34" i="142" s="1"/>
  <c r="BN43" i="142" s="1"/>
  <c r="BO9" i="142"/>
  <c r="BO34" i="142" s="1"/>
  <c r="BO43" i="142" s="1"/>
  <c r="BJ9" i="141"/>
  <c r="BJ39" i="141" s="1"/>
  <c r="BJ47" i="141" s="1"/>
  <c r="BH34" i="141"/>
  <c r="BH43" i="141" s="1"/>
  <c r="CX13" i="96"/>
  <c r="DB13" i="96" s="1"/>
  <c r="AL13" i="96" s="1"/>
  <c r="CX15" i="96"/>
  <c r="DB15" i="96" s="1"/>
  <c r="AL15" i="96" s="1"/>
  <c r="CX21" i="96"/>
  <c r="DB21" i="96" s="1"/>
  <c r="AL21" i="96" s="1"/>
  <c r="BW21" i="96"/>
  <c r="BZ21" i="96"/>
  <c r="CK22" i="96"/>
  <c r="CX10" i="96"/>
  <c r="DB10" i="96" s="1"/>
  <c r="AL10" i="96" s="1"/>
  <c r="BK9" i="143"/>
  <c r="BK17" i="143" s="1"/>
  <c r="BK26" i="143" s="1"/>
  <c r="BN9" i="143"/>
  <c r="BN17" i="143" s="1"/>
  <c r="BN26" i="143" s="1"/>
  <c r="BQ9" i="143"/>
  <c r="BQ39" i="143" s="1"/>
  <c r="BQ47" i="143" s="1"/>
  <c r="BM9" i="143"/>
  <c r="BM16" i="143" s="1"/>
  <c r="BM25" i="143" s="1"/>
  <c r="BG9" i="143"/>
  <c r="BG39" i="143" s="1"/>
  <c r="BG47" i="143" s="1"/>
  <c r="BJ9" i="143"/>
  <c r="BJ39" i="143" s="1"/>
  <c r="BJ47" i="143" s="1"/>
  <c r="BI9" i="143"/>
  <c r="BI35" i="143" s="1"/>
  <c r="BI44" i="143" s="1"/>
  <c r="BP9" i="143"/>
  <c r="BP16" i="143" s="1"/>
  <c r="BP25" i="143" s="1"/>
  <c r="BO9" i="143"/>
  <c r="BO39" i="143" s="1"/>
  <c r="BO47" i="143" s="1"/>
  <c r="BR9" i="143"/>
  <c r="BR16" i="143" s="1"/>
  <c r="BR25" i="143" s="1"/>
  <c r="BL9" i="143"/>
  <c r="BL34" i="143" s="1"/>
  <c r="BL43" i="143" s="1"/>
  <c r="BH9" i="143"/>
  <c r="BH39" i="143" s="1"/>
  <c r="BH47" i="143" s="1"/>
  <c r="BQ9" i="142"/>
  <c r="BQ34" i="142" s="1"/>
  <c r="BQ43" i="142" s="1"/>
  <c r="BR9" i="142"/>
  <c r="BR34" i="142" s="1"/>
  <c r="BR43" i="142" s="1"/>
  <c r="BK34" i="142"/>
  <c r="BK43" i="142" s="1"/>
  <c r="BK21" i="142"/>
  <c r="BK29" i="142" s="1"/>
  <c r="BK39" i="142"/>
  <c r="BK47" i="142" s="1"/>
  <c r="BK35" i="142"/>
  <c r="BK44" i="142" s="1"/>
  <c r="BI35" i="141"/>
  <c r="BI44" i="141" s="1"/>
  <c r="BI17" i="141"/>
  <c r="BI26" i="141" s="1"/>
  <c r="BK16" i="141"/>
  <c r="BK25" i="141" s="1"/>
  <c r="CW18" i="96"/>
  <c r="DA18" i="96" s="1"/>
  <c r="AK18" i="96" s="1"/>
  <c r="CM18" i="96"/>
  <c r="CQ18" i="96"/>
  <c r="CR18" i="96"/>
  <c r="CO18" i="96"/>
  <c r="CN18" i="96"/>
  <c r="CW21" i="96"/>
  <c r="DA21" i="96" s="1"/>
  <c r="AK21" i="96" s="1"/>
  <c r="CP21" i="96"/>
  <c r="CI21" i="96"/>
  <c r="CO10" i="96"/>
  <c r="CW10" i="96"/>
  <c r="DA10" i="96" s="1"/>
  <c r="AK10" i="96" s="1"/>
  <c r="CO15" i="96"/>
  <c r="CX23" i="96"/>
  <c r="DB23" i="96" s="1"/>
  <c r="AL23" i="96" s="1"/>
  <c r="CC23" i="96"/>
  <c r="BX23" i="96"/>
  <c r="BV23" i="96"/>
  <c r="BZ23" i="96"/>
  <c r="BW23" i="96"/>
  <c r="CE23" i="96"/>
  <c r="BT23" i="96"/>
  <c r="CA23" i="96"/>
  <c r="CE19" i="96"/>
  <c r="CX19" i="96"/>
  <c r="DB19" i="96" s="1"/>
  <c r="AL19" i="96" s="1"/>
  <c r="CX20" i="96"/>
  <c r="DB20" i="96" s="1"/>
  <c r="AL20" i="96" s="1"/>
  <c r="CM23" i="96"/>
  <c r="CP18" i="96"/>
  <c r="BI25" i="96"/>
  <c r="BK25" i="96"/>
  <c r="BN25" i="96"/>
  <c r="BJ25" i="96"/>
  <c r="BM25" i="96"/>
  <c r="CV7" i="96"/>
  <c r="CZ7" i="96" s="1"/>
  <c r="AJ7" i="96" s="1"/>
  <c r="BP25" i="96"/>
  <c r="BH25" i="96"/>
  <c r="BL25" i="96"/>
  <c r="BG25" i="96"/>
  <c r="BQ25" i="96"/>
  <c r="BO25" i="96"/>
  <c r="CL24" i="96"/>
  <c r="CJ24" i="96"/>
  <c r="CM24" i="96"/>
  <c r="CN24" i="96"/>
  <c r="CK24" i="96"/>
  <c r="CH24" i="96"/>
  <c r="CI24" i="96"/>
  <c r="BU24" i="96"/>
  <c r="BV24" i="96"/>
  <c r="BY24" i="96"/>
  <c r="BX24" i="96"/>
  <c r="BW24" i="96"/>
  <c r="BZ24" i="96"/>
  <c r="BT24" i="96"/>
  <c r="CV8" i="96"/>
  <c r="CZ8" i="96" s="1"/>
  <c r="AJ8" i="96" s="1"/>
  <c r="AB38" i="140"/>
  <c r="AA32" i="140"/>
  <c r="AD27" i="140"/>
  <c r="AD38" i="140"/>
  <c r="AC27" i="140"/>
  <c r="AC38" i="140"/>
  <c r="AD14" i="140"/>
  <c r="AD13" i="140"/>
  <c r="BZ8" i="96"/>
  <c r="BV8" i="96"/>
  <c r="BU8" i="96"/>
  <c r="BX8" i="96"/>
  <c r="BY8" i="96"/>
  <c r="BW8" i="96"/>
  <c r="BT8" i="96"/>
  <c r="CI8" i="96"/>
  <c r="CN8" i="96"/>
  <c r="CL8" i="96"/>
  <c r="CJ8" i="96"/>
  <c r="CH8" i="96"/>
  <c r="CM8" i="96"/>
  <c r="CK8" i="96"/>
  <c r="CV9" i="96"/>
  <c r="CZ9" i="96" s="1"/>
  <c r="AJ9" i="96" s="1"/>
  <c r="BK9" i="140"/>
  <c r="BK34" i="140" s="1"/>
  <c r="BK43" i="140" s="1"/>
  <c r="BH9" i="140"/>
  <c r="BH35" i="140" s="1"/>
  <c r="BH44" i="140" s="1"/>
  <c r="BR9" i="140"/>
  <c r="BJ9" i="140"/>
  <c r="BJ16" i="140" s="1"/>
  <c r="BJ25" i="140" s="1"/>
  <c r="BN9" i="140"/>
  <c r="BN17" i="140" s="1"/>
  <c r="BN26" i="140" s="1"/>
  <c r="BG9" i="140"/>
  <c r="BG17" i="140" s="1"/>
  <c r="BG26" i="140" s="1"/>
  <c r="BP9" i="140"/>
  <c r="BO9" i="140"/>
  <c r="BL9" i="140"/>
  <c r="BL35" i="140" s="1"/>
  <c r="BL44" i="140" s="1"/>
  <c r="BQ9" i="140"/>
  <c r="BM9" i="140"/>
  <c r="BM34" i="140" s="1"/>
  <c r="BM43" i="140" s="1"/>
  <c r="BI9" i="140"/>
  <c r="BI16" i="140" s="1"/>
  <c r="BI25" i="140" s="1"/>
  <c r="AC6" i="140"/>
  <c r="AD6" i="140" s="1"/>
  <c r="W6" i="140"/>
  <c r="X6" i="140" s="1"/>
  <c r="AC25" i="96"/>
  <c r="AA25" i="96"/>
  <c r="Y25" i="96"/>
  <c r="AD25" i="96"/>
  <c r="AB25" i="96"/>
  <c r="Z25" i="96"/>
  <c r="G25" i="96"/>
  <c r="AF25" i="96"/>
  <c r="S25" i="96"/>
  <c r="R25" i="96"/>
  <c r="Q25" i="96"/>
  <c r="P25" i="96"/>
  <c r="CA8" i="96"/>
  <c r="CC8" i="96"/>
  <c r="AH7" i="96"/>
  <c r="CV24" i="96"/>
  <c r="CZ24" i="96" s="1"/>
  <c r="AJ24" i="96" s="1"/>
  <c r="AH9" i="96"/>
  <c r="CD24" i="96"/>
  <c r="CA24" i="96"/>
  <c r="CC24" i="96"/>
  <c r="CE24" i="96"/>
  <c r="CX24" i="96"/>
  <c r="DB24" i="96" s="1"/>
  <c r="AL24" i="96" s="1"/>
  <c r="CB24" i="96"/>
  <c r="BZ7" i="96"/>
  <c r="BY7" i="96"/>
  <c r="BV7" i="96"/>
  <c r="CX7" i="96"/>
  <c r="DB7" i="96" s="1"/>
  <c r="AL7" i="96" s="1"/>
  <c r="BT7" i="96"/>
  <c r="CE7" i="96"/>
  <c r="BW7" i="96"/>
  <c r="BX7" i="96"/>
  <c r="BU7" i="96"/>
  <c r="CD7" i="96"/>
  <c r="CB7" i="96"/>
  <c r="CA7" i="96"/>
  <c r="CC7" i="96"/>
  <c r="CW24" i="96"/>
  <c r="DA24" i="96" s="1"/>
  <c r="AK24" i="96" s="1"/>
  <c r="CR24" i="96"/>
  <c r="CP24" i="96"/>
  <c r="CO24" i="96"/>
  <c r="CS24" i="96"/>
  <c r="CQ24" i="96"/>
  <c r="CJ7" i="96"/>
  <c r="CM7" i="96"/>
  <c r="CI7" i="96"/>
  <c r="CN7" i="96"/>
  <c r="CH7" i="96"/>
  <c r="CR7" i="96"/>
  <c r="CL7" i="96"/>
  <c r="CS7" i="96"/>
  <c r="CO7" i="96"/>
  <c r="CK7" i="96"/>
  <c r="CP7" i="96"/>
  <c r="CQ7" i="96"/>
  <c r="J25" i="96"/>
  <c r="AP25" i="96"/>
  <c r="AH8" i="96"/>
  <c r="CX8" i="96"/>
  <c r="DB8" i="96" s="1"/>
  <c r="AL8" i="96" s="1"/>
  <c r="CE8" i="96"/>
  <c r="CD8" i="96"/>
  <c r="CB8" i="96"/>
  <c r="CP9" i="96"/>
  <c r="CS9" i="96"/>
  <c r="CR9" i="96"/>
  <c r="CJ9" i="96"/>
  <c r="CW9" i="96"/>
  <c r="DA9" i="96" s="1"/>
  <c r="AK9" i="96" s="1"/>
  <c r="CQ9" i="96"/>
  <c r="CO9" i="96"/>
  <c r="CI9" i="96"/>
  <c r="CH9" i="96"/>
  <c r="CS8" i="96"/>
  <c r="CW8" i="96"/>
  <c r="DA8" i="96" s="1"/>
  <c r="AK8" i="96" s="1"/>
  <c r="CP8" i="96"/>
  <c r="CR8" i="96"/>
  <c r="CQ8" i="96"/>
  <c r="CO8" i="96"/>
  <c r="CW7" i="96"/>
  <c r="DA7" i="96" s="1"/>
  <c r="AK7" i="96" s="1"/>
  <c r="BU9" i="96"/>
  <c r="BV9" i="96"/>
  <c r="CE9" i="96"/>
  <c r="BT9" i="96"/>
  <c r="CA9" i="96"/>
  <c r="CD9" i="96"/>
  <c r="CC9" i="96"/>
  <c r="CX9" i="96"/>
  <c r="DB9" i="96" s="1"/>
  <c r="AL9" i="96" s="1"/>
  <c r="CB9" i="96"/>
  <c r="AH24" i="96"/>
  <c r="BH16" i="141" l="1"/>
  <c r="BH25" i="141" s="1"/>
  <c r="BI21" i="141"/>
  <c r="BI29" i="141" s="1"/>
  <c r="BH17" i="141"/>
  <c r="BH26" i="141" s="1"/>
  <c r="BI16" i="141"/>
  <c r="BI25" i="141" s="1"/>
  <c r="BH39" i="141"/>
  <c r="BH47" i="141" s="1"/>
  <c r="BI34" i="141"/>
  <c r="BI43" i="141" s="1"/>
  <c r="BH21" i="141"/>
  <c r="BH29" i="141" s="1"/>
  <c r="BP39" i="141"/>
  <c r="BP47" i="141" s="1"/>
  <c r="BN35" i="143"/>
  <c r="BN44" i="143" s="1"/>
  <c r="BN16" i="143"/>
  <c r="BN25" i="143" s="1"/>
  <c r="BH16" i="143"/>
  <c r="BH25" i="143" s="1"/>
  <c r="BM16" i="141"/>
  <c r="BM25" i="141" s="1"/>
  <c r="BH35" i="143"/>
  <c r="BH44" i="143" s="1"/>
  <c r="BL35" i="142"/>
  <c r="BL44" i="142" s="1"/>
  <c r="BR17" i="141"/>
  <c r="BR26" i="141" s="1"/>
  <c r="BR39" i="141"/>
  <c r="BR47" i="141" s="1"/>
  <c r="BR16" i="141"/>
  <c r="BR25" i="141" s="1"/>
  <c r="BR35" i="141"/>
  <c r="BR44" i="141" s="1"/>
  <c r="BG16" i="143"/>
  <c r="BG25" i="143" s="1"/>
  <c r="BH21" i="143"/>
  <c r="BH29" i="143" s="1"/>
  <c r="BG17" i="143"/>
  <c r="BG26" i="143" s="1"/>
  <c r="BK34" i="143"/>
  <c r="BK43" i="143" s="1"/>
  <c r="BK21" i="143"/>
  <c r="BK29" i="143" s="1"/>
  <c r="BQ35" i="142"/>
  <c r="BQ44" i="142" s="1"/>
  <c r="BK35" i="143"/>
  <c r="BK44" i="143" s="1"/>
  <c r="BL16" i="143"/>
  <c r="BL25" i="143" s="1"/>
  <c r="BQ39" i="142"/>
  <c r="BQ47" i="142" s="1"/>
  <c r="BK16" i="143"/>
  <c r="BK25" i="143" s="1"/>
  <c r="BM17" i="141"/>
  <c r="BM26" i="141" s="1"/>
  <c r="BM35" i="141"/>
  <c r="BM44" i="141" s="1"/>
  <c r="BG17" i="142"/>
  <c r="BG26" i="142" s="1"/>
  <c r="BM39" i="141"/>
  <c r="BM47" i="141" s="1"/>
  <c r="BL21" i="142"/>
  <c r="BL29" i="142" s="1"/>
  <c r="BQ17" i="141"/>
  <c r="BQ26" i="141" s="1"/>
  <c r="BG39" i="141"/>
  <c r="BG47" i="141" s="1"/>
  <c r="CT10" i="96"/>
  <c r="AM10" i="96" s="1"/>
  <c r="BX25" i="96"/>
  <c r="BK16" i="142"/>
  <c r="BK25" i="142" s="1"/>
  <c r="BN39" i="143"/>
  <c r="BN47" i="143" s="1"/>
  <c r="BL39" i="141"/>
  <c r="BL47" i="141" s="1"/>
  <c r="BG21" i="142"/>
  <c r="BG29" i="142" s="1"/>
  <c r="BL16" i="141"/>
  <c r="BL25" i="141" s="1"/>
  <c r="BL17" i="141"/>
  <c r="BL26" i="141" s="1"/>
  <c r="BL35" i="141"/>
  <c r="BL44" i="141" s="1"/>
  <c r="BH17" i="143"/>
  <c r="BH26" i="143" s="1"/>
  <c r="BG34" i="143"/>
  <c r="BG43" i="143" s="1"/>
  <c r="BL34" i="141"/>
  <c r="BL43" i="141" s="1"/>
  <c r="BG21" i="143"/>
  <c r="BG29" i="143" s="1"/>
  <c r="BG35" i="143"/>
  <c r="BG44" i="143" s="1"/>
  <c r="BG35" i="142"/>
  <c r="BG44" i="142" s="1"/>
  <c r="BG34" i="142"/>
  <c r="BG43" i="142" s="1"/>
  <c r="BO17" i="143"/>
  <c r="BO26" i="143" s="1"/>
  <c r="BR34" i="143"/>
  <c r="BR43" i="143" s="1"/>
  <c r="BJ16" i="141"/>
  <c r="BJ25" i="141" s="1"/>
  <c r="BP35" i="142"/>
  <c r="BP44" i="142" s="1"/>
  <c r="BO17" i="141"/>
  <c r="BO26" i="141" s="1"/>
  <c r="CF16" i="96"/>
  <c r="AN16" i="96" s="1"/>
  <c r="BG39" i="142"/>
  <c r="BG47" i="142" s="1"/>
  <c r="BO17" i="142"/>
  <c r="BO26" i="142" s="1"/>
  <c r="BO34" i="143"/>
  <c r="BO43" i="143" s="1"/>
  <c r="BJ21" i="141"/>
  <c r="BJ29" i="141" s="1"/>
  <c r="BI16" i="143"/>
  <c r="BI25" i="143" s="1"/>
  <c r="BO35" i="142"/>
  <c r="BO44" i="142" s="1"/>
  <c r="BR39" i="143"/>
  <c r="BR47" i="143" s="1"/>
  <c r="BM39" i="143"/>
  <c r="BM47" i="143" s="1"/>
  <c r="BJ17" i="141"/>
  <c r="BJ26" i="141" s="1"/>
  <c r="BR35" i="142"/>
  <c r="BR44" i="142" s="1"/>
  <c r="BP35" i="143"/>
  <c r="BP44" i="143" s="1"/>
  <c r="BN17" i="142"/>
  <c r="BN26" i="142" s="1"/>
  <c r="BI34" i="143"/>
  <c r="BI43" i="143" s="1"/>
  <c r="BJ17" i="142"/>
  <c r="BJ26" i="142" s="1"/>
  <c r="BH36" i="142"/>
  <c r="BH18" i="142"/>
  <c r="BH19" i="142"/>
  <c r="BH37" i="142"/>
  <c r="BI19" i="142"/>
  <c r="BI36" i="142"/>
  <c r="BI37" i="142"/>
  <c r="BI18" i="142"/>
  <c r="BQ17" i="143"/>
  <c r="BQ26" i="143" s="1"/>
  <c r="CT21" i="96"/>
  <c r="AM21" i="96" s="1"/>
  <c r="BJ35" i="143"/>
  <c r="BJ44" i="143" s="1"/>
  <c r="BK39" i="141"/>
  <c r="BK47" i="141" s="1"/>
  <c r="BK19" i="141"/>
  <c r="BK18" i="141"/>
  <c r="BK36" i="141"/>
  <c r="BK37" i="141"/>
  <c r="BM39" i="142"/>
  <c r="BM47" i="142" s="1"/>
  <c r="CF19" i="96"/>
  <c r="AN19" i="96" s="1"/>
  <c r="BH34" i="143"/>
  <c r="BH43" i="143" s="1"/>
  <c r="BL21" i="143"/>
  <c r="BL29" i="143" s="1"/>
  <c r="BK34" i="141"/>
  <c r="BK43" i="141" s="1"/>
  <c r="BL39" i="142"/>
  <c r="BL47" i="142" s="1"/>
  <c r="BL34" i="142"/>
  <c r="BL43" i="142" s="1"/>
  <c r="BI17" i="142"/>
  <c r="BI26" i="142" s="1"/>
  <c r="BG36" i="143"/>
  <c r="BG19" i="143"/>
  <c r="BG18" i="143"/>
  <c r="BG37" i="143"/>
  <c r="BN34" i="143"/>
  <c r="BN43" i="143" s="1"/>
  <c r="BI17" i="143"/>
  <c r="BI26" i="143" s="1"/>
  <c r="BI39" i="143"/>
  <c r="BI47" i="143" s="1"/>
  <c r="BJ19" i="141"/>
  <c r="BJ18" i="141"/>
  <c r="BJ36" i="141"/>
  <c r="BJ37" i="141"/>
  <c r="BK19" i="142"/>
  <c r="BK18" i="142"/>
  <c r="BK37" i="142"/>
  <c r="BK36" i="142"/>
  <c r="BG36" i="142"/>
  <c r="BG19" i="142"/>
  <c r="BG37" i="142"/>
  <c r="BG18" i="142"/>
  <c r="BH35" i="142"/>
  <c r="BH44" i="142" s="1"/>
  <c r="BO39" i="142"/>
  <c r="BO47" i="142" s="1"/>
  <c r="BO35" i="143"/>
  <c r="BO44" i="143" s="1"/>
  <c r="BR35" i="143"/>
  <c r="BR44" i="143" s="1"/>
  <c r="BM17" i="143"/>
  <c r="BM26" i="143" s="1"/>
  <c r="BP34" i="141"/>
  <c r="BP43" i="141" s="1"/>
  <c r="BN17" i="141"/>
  <c r="BN26" i="141" s="1"/>
  <c r="BJ35" i="141"/>
  <c r="BJ44" i="141" s="1"/>
  <c r="BR17" i="142"/>
  <c r="BR26" i="142" s="1"/>
  <c r="CT16" i="96"/>
  <c r="AM16" i="96" s="1"/>
  <c r="CT14" i="96"/>
  <c r="AM14" i="96" s="1"/>
  <c r="CT22" i="96"/>
  <c r="AM22" i="96" s="1"/>
  <c r="CT15" i="96"/>
  <c r="AM15" i="96" s="1"/>
  <c r="CT18" i="96"/>
  <c r="AM18" i="96" s="1"/>
  <c r="BP17" i="143"/>
  <c r="BP26" i="143" s="1"/>
  <c r="BP39" i="143"/>
  <c r="BP47" i="143" s="1"/>
  <c r="BL19" i="141"/>
  <c r="BL18" i="141"/>
  <c r="BG35" i="141"/>
  <c r="BG44" i="141" s="1"/>
  <c r="BO16" i="141"/>
  <c r="BO25" i="141" s="1"/>
  <c r="BO35" i="141"/>
  <c r="BO44" i="141" s="1"/>
  <c r="BM34" i="142"/>
  <c r="BM43" i="142" s="1"/>
  <c r="BN16" i="142"/>
  <c r="BN25" i="142" s="1"/>
  <c r="BN35" i="142"/>
  <c r="BN44" i="142" s="1"/>
  <c r="BJ21" i="142"/>
  <c r="BJ29" i="142" s="1"/>
  <c r="CF10" i="96"/>
  <c r="AN10" i="96" s="1"/>
  <c r="CF13" i="96"/>
  <c r="AN13" i="96" s="1"/>
  <c r="CF20" i="96"/>
  <c r="AN20" i="96" s="1"/>
  <c r="BL18" i="143"/>
  <c r="BJ37" i="143"/>
  <c r="BJ18" i="143"/>
  <c r="BJ19" i="143"/>
  <c r="BJ36" i="143"/>
  <c r="CT23" i="96"/>
  <c r="AM23" i="96" s="1"/>
  <c r="CF15" i="96"/>
  <c r="AN15" i="96" s="1"/>
  <c r="BL39" i="143"/>
  <c r="BL47" i="143" s="1"/>
  <c r="BL35" i="143"/>
  <c r="BL44" i="143" s="1"/>
  <c r="CF23" i="96"/>
  <c r="AN23" i="96" s="1"/>
  <c r="BK35" i="141"/>
  <c r="BK44" i="141" s="1"/>
  <c r="BK17" i="141"/>
  <c r="BK26" i="141" s="1"/>
  <c r="BQ16" i="142"/>
  <c r="BQ25" i="142" s="1"/>
  <c r="BL17" i="142"/>
  <c r="BL26" i="142" s="1"/>
  <c r="BI35" i="142"/>
  <c r="BI44" i="142" s="1"/>
  <c r="BI16" i="142"/>
  <c r="BI25" i="142" s="1"/>
  <c r="BK39" i="143"/>
  <c r="BK47" i="143" s="1"/>
  <c r="BK19" i="143"/>
  <c r="BK18" i="143"/>
  <c r="BK37" i="143"/>
  <c r="BK36" i="143"/>
  <c r="BP39" i="142"/>
  <c r="BP47" i="142" s="1"/>
  <c r="BH34" i="142"/>
  <c r="BH43" i="142" s="1"/>
  <c r="BH17" i="142"/>
  <c r="BH26" i="142" s="1"/>
  <c r="BO16" i="142"/>
  <c r="BO25" i="142" s="1"/>
  <c r="BQ35" i="143"/>
  <c r="BQ44" i="143" s="1"/>
  <c r="BO16" i="143"/>
  <c r="BO25" i="143" s="1"/>
  <c r="BR17" i="143"/>
  <c r="BR26" i="143" s="1"/>
  <c r="CF18" i="96"/>
  <c r="AN18" i="96" s="1"/>
  <c r="BP16" i="141"/>
  <c r="BP25" i="141" s="1"/>
  <c r="BN16" i="141"/>
  <c r="BN25" i="141" s="1"/>
  <c r="BN34" i="141"/>
  <c r="BN43" i="141" s="1"/>
  <c r="BJ34" i="141"/>
  <c r="BJ43" i="141" s="1"/>
  <c r="BR39" i="142"/>
  <c r="BR47" i="142" s="1"/>
  <c r="BP34" i="142"/>
  <c r="BP43" i="142" s="1"/>
  <c r="CT13" i="96"/>
  <c r="AM13" i="96" s="1"/>
  <c r="CT17" i="96"/>
  <c r="AM17" i="96" s="1"/>
  <c r="CT19" i="96"/>
  <c r="AM19" i="96" s="1"/>
  <c r="BJ17" i="143"/>
  <c r="BJ26" i="143" s="1"/>
  <c r="BJ16" i="143"/>
  <c r="BJ25" i="143" s="1"/>
  <c r="BM18" i="141"/>
  <c r="BM19" i="141"/>
  <c r="BG36" i="141"/>
  <c r="BG19" i="141"/>
  <c r="BG18" i="141"/>
  <c r="BG37" i="141"/>
  <c r="BG21" i="141"/>
  <c r="BG29" i="141" s="1"/>
  <c r="BM35" i="142"/>
  <c r="BM44" i="142" s="1"/>
  <c r="BJ35" i="142"/>
  <c r="BJ44" i="142" s="1"/>
  <c r="CF12" i="96"/>
  <c r="AN12" i="96" s="1"/>
  <c r="CF17" i="96"/>
  <c r="AN17" i="96" s="1"/>
  <c r="CF21" i="96"/>
  <c r="AN21" i="96" s="1"/>
  <c r="CF22" i="96"/>
  <c r="AN22" i="96" s="1"/>
  <c r="BH21" i="142"/>
  <c r="BH29" i="142" s="1"/>
  <c r="BL17" i="143"/>
  <c r="BL26" i="143" s="1"/>
  <c r="BK21" i="141"/>
  <c r="BK29" i="141" s="1"/>
  <c r="BQ17" i="142"/>
  <c r="BQ26" i="142" s="1"/>
  <c r="BI34" i="142"/>
  <c r="BI43" i="142" s="1"/>
  <c r="BI39" i="142"/>
  <c r="BI47" i="142" s="1"/>
  <c r="BH18" i="143"/>
  <c r="BH37" i="143"/>
  <c r="BH36" i="143"/>
  <c r="BH19" i="143"/>
  <c r="BI18" i="143"/>
  <c r="BI37" i="143"/>
  <c r="BI19" i="143"/>
  <c r="BI36" i="143"/>
  <c r="BM34" i="143"/>
  <c r="BM43" i="143" s="1"/>
  <c r="BI21" i="143"/>
  <c r="BI29" i="143" s="1"/>
  <c r="BL37" i="142"/>
  <c r="BL18" i="142"/>
  <c r="BJ18" i="142"/>
  <c r="BJ36" i="142"/>
  <c r="BJ37" i="142"/>
  <c r="BJ19" i="142"/>
  <c r="BH16" i="142"/>
  <c r="BH25" i="142" s="1"/>
  <c r="BH39" i="142"/>
  <c r="BH47" i="142" s="1"/>
  <c r="BQ34" i="143"/>
  <c r="BQ43" i="143" s="1"/>
  <c r="BQ16" i="143"/>
  <c r="BQ25" i="143" s="1"/>
  <c r="BM35" i="143"/>
  <c r="BM44" i="143" s="1"/>
  <c r="BP35" i="141"/>
  <c r="BP44" i="141" s="1"/>
  <c r="BN39" i="141"/>
  <c r="BN47" i="141" s="1"/>
  <c r="BR16" i="142"/>
  <c r="BR25" i="142" s="1"/>
  <c r="BP16" i="142"/>
  <c r="BP25" i="142" s="1"/>
  <c r="CT12" i="96"/>
  <c r="AM12" i="96" s="1"/>
  <c r="CT11" i="96"/>
  <c r="AM11" i="96" s="1"/>
  <c r="CT20" i="96"/>
  <c r="AM20" i="96" s="1"/>
  <c r="BJ34" i="143"/>
  <c r="BJ43" i="143" s="1"/>
  <c r="BJ21" i="143"/>
  <c r="BJ29" i="143" s="1"/>
  <c r="BP34" i="143"/>
  <c r="BP43" i="143" s="1"/>
  <c r="BI18" i="141"/>
  <c r="BI37" i="141"/>
  <c r="BI36" i="141"/>
  <c r="BI19" i="141"/>
  <c r="BG34" i="141"/>
  <c r="BG43" i="141" s="1"/>
  <c r="BH18" i="141"/>
  <c r="BH37" i="141"/>
  <c r="BH19" i="141"/>
  <c r="BH36" i="141"/>
  <c r="BO34" i="141"/>
  <c r="BO43" i="141" s="1"/>
  <c r="BM16" i="142"/>
  <c r="BM25" i="142" s="1"/>
  <c r="BN39" i="142"/>
  <c r="BN47" i="142" s="1"/>
  <c r="BJ34" i="142"/>
  <c r="BJ43" i="142" s="1"/>
  <c r="BJ39" i="142"/>
  <c r="BJ47" i="142" s="1"/>
  <c r="CF11" i="96"/>
  <c r="AN11" i="96" s="1"/>
  <c r="CF14" i="96"/>
  <c r="AN14" i="96" s="1"/>
  <c r="CN25" i="96"/>
  <c r="BW25" i="96"/>
  <c r="CL25" i="96"/>
  <c r="CS25" i="96"/>
  <c r="BV25" i="96"/>
  <c r="CK25" i="96"/>
  <c r="BZ25" i="96"/>
  <c r="CQ25" i="96"/>
  <c r="CA25" i="96"/>
  <c r="CP25" i="96"/>
  <c r="CR25" i="96"/>
  <c r="CM25" i="96"/>
  <c r="CD25" i="96"/>
  <c r="CE25" i="96"/>
  <c r="BY25" i="96"/>
  <c r="AK25" i="96"/>
  <c r="CI25" i="96"/>
  <c r="CB25" i="96"/>
  <c r="AJ25" i="96"/>
  <c r="CO25" i="96"/>
  <c r="CH25" i="96"/>
  <c r="CJ25" i="96"/>
  <c r="CC25" i="96"/>
  <c r="BU25" i="96"/>
  <c r="BT25" i="96"/>
  <c r="AL25" i="96"/>
  <c r="BG16" i="140"/>
  <c r="BG25" i="140" s="1"/>
  <c r="BK21" i="140"/>
  <c r="BK29" i="140" s="1"/>
  <c r="BM35" i="140"/>
  <c r="BM44" i="140" s="1"/>
  <c r="BO16" i="140"/>
  <c r="BO25" i="140" s="1"/>
  <c r="BO35" i="140"/>
  <c r="BO44" i="140" s="1"/>
  <c r="BO17" i="140"/>
  <c r="BO26" i="140" s="1"/>
  <c r="BP35" i="140"/>
  <c r="BP44" i="140" s="1"/>
  <c r="BP16" i="140"/>
  <c r="BP25" i="140" s="1"/>
  <c r="BR34" i="140"/>
  <c r="BR43" i="140" s="1"/>
  <c r="BR17" i="140"/>
  <c r="BR26" i="140" s="1"/>
  <c r="BR39" i="140"/>
  <c r="BR47" i="140" s="1"/>
  <c r="BM39" i="140"/>
  <c r="BM47" i="140" s="1"/>
  <c r="BO34" i="140"/>
  <c r="BO43" i="140" s="1"/>
  <c r="BK17" i="140"/>
  <c r="BK26" i="140" s="1"/>
  <c r="BL39" i="140"/>
  <c r="BL47" i="140" s="1"/>
  <c r="BG35" i="140"/>
  <c r="BG44" i="140" s="1"/>
  <c r="BL17" i="140"/>
  <c r="BL26" i="140" s="1"/>
  <c r="BL16" i="140"/>
  <c r="BL25" i="140" s="1"/>
  <c r="BH17" i="140"/>
  <c r="BH26" i="140" s="1"/>
  <c r="BH39" i="140"/>
  <c r="BH47" i="140" s="1"/>
  <c r="BH16" i="140"/>
  <c r="BH25" i="140" s="1"/>
  <c r="BK35" i="140"/>
  <c r="BK44" i="140" s="1"/>
  <c r="BK39" i="140"/>
  <c r="BK47" i="140" s="1"/>
  <c r="BK16" i="140"/>
  <c r="BK25" i="140" s="1"/>
  <c r="BN16" i="140"/>
  <c r="BN25" i="140" s="1"/>
  <c r="BN39" i="140"/>
  <c r="BN47" i="140" s="1"/>
  <c r="BM16" i="140"/>
  <c r="BM25" i="140" s="1"/>
  <c r="BO39" i="140"/>
  <c r="BO47" i="140" s="1"/>
  <c r="BR16" i="140"/>
  <c r="BR25" i="140" s="1"/>
  <c r="BI17" i="140"/>
  <c r="BI26" i="140" s="1"/>
  <c r="BI35" i="140"/>
  <c r="BI44" i="140" s="1"/>
  <c r="BI21" i="140"/>
  <c r="BI29" i="140" s="1"/>
  <c r="BI34" i="140"/>
  <c r="BI43" i="140" s="1"/>
  <c r="BJ21" i="140"/>
  <c r="BJ29" i="140" s="1"/>
  <c r="BJ39" i="140"/>
  <c r="BJ47" i="140" s="1"/>
  <c r="BJ17" i="140"/>
  <c r="BJ26" i="140" s="1"/>
  <c r="BJ34" i="140"/>
  <c r="BJ43" i="140" s="1"/>
  <c r="BQ16" i="140"/>
  <c r="BQ25" i="140" s="1"/>
  <c r="BQ39" i="140"/>
  <c r="BQ47" i="140" s="1"/>
  <c r="BQ34" i="140"/>
  <c r="BQ43" i="140" s="1"/>
  <c r="BQ35" i="140"/>
  <c r="BQ44" i="140" s="1"/>
  <c r="BP34" i="140"/>
  <c r="BP43" i="140" s="1"/>
  <c r="BP39" i="140"/>
  <c r="BP47" i="140" s="1"/>
  <c r="BP17" i="140"/>
  <c r="BP26" i="140" s="1"/>
  <c r="BQ17" i="140"/>
  <c r="BQ26" i="140" s="1"/>
  <c r="BG34" i="140"/>
  <c r="BG43" i="140" s="1"/>
  <c r="BN35" i="140"/>
  <c r="BN44" i="140" s="1"/>
  <c r="BR35" i="140"/>
  <c r="BR44" i="140" s="1"/>
  <c r="BM17" i="140"/>
  <c r="BM26" i="140" s="1"/>
  <c r="BL21" i="140"/>
  <c r="BL29" i="140" s="1"/>
  <c r="BH34" i="140"/>
  <c r="BH43" i="140" s="1"/>
  <c r="BH21" i="140"/>
  <c r="BH29" i="140" s="1"/>
  <c r="BG21" i="140"/>
  <c r="BG29" i="140" s="1"/>
  <c r="BG39" i="140"/>
  <c r="BG47" i="140" s="1"/>
  <c r="BL34" i="140"/>
  <c r="BL43" i="140" s="1"/>
  <c r="BI39" i="140"/>
  <c r="BI47" i="140" s="1"/>
  <c r="BI18" i="140"/>
  <c r="BI37" i="140"/>
  <c r="BI36" i="140"/>
  <c r="BI19" i="140"/>
  <c r="BL36" i="140"/>
  <c r="BL19" i="140"/>
  <c r="BG37" i="140"/>
  <c r="BG19" i="140"/>
  <c r="BG18" i="140"/>
  <c r="BG36" i="140"/>
  <c r="BN34" i="140"/>
  <c r="BN43" i="140" s="1"/>
  <c r="BJ35" i="140"/>
  <c r="BJ44" i="140" s="1"/>
  <c r="BJ19" i="140"/>
  <c r="BJ36" i="140"/>
  <c r="BJ18" i="140"/>
  <c r="BJ37" i="140"/>
  <c r="BH18" i="140"/>
  <c r="BH19" i="140"/>
  <c r="BH36" i="140"/>
  <c r="BH37" i="140"/>
  <c r="BK37" i="140"/>
  <c r="BK19" i="140"/>
  <c r="BK18" i="140"/>
  <c r="BK36" i="140"/>
  <c r="H25" i="96"/>
  <c r="CT9" i="96"/>
  <c r="AM9" i="96" s="1"/>
  <c r="CF7" i="96"/>
  <c r="CT7" i="96"/>
  <c r="CT24" i="96"/>
  <c r="AM24" i="96" s="1"/>
  <c r="CF8" i="96"/>
  <c r="AN8" i="96" s="1"/>
  <c r="AH25" i="96"/>
  <c r="CF9" i="96"/>
  <c r="AN9" i="96" s="1"/>
  <c r="I25" i="96"/>
  <c r="CF24" i="96"/>
  <c r="AN24" i="96" s="1"/>
  <c r="CT8" i="96"/>
  <c r="AM8" i="96" s="1"/>
  <c r="BL19" i="143" l="1"/>
  <c r="BM37" i="140"/>
  <c r="BL19" i="142"/>
  <c r="BM37" i="141"/>
  <c r="BM41" i="141" s="1"/>
  <c r="BL37" i="143"/>
  <c r="BL41" i="143" s="1"/>
  <c r="BL36" i="141"/>
  <c r="BL40" i="141" s="1"/>
  <c r="BL18" i="140"/>
  <c r="BL37" i="140"/>
  <c r="BL46" i="140" s="1"/>
  <c r="BL36" i="142"/>
  <c r="BL36" i="143"/>
  <c r="BL37" i="141"/>
  <c r="BL46" i="141" s="1"/>
  <c r="BM37" i="143"/>
  <c r="BM41" i="143" s="1"/>
  <c r="BM19" i="142"/>
  <c r="BM23" i="142" s="1"/>
  <c r="BM36" i="143"/>
  <c r="BM45" i="143" s="1"/>
  <c r="BM36" i="142"/>
  <c r="BM36" i="141"/>
  <c r="BM40" i="141" s="1"/>
  <c r="BM19" i="140"/>
  <c r="BM28" i="140" s="1"/>
  <c r="BM36" i="140"/>
  <c r="BM45" i="140" s="1"/>
  <c r="BM19" i="143"/>
  <c r="BM28" i="143" s="1"/>
  <c r="BM18" i="142"/>
  <c r="BM27" i="142" s="1"/>
  <c r="BM18" i="143"/>
  <c r="BM27" i="143" s="1"/>
  <c r="BM37" i="142"/>
  <c r="BM41" i="142" s="1"/>
  <c r="BM18" i="140"/>
  <c r="BM27" i="140" s="1"/>
  <c r="BO18" i="141"/>
  <c r="BO22" i="141" s="1"/>
  <c r="BQ18" i="141"/>
  <c r="BN19" i="141"/>
  <c r="BN23" i="141" s="1"/>
  <c r="BO36" i="141"/>
  <c r="BO45" i="141" s="1"/>
  <c r="BN18" i="141"/>
  <c r="BN22" i="141" s="1"/>
  <c r="BP37" i="143"/>
  <c r="BP46" i="143" s="1"/>
  <c r="BP36" i="143"/>
  <c r="BP40" i="143" s="1"/>
  <c r="BO19" i="141"/>
  <c r="BO28" i="141" s="1"/>
  <c r="BO36" i="143"/>
  <c r="BO45" i="143" s="1"/>
  <c r="BQ19" i="141"/>
  <c r="BQ23" i="141" s="1"/>
  <c r="BO37" i="143"/>
  <c r="BO41" i="143" s="1"/>
  <c r="BQ19" i="143"/>
  <c r="BQ28" i="143" s="1"/>
  <c r="BN19" i="142"/>
  <c r="BN23" i="142" s="1"/>
  <c r="BN37" i="142"/>
  <c r="BN41" i="142" s="1"/>
  <c r="BP19" i="142"/>
  <c r="BP23" i="142" s="1"/>
  <c r="BO37" i="142"/>
  <c r="BO41" i="142" s="1"/>
  <c r="BO18" i="143"/>
  <c r="BO27" i="143" s="1"/>
  <c r="BQ18" i="143"/>
  <c r="BQ27" i="143" s="1"/>
  <c r="BQ18" i="142"/>
  <c r="BQ22" i="142" s="1"/>
  <c r="BR36" i="141"/>
  <c r="BR45" i="141" s="1"/>
  <c r="BN37" i="143"/>
  <c r="BN46" i="143" s="1"/>
  <c r="BR18" i="143"/>
  <c r="BR27" i="143" s="1"/>
  <c r="BR36" i="142"/>
  <c r="BR45" i="142" s="1"/>
  <c r="BN36" i="141"/>
  <c r="BN45" i="141" s="1"/>
  <c r="BP18" i="141"/>
  <c r="BP22" i="141" s="1"/>
  <c r="BQ36" i="141"/>
  <c r="BQ40" i="141" s="1"/>
  <c r="BN18" i="142"/>
  <c r="BN22" i="142" s="1"/>
  <c r="BP19" i="143"/>
  <c r="BP28" i="143" s="1"/>
  <c r="BP37" i="142"/>
  <c r="BP41" i="142" s="1"/>
  <c r="BO19" i="142"/>
  <c r="BO28" i="142" s="1"/>
  <c r="BO19" i="143"/>
  <c r="BO28" i="143" s="1"/>
  <c r="BQ36" i="143"/>
  <c r="BQ40" i="143" s="1"/>
  <c r="BQ37" i="142"/>
  <c r="BQ46" i="142" s="1"/>
  <c r="BR19" i="141"/>
  <c r="BR28" i="141" s="1"/>
  <c r="BN36" i="143"/>
  <c r="BN45" i="143" s="1"/>
  <c r="BR37" i="143"/>
  <c r="BR46" i="143" s="1"/>
  <c r="BR18" i="142"/>
  <c r="BR27" i="142" s="1"/>
  <c r="BP36" i="141"/>
  <c r="BP40" i="141" s="1"/>
  <c r="BP18" i="142"/>
  <c r="BP27" i="142" s="1"/>
  <c r="BO18" i="142"/>
  <c r="BO22" i="142" s="1"/>
  <c r="BQ19" i="142"/>
  <c r="BQ28" i="142" s="1"/>
  <c r="BO37" i="141"/>
  <c r="BO46" i="141" s="1"/>
  <c r="BQ37" i="141"/>
  <c r="BQ46" i="141" s="1"/>
  <c r="BN36" i="142"/>
  <c r="BN40" i="142" s="1"/>
  <c r="BP18" i="143"/>
  <c r="BP27" i="143" s="1"/>
  <c r="BP36" i="142"/>
  <c r="BP40" i="142" s="1"/>
  <c r="BO36" i="142"/>
  <c r="BO45" i="142" s="1"/>
  <c r="BQ37" i="143"/>
  <c r="BQ46" i="143" s="1"/>
  <c r="BQ36" i="142"/>
  <c r="BQ40" i="142" s="1"/>
  <c r="BR37" i="141"/>
  <c r="BR41" i="141" s="1"/>
  <c r="BN19" i="143"/>
  <c r="BN28" i="143" s="1"/>
  <c r="BR19" i="143"/>
  <c r="BR28" i="143" s="1"/>
  <c r="BR37" i="142"/>
  <c r="BR46" i="142" s="1"/>
  <c r="BN37" i="141"/>
  <c r="BN46" i="141" s="1"/>
  <c r="BP37" i="141"/>
  <c r="BP46" i="141" s="1"/>
  <c r="BR18" i="141"/>
  <c r="BR22" i="141" s="1"/>
  <c r="BN18" i="143"/>
  <c r="BN22" i="143" s="1"/>
  <c r="BR36" i="143"/>
  <c r="BR40" i="143" s="1"/>
  <c r="BR19" i="142"/>
  <c r="BR23" i="142" s="1"/>
  <c r="BP19" i="141"/>
  <c r="BP28" i="141" s="1"/>
  <c r="BI46" i="141"/>
  <c r="BI41" i="141"/>
  <c r="BK45" i="143"/>
  <c r="BK40" i="143"/>
  <c r="BJ45" i="143"/>
  <c r="BJ40" i="143"/>
  <c r="BL27" i="141"/>
  <c r="BL22" i="141"/>
  <c r="BK28" i="142"/>
  <c r="BK23" i="142"/>
  <c r="BK46" i="141"/>
  <c r="BK41" i="141"/>
  <c r="BH41" i="142"/>
  <c r="BH46" i="142"/>
  <c r="BH40" i="141"/>
  <c r="BH45" i="141"/>
  <c r="BI22" i="141"/>
  <c r="BI27" i="141"/>
  <c r="BJ45" i="142"/>
  <c r="BJ40" i="142"/>
  <c r="BL46" i="142"/>
  <c r="BL41" i="142"/>
  <c r="BI45" i="143"/>
  <c r="BI40" i="143"/>
  <c r="BH28" i="143"/>
  <c r="BH23" i="143"/>
  <c r="BM22" i="142"/>
  <c r="BG23" i="141"/>
  <c r="BG28" i="141"/>
  <c r="BM23" i="141"/>
  <c r="BM28" i="141"/>
  <c r="BK41" i="143"/>
  <c r="BK46" i="143"/>
  <c r="BJ28" i="143"/>
  <c r="BJ23" i="143"/>
  <c r="BL28" i="143"/>
  <c r="BL23" i="143"/>
  <c r="BL28" i="141"/>
  <c r="BL23" i="141"/>
  <c r="BG27" i="142"/>
  <c r="BG22" i="142"/>
  <c r="BK45" i="142"/>
  <c r="BK40" i="142"/>
  <c r="BJ46" i="141"/>
  <c r="BJ41" i="141"/>
  <c r="BG27" i="143"/>
  <c r="BG22" i="143"/>
  <c r="BK45" i="141"/>
  <c r="BK40" i="141"/>
  <c r="BI41" i="142"/>
  <c r="BI46" i="142"/>
  <c r="BH23" i="142"/>
  <c r="BH28" i="142"/>
  <c r="BH27" i="141"/>
  <c r="BH22" i="141"/>
  <c r="BJ46" i="142"/>
  <c r="BJ41" i="142"/>
  <c r="BL22" i="142"/>
  <c r="BL27" i="142"/>
  <c r="BI27" i="143"/>
  <c r="BI22" i="143"/>
  <c r="BH27" i="143"/>
  <c r="BH22" i="143"/>
  <c r="BM45" i="142"/>
  <c r="BM40" i="142"/>
  <c r="BG22" i="141"/>
  <c r="BG27" i="141"/>
  <c r="BL27" i="143"/>
  <c r="BL22" i="143"/>
  <c r="BG45" i="142"/>
  <c r="BG40" i="142"/>
  <c r="BJ23" i="141"/>
  <c r="BJ28" i="141"/>
  <c r="BG46" i="143"/>
  <c r="BG41" i="143"/>
  <c r="BI27" i="142"/>
  <c r="BI22" i="142"/>
  <c r="BH28" i="141"/>
  <c r="BH23" i="141"/>
  <c r="BQ28" i="141"/>
  <c r="BI28" i="141"/>
  <c r="BI23" i="141"/>
  <c r="BJ27" i="142"/>
  <c r="BJ22" i="142"/>
  <c r="BL28" i="142"/>
  <c r="BL23" i="142"/>
  <c r="BI28" i="143"/>
  <c r="BI23" i="143"/>
  <c r="BH40" i="143"/>
  <c r="BH45" i="143"/>
  <c r="BG40" i="141"/>
  <c r="BG45" i="141"/>
  <c r="BM22" i="141"/>
  <c r="BM27" i="141"/>
  <c r="BK27" i="143"/>
  <c r="BK22" i="143"/>
  <c r="BJ22" i="143"/>
  <c r="BJ27" i="143"/>
  <c r="BG41" i="142"/>
  <c r="BG46" i="142"/>
  <c r="BK41" i="142"/>
  <c r="BK46" i="142"/>
  <c r="BJ40" i="141"/>
  <c r="BJ45" i="141"/>
  <c r="BG28" i="143"/>
  <c r="BG23" i="143"/>
  <c r="BN28" i="141"/>
  <c r="BK22" i="141"/>
  <c r="BK27" i="141"/>
  <c r="BI40" i="142"/>
  <c r="BI45" i="142"/>
  <c r="BH22" i="142"/>
  <c r="BH27" i="142"/>
  <c r="BH46" i="141"/>
  <c r="BH41" i="141"/>
  <c r="BQ27" i="141"/>
  <c r="BQ22" i="141"/>
  <c r="BI45" i="141"/>
  <c r="BI40" i="141"/>
  <c r="BJ23" i="142"/>
  <c r="BJ28" i="142"/>
  <c r="BL40" i="142"/>
  <c r="BL45" i="142"/>
  <c r="BI46" i="143"/>
  <c r="BI41" i="143"/>
  <c r="BH41" i="143"/>
  <c r="BH46" i="143"/>
  <c r="BG41" i="141"/>
  <c r="BG46" i="141"/>
  <c r="BK28" i="143"/>
  <c r="BK23" i="143"/>
  <c r="BJ41" i="143"/>
  <c r="BJ46" i="143"/>
  <c r="BL45" i="143"/>
  <c r="BL40" i="143"/>
  <c r="BL41" i="141"/>
  <c r="BG28" i="142"/>
  <c r="BG23" i="142"/>
  <c r="BK22" i="142"/>
  <c r="BK27" i="142"/>
  <c r="BJ27" i="141"/>
  <c r="BJ22" i="141"/>
  <c r="BG45" i="143"/>
  <c r="BG40" i="143"/>
  <c r="BK28" i="141"/>
  <c r="BK23" i="141"/>
  <c r="BI23" i="142"/>
  <c r="BI28" i="142"/>
  <c r="BH40" i="142"/>
  <c r="BH45" i="142"/>
  <c r="AN7" i="96"/>
  <c r="AN25" i="96" s="1"/>
  <c r="CF25" i="96"/>
  <c r="AM7" i="96"/>
  <c r="AM25" i="96" s="1"/>
  <c r="CT25" i="96"/>
  <c r="BN19" i="140"/>
  <c r="BN23" i="140" s="1"/>
  <c r="BP19" i="140"/>
  <c r="BP23" i="140" s="1"/>
  <c r="BQ18" i="140"/>
  <c r="BQ27" i="140" s="1"/>
  <c r="BN18" i="140"/>
  <c r="BN22" i="140" s="1"/>
  <c r="BO18" i="140"/>
  <c r="BO27" i="140" s="1"/>
  <c r="BR18" i="140"/>
  <c r="BR27" i="140" s="1"/>
  <c r="BO19" i="140"/>
  <c r="BO28" i="140" s="1"/>
  <c r="BP18" i="140"/>
  <c r="BP22" i="140" s="1"/>
  <c r="BQ19" i="140"/>
  <c r="BQ28" i="140" s="1"/>
  <c r="BR19" i="140"/>
  <c r="BR28" i="140" s="1"/>
  <c r="CV25" i="96"/>
  <c r="CZ25" i="96" s="1"/>
  <c r="BN36" i="140"/>
  <c r="BN45" i="140" s="1"/>
  <c r="BQ37" i="140"/>
  <c r="BQ46" i="140" s="1"/>
  <c r="BR36" i="140"/>
  <c r="BR45" i="140" s="1"/>
  <c r="BP36" i="140"/>
  <c r="BP45" i="140" s="1"/>
  <c r="BO36" i="140"/>
  <c r="BO45" i="140" s="1"/>
  <c r="BQ36" i="140"/>
  <c r="BQ40" i="140" s="1"/>
  <c r="BN37" i="140"/>
  <c r="BN46" i="140" s="1"/>
  <c r="BP37" i="140"/>
  <c r="BP46" i="140" s="1"/>
  <c r="BR37" i="140"/>
  <c r="BR46" i="140" s="1"/>
  <c r="BO37" i="140"/>
  <c r="BO46" i="140" s="1"/>
  <c r="BK45" i="140"/>
  <c r="BK40" i="140"/>
  <c r="BK27" i="140"/>
  <c r="BK22" i="140"/>
  <c r="BK28" i="140"/>
  <c r="BK23" i="140"/>
  <c r="BK46" i="140"/>
  <c r="BK41" i="140"/>
  <c r="BH46" i="140"/>
  <c r="BH41" i="140"/>
  <c r="BH45" i="140"/>
  <c r="BH40" i="140"/>
  <c r="BH28" i="140"/>
  <c r="BH23" i="140"/>
  <c r="BH27" i="140"/>
  <c r="BH22" i="140"/>
  <c r="BR22" i="140"/>
  <c r="BJ46" i="140"/>
  <c r="BJ41" i="140"/>
  <c r="BJ27" i="140"/>
  <c r="BJ22" i="140"/>
  <c r="BJ45" i="140"/>
  <c r="BJ40" i="140"/>
  <c r="BJ28" i="140"/>
  <c r="BJ23" i="140"/>
  <c r="BG45" i="140"/>
  <c r="BG40" i="140"/>
  <c r="BG27" i="140"/>
  <c r="BG22" i="140"/>
  <c r="BG28" i="140"/>
  <c r="BG23" i="140"/>
  <c r="BG46" i="140"/>
  <c r="BG41" i="140"/>
  <c r="BL28" i="140"/>
  <c r="BL23" i="140"/>
  <c r="BL27" i="140"/>
  <c r="BL22" i="140"/>
  <c r="BL45" i="140"/>
  <c r="BL40" i="140"/>
  <c r="BM46" i="140"/>
  <c r="BM41" i="140"/>
  <c r="BI28" i="140"/>
  <c r="BI23" i="140"/>
  <c r="BI45" i="140"/>
  <c r="BI40" i="140"/>
  <c r="BI46" i="140"/>
  <c r="BI41" i="140"/>
  <c r="BI27" i="140"/>
  <c r="BI22" i="140"/>
  <c r="CW25" i="96"/>
  <c r="DA25" i="96" s="1"/>
  <c r="CX25" i="96"/>
  <c r="DB25" i="96" s="1"/>
  <c r="BL45" i="141" l="1"/>
  <c r="BM23" i="140"/>
  <c r="BL46" i="143"/>
  <c r="BM40" i="140"/>
  <c r="BM40" i="143"/>
  <c r="BM46" i="142"/>
  <c r="BM45" i="141"/>
  <c r="BM22" i="143"/>
  <c r="BM28" i="142"/>
  <c r="BM23" i="143"/>
  <c r="BM22" i="140"/>
  <c r="BL41" i="140"/>
  <c r="BP22" i="142"/>
  <c r="BM46" i="141"/>
  <c r="BM46" i="143"/>
  <c r="BP45" i="141"/>
  <c r="BP28" i="142"/>
  <c r="BQ27" i="142"/>
  <c r="BO27" i="141"/>
  <c r="BN23" i="143"/>
  <c r="BO46" i="142"/>
  <c r="BP23" i="143"/>
  <c r="BO40" i="141"/>
  <c r="BO23" i="141"/>
  <c r="BP46" i="142"/>
  <c r="BQ23" i="143"/>
  <c r="BO27" i="142"/>
  <c r="BQ23" i="140"/>
  <c r="BR27" i="141"/>
  <c r="BN27" i="141"/>
  <c r="BR41" i="142"/>
  <c r="BQ45" i="142"/>
  <c r="BP28" i="140"/>
  <c r="BP27" i="141"/>
  <c r="BR22" i="143"/>
  <c r="BQ22" i="143"/>
  <c r="BN28" i="140"/>
  <c r="BO22" i="143"/>
  <c r="BQ23" i="142"/>
  <c r="BN46" i="142"/>
  <c r="BP41" i="143"/>
  <c r="BQ45" i="141"/>
  <c r="BP45" i="142"/>
  <c r="BN40" i="141"/>
  <c r="BR40" i="141"/>
  <c r="BN41" i="141"/>
  <c r="BP41" i="141"/>
  <c r="BO22" i="140"/>
  <c r="BR40" i="142"/>
  <c r="BP45" i="143"/>
  <c r="BP23" i="141"/>
  <c r="BR23" i="143"/>
  <c r="BO40" i="142"/>
  <c r="BS40" i="142" s="1"/>
  <c r="AC7" i="142" s="1"/>
  <c r="AD7" i="142" s="1"/>
  <c r="BR41" i="143"/>
  <c r="BR28" i="142"/>
  <c r="BO46" i="143"/>
  <c r="BN27" i="142"/>
  <c r="BQ41" i="141"/>
  <c r="BN40" i="143"/>
  <c r="BO23" i="143"/>
  <c r="BN41" i="143"/>
  <c r="BN27" i="143"/>
  <c r="BN28" i="142"/>
  <c r="BR22" i="142"/>
  <c r="BS22" i="142" s="1"/>
  <c r="W7" i="142" s="1"/>
  <c r="X7" i="142" s="1"/>
  <c r="BQ41" i="142"/>
  <c r="BR46" i="141"/>
  <c r="BP22" i="143"/>
  <c r="BR23" i="141"/>
  <c r="BR45" i="143"/>
  <c r="BO40" i="143"/>
  <c r="BO41" i="141"/>
  <c r="BO23" i="142"/>
  <c r="BQ45" i="143"/>
  <c r="BQ41" i="143"/>
  <c r="BN45" i="142"/>
  <c r="BO23" i="140"/>
  <c r="BS22" i="141"/>
  <c r="W7" i="141" s="1"/>
  <c r="X7" i="141" s="1"/>
  <c r="BQ22" i="140"/>
  <c r="BR23" i="140"/>
  <c r="BP27" i="140"/>
  <c r="BN27" i="140"/>
  <c r="BQ45" i="140"/>
  <c r="BP41" i="140"/>
  <c r="BR41" i="140"/>
  <c r="BN40" i="140"/>
  <c r="BR40" i="140"/>
  <c r="BQ41" i="140"/>
  <c r="BO40" i="140"/>
  <c r="BN41" i="140"/>
  <c r="BO41" i="140"/>
  <c r="BP40" i="140"/>
  <c r="BS23" i="143" l="1"/>
  <c r="W8" i="143" s="1"/>
  <c r="X8" i="143" s="1"/>
  <c r="BS41" i="142"/>
  <c r="AC8" i="142" s="1"/>
  <c r="AD8" i="142" s="1"/>
  <c r="BS40" i="143"/>
  <c r="AC7" i="143" s="1"/>
  <c r="AD7" i="143" s="1"/>
  <c r="BS23" i="142"/>
  <c r="W8" i="142" s="1"/>
  <c r="X8" i="142" s="1"/>
  <c r="BS41" i="143"/>
  <c r="AC8" i="143" s="1"/>
  <c r="AD8" i="143" s="1"/>
  <c r="BS22" i="143"/>
  <c r="W7" i="143" s="1"/>
  <c r="X7" i="143" s="1"/>
  <c r="BS23" i="141"/>
  <c r="W8" i="141" s="1"/>
  <c r="X8" i="141" s="1"/>
  <c r="BS41" i="141"/>
  <c r="AC8" i="141" s="1"/>
  <c r="AD8" i="141" s="1"/>
  <c r="BS22" i="140"/>
  <c r="W7" i="140" s="1"/>
  <c r="X7" i="140" s="1"/>
  <c r="BS40" i="141"/>
  <c r="AC7" i="141" s="1"/>
  <c r="AD7" i="141" s="1"/>
  <c r="BS23" i="140"/>
  <c r="W8" i="140" s="1"/>
  <c r="X8" i="140" s="1"/>
  <c r="BS41" i="140"/>
  <c r="AC8" i="140" s="1"/>
  <c r="AD8" i="140" s="1"/>
  <c r="BS40" i="140"/>
  <c r="AC7" i="140" s="1"/>
  <c r="AD7" i="140" s="1"/>
  <c r="I10" i="140"/>
  <c r="I24" i="140" s="1"/>
  <c r="L10" i="140"/>
  <c r="BM21" i="140" s="1"/>
  <c r="BM29" i="140" s="1"/>
  <c r="J10" i="140"/>
  <c r="J24" i="140" s="1"/>
  <c r="G10" i="140"/>
  <c r="G24" i="140" s="1"/>
  <c r="K10" i="140"/>
  <c r="K24" i="140" s="1"/>
  <c r="F10" i="140"/>
  <c r="F24" i="140" s="1"/>
  <c r="H10" i="140"/>
  <c r="H24" i="140" s="1"/>
  <c r="L10" i="141"/>
  <c r="BM21" i="141" s="1"/>
  <c r="BM29" i="141" s="1"/>
  <c r="L10" i="143"/>
  <c r="BM21" i="143" s="1"/>
  <c r="BM29" i="143" s="1"/>
  <c r="L10" i="142"/>
  <c r="BM21" i="142" s="1"/>
  <c r="BM29" i="142" s="1"/>
  <c r="K10" i="141"/>
  <c r="K24" i="141" s="1"/>
  <c r="J10" i="141"/>
  <c r="J24" i="141" s="1"/>
  <c r="H10" i="141"/>
  <c r="H24" i="141" s="1"/>
  <c r="G10" i="142"/>
  <c r="G24" i="142" s="1"/>
  <c r="K10" i="142"/>
  <c r="K24" i="142" s="1"/>
  <c r="I10" i="141"/>
  <c r="I10" i="142"/>
  <c r="I24" i="142" s="1"/>
  <c r="H10" i="143"/>
  <c r="H24" i="143" s="1"/>
  <c r="K10" i="143"/>
  <c r="K24" i="143" s="1"/>
  <c r="J10" i="143"/>
  <c r="J24" i="143" s="1"/>
  <c r="H10" i="142"/>
  <c r="H24" i="142" s="1"/>
  <c r="I10" i="143"/>
  <c r="F10" i="141"/>
  <c r="G10" i="141"/>
  <c r="G24" i="141" s="1"/>
  <c r="F10" i="142"/>
  <c r="J10" i="142"/>
  <c r="J24" i="142" s="1"/>
  <c r="F10" i="143"/>
  <c r="G10" i="143"/>
  <c r="G24" i="143" s="1"/>
  <c r="V22" i="141" l="1"/>
  <c r="V32" i="141" s="1"/>
  <c r="V22" i="142"/>
  <c r="L24" i="142"/>
  <c r="L24" i="143"/>
  <c r="L24" i="141"/>
  <c r="V22" i="143"/>
  <c r="V27" i="143" s="1"/>
  <c r="V22" i="140"/>
  <c r="V32" i="140" s="1"/>
  <c r="V27" i="141"/>
  <c r="F24" i="143"/>
  <c r="F24" i="141"/>
  <c r="I24" i="141"/>
  <c r="L24" i="140"/>
  <c r="F24" i="142"/>
  <c r="I24" i="143"/>
  <c r="U22" i="143"/>
  <c r="U22" i="141"/>
  <c r="V38" i="141" s="1"/>
  <c r="U22" i="142"/>
  <c r="U22" i="140"/>
  <c r="V38" i="142" l="1"/>
  <c r="V27" i="140"/>
  <c r="V32" i="143"/>
  <c r="V27" i="142"/>
  <c r="V32" i="142"/>
  <c r="U32" i="143"/>
  <c r="U27" i="143"/>
  <c r="U38" i="143"/>
  <c r="U38" i="142"/>
  <c r="U32" i="142"/>
  <c r="U27" i="142"/>
  <c r="U32" i="141"/>
  <c r="U27" i="141"/>
  <c r="U38" i="141"/>
  <c r="U38" i="140"/>
  <c r="U27" i="140"/>
  <c r="U32" i="140"/>
  <c r="V38" i="140"/>
  <c r="V38" i="143"/>
  <c r="M24" i="140"/>
  <c r="M10" i="140" s="1"/>
  <c r="M24" i="142"/>
  <c r="M10" i="142" s="1"/>
  <c r="M24" i="143"/>
  <c r="M10" i="143" s="1"/>
  <c r="M24" i="141"/>
  <c r="M10" i="141" s="1"/>
  <c r="N24" i="142" l="1"/>
  <c r="N10" i="142" s="1"/>
  <c r="BO21" i="142" s="1"/>
  <c r="BO29" i="142" s="1"/>
  <c r="BN21" i="142"/>
  <c r="BN29" i="142" s="1"/>
  <c r="N24" i="140"/>
  <c r="N10" i="140" s="1"/>
  <c r="BO21" i="140" s="1"/>
  <c r="BO29" i="140" s="1"/>
  <c r="BN21" i="140"/>
  <c r="BN29" i="140" s="1"/>
  <c r="N24" i="141"/>
  <c r="N10" i="141" s="1"/>
  <c r="BO21" i="141" s="1"/>
  <c r="BO29" i="141" s="1"/>
  <c r="BN21" i="141"/>
  <c r="BN29" i="141" s="1"/>
  <c r="N24" i="143"/>
  <c r="N10" i="143" s="1"/>
  <c r="BO21" i="143" s="1"/>
  <c r="BO29" i="143" s="1"/>
  <c r="BN21" i="143"/>
  <c r="BN29" i="143" s="1"/>
  <c r="O24" i="141" l="1"/>
  <c r="O10" i="141" s="1"/>
  <c r="P24" i="141" s="1"/>
  <c r="P10" i="141" s="1"/>
  <c r="W22" i="143"/>
  <c r="W27" i="143" s="1"/>
  <c r="O24" i="142"/>
  <c r="O10" i="142" s="1"/>
  <c r="P24" i="142" s="1"/>
  <c r="P10" i="142" s="1"/>
  <c r="O24" i="140"/>
  <c r="O10" i="140" s="1"/>
  <c r="P24" i="140" s="1"/>
  <c r="P10" i="140" s="1"/>
  <c r="BQ21" i="140" s="1"/>
  <c r="BQ29" i="140" s="1"/>
  <c r="O24" i="143"/>
  <c r="O10" i="143" s="1"/>
  <c r="W22" i="140"/>
  <c r="W22" i="142"/>
  <c r="W32" i="143"/>
  <c r="W38" i="143"/>
  <c r="W22" i="141"/>
  <c r="BP21" i="141" l="1"/>
  <c r="BP29" i="141" s="1"/>
  <c r="BQ21" i="142"/>
  <c r="BQ29" i="142" s="1"/>
  <c r="Q24" i="142"/>
  <c r="Q10" i="142" s="1"/>
  <c r="BR21" i="142" s="1"/>
  <c r="BR29" i="142" s="1"/>
  <c r="BQ21" i="141"/>
  <c r="BQ29" i="141" s="1"/>
  <c r="Q24" i="141"/>
  <c r="Q10" i="141" s="1"/>
  <c r="BR21" i="141" s="1"/>
  <c r="BR29" i="141" s="1"/>
  <c r="BP21" i="142"/>
  <c r="BP29" i="142" s="1"/>
  <c r="W27" i="141"/>
  <c r="W32" i="141"/>
  <c r="W38" i="141"/>
  <c r="W38" i="142"/>
  <c r="W32" i="142"/>
  <c r="W27" i="142"/>
  <c r="BP21" i="140"/>
  <c r="BP29" i="140" s="1"/>
  <c r="Q24" i="140"/>
  <c r="Q10" i="140" s="1"/>
  <c r="BR21" i="140" s="1"/>
  <c r="BR29" i="140" s="1"/>
  <c r="W32" i="140"/>
  <c r="W27" i="140"/>
  <c r="W38" i="140"/>
  <c r="BP21" i="143"/>
  <c r="BP29" i="143" s="1"/>
  <c r="P24" i="143"/>
  <c r="P10" i="143" s="1"/>
  <c r="BQ21" i="143" s="1"/>
  <c r="BQ29" i="143" s="1"/>
  <c r="X22" i="142" l="1"/>
  <c r="R10" i="142"/>
  <c r="R24" i="142" s="1"/>
  <c r="X22" i="141"/>
  <c r="R10" i="141"/>
  <c r="R24" i="141" s="1"/>
  <c r="X27" i="142"/>
  <c r="X32" i="142"/>
  <c r="X38" i="142"/>
  <c r="X22" i="140"/>
  <c r="R10" i="140"/>
  <c r="R24" i="140" s="1"/>
  <c r="Q24" i="143"/>
  <c r="Q10" i="143" s="1"/>
  <c r="BR21" i="143" s="1"/>
  <c r="BR29" i="143" s="1"/>
  <c r="X38" i="141" l="1"/>
  <c r="X32" i="141"/>
  <c r="X27" i="141"/>
  <c r="R10" i="143"/>
  <c r="R24" i="143" s="1"/>
  <c r="X22" i="143"/>
  <c r="X38" i="140"/>
  <c r="X27" i="140"/>
  <c r="X32" i="140"/>
  <c r="X32" i="143" l="1"/>
  <c r="X38" i="143"/>
  <c r="X27" i="143"/>
</calcChain>
</file>

<file path=xl/sharedStrings.xml><?xml version="1.0" encoding="utf-8"?>
<sst xmlns="http://schemas.openxmlformats.org/spreadsheetml/2006/main" count="4578" uniqueCount="185">
  <si>
    <t>Actual</t>
  </si>
  <si>
    <t>Budget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</si>
  <si>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</si>
  <si>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</si>
  <si>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</si>
  <si>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</si>
  <si>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</si>
  <si>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</si>
  <si>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</si>
  <si>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</si>
  <si>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</si>
  <si>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</si>
  <si>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</si>
  <si>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</si>
  <si>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FY</t>
  </si>
  <si>
    <t>YTD</t>
  </si>
  <si>
    <t>YTG</t>
  </si>
  <si>
    <t>GR%</t>
  </si>
  <si>
    <t>Avg. sales</t>
  </si>
  <si>
    <t>Forecast based on:</t>
  </si>
  <si>
    <t>vs. LO</t>
  </si>
  <si>
    <t>Q1</t>
  </si>
  <si>
    <t>Q2</t>
  </si>
  <si>
    <t>Q3</t>
  </si>
  <si>
    <t>Q4</t>
  </si>
  <si>
    <t>6m trend key</t>
  </si>
  <si>
    <t>Trend 6m</t>
  </si>
  <si>
    <t>Month</t>
  </si>
  <si>
    <t>trend key</t>
  </si>
  <si>
    <t>Trend Calculation</t>
  </si>
  <si>
    <t>Run rates</t>
  </si>
  <si>
    <t xml:space="preserve">FY </t>
  </si>
  <si>
    <t>Vs BUD</t>
  </si>
  <si>
    <t>Delta</t>
  </si>
  <si>
    <t>Forecast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</si>
  <si>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</si>
  <si>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</si>
  <si>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</si>
  <si>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</si>
  <si>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</si>
  <si>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</si>
  <si>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</si>
  <si>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</si>
  <si>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</si>
  <si>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</si>
  <si>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</si>
  <si>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</si>
  <si>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Monthly Average</t>
  </si>
  <si>
    <t>Variance</t>
  </si>
  <si>
    <t>Performance</t>
  </si>
  <si>
    <t>Vs PY</t>
  </si>
  <si>
    <t>3m</t>
  </si>
  <si>
    <t>6m</t>
  </si>
  <si>
    <t>12m</t>
  </si>
  <si>
    <t>Units</t>
  </si>
  <si>
    <t>Time</t>
  </si>
  <si>
    <t>Measure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</si>
  <si>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</si>
  <si>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</si>
  <si>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</si>
  <si>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</si>
  <si>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</si>
  <si>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</si>
  <si>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</si>
  <si>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</si>
  <si>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</si>
  <si>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</si>
  <si>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</si>
  <si>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</si>
  <si>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</si>
  <si>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</si>
  <si>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</si>
  <si>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</si>
  <si>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</si>
  <si>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</si>
  <si>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</si>
  <si>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</si>
  <si>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</si>
  <si>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</si>
  <si>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</si>
  <si>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</si>
  <si>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Periodic</t>
  </si>
  <si>
    <t>Sales</t>
  </si>
  <si>
    <t>Current Month</t>
  </si>
  <si>
    <t>Prior month</t>
  </si>
  <si>
    <t>Current month</t>
  </si>
  <si>
    <t>Growth vs PY</t>
  </si>
  <si>
    <t>Avg. packs per month</t>
  </si>
  <si>
    <t>QoQ GR%</t>
  </si>
  <si>
    <t>Trend Charts</t>
  </si>
  <si>
    <t>Trend 12m</t>
  </si>
  <si>
    <t>12m trend key</t>
  </si>
  <si>
    <t>Header</t>
  </si>
  <si>
    <t>Chairs</t>
  </si>
  <si>
    <t>Kitchen</t>
  </si>
  <si>
    <t>Accessories</t>
  </si>
  <si>
    <t>Tables</t>
  </si>
  <si>
    <t>Quarter Actuals</t>
  </si>
  <si>
    <t>Sales in kUSD</t>
  </si>
  <si>
    <t>Average Price in kUSD</t>
  </si>
  <si>
    <t>FY Trend Outlook</t>
  </si>
  <si>
    <t>YTD +3m Rolling Rate</t>
  </si>
  <si>
    <t>YTD +6m Rolling Rate</t>
  </si>
  <si>
    <t>YTD +12m Rolling Rate</t>
  </si>
  <si>
    <t>Products</t>
  </si>
  <si>
    <t>Conversion Factor</t>
  </si>
  <si>
    <t>Placeholder 1</t>
  </si>
  <si>
    <t>Placeholder 2</t>
  </si>
  <si>
    <t>Placeholder 3</t>
  </si>
  <si>
    <t>Placeholder 4</t>
  </si>
  <si>
    <t>Placeholder 5</t>
  </si>
  <si>
    <t>Placeholder 6</t>
  </si>
  <si>
    <t>Placeholder 7</t>
  </si>
  <si>
    <t>Placeholder 8</t>
  </si>
  <si>
    <t>Placeholder 9</t>
  </si>
  <si>
    <t>Placeholder 10</t>
  </si>
  <si>
    <t>Placeholder 11</t>
  </si>
  <si>
    <t>Placeholder 12</t>
  </si>
  <si>
    <t>Placeholder 13</t>
  </si>
  <si>
    <t>Placeholder 14</t>
  </si>
  <si>
    <t>Current Year</t>
  </si>
  <si>
    <t>Version</t>
  </si>
  <si>
    <t>Months</t>
  </si>
  <si>
    <t>Product</t>
  </si>
  <si>
    <t>6-month Trend</t>
  </si>
  <si>
    <t>12-month Trend</t>
  </si>
  <si>
    <t>YTD +3 month rolling rate</t>
  </si>
  <si>
    <t>YTD +6 month rolling rate</t>
  </si>
  <si>
    <t>YTD +12 month rolling rate</t>
  </si>
  <si>
    <t>3-month Rolling Rate</t>
  </si>
  <si>
    <t>Prior Year exit rate (Q4 x 4)</t>
  </si>
  <si>
    <t>Total</t>
  </si>
  <si>
    <t>Title</t>
  </si>
  <si>
    <t>Navigation</t>
  </si>
  <si>
    <t>Content</t>
  </si>
  <si>
    <t>Mapping</t>
  </si>
  <si>
    <t>In addition, the template features a view on Month-to-Date (MTD) and Year-to-Date (YTD) results. The difference is explained below:</t>
  </si>
  <si>
    <t>MTD: Refers to a single month (e.g. Oct MTD = the results of October only)</t>
  </si>
  <si>
    <t>YTD: Refers to the results of the entire year up to the selected month (e.g. Oct YTD = Jan + Feb + Mar + ... + Oct)</t>
  </si>
  <si>
    <t>Customization difficulty (1-3)</t>
  </si>
  <si>
    <t>Explanation of sheets</t>
  </si>
  <si>
    <t>Mapping:</t>
  </si>
  <si>
    <t>How to customize</t>
  </si>
  <si>
    <t>1)</t>
  </si>
  <si>
    <t>2)</t>
  </si>
  <si>
    <t>3)</t>
  </si>
  <si>
    <t>4)</t>
  </si>
  <si>
    <t>5)</t>
  </si>
  <si>
    <t>6)</t>
  </si>
  <si>
    <t>If needed, check out the video in which I walk you through each and every step!</t>
  </si>
  <si>
    <t>Trend Analysis</t>
  </si>
  <si>
    <t>This file enables you to perform a detailed trend and variance analysis using statistical methods provided by Microsoft Excel</t>
  </si>
  <si>
    <t>With the integrated drop-down lists, you can easily navigate across months to analyze performance.</t>
  </si>
  <si>
    <t>Everything is set up already - all you need to do is bring in your data (sales and units)</t>
  </si>
  <si>
    <t>Sales Data &amp; Units sold:</t>
  </si>
  <si>
    <t>You can adjust all cells colored in green, which will then translate into the various drop-down lists across the file. You can also adjust the conversion factor (such as showing numbers in thousands, millions, etc.)</t>
  </si>
  <si>
    <t>Bridges for Trends:</t>
  </si>
  <si>
    <t>Do not change this sheet. It is set up to automatically calculate the trend bridges needed for the statistical extrapolation in your various sheets.</t>
  </si>
  <si>
    <t>Summary:</t>
  </si>
  <si>
    <t>This sheet contains the prepopulated data, Actuals are available until July YTD to provide a realistic picture of a business situation (middle of the year, still some months to go). Make sure to copy-paste your data into the right columns, and don't change the order of the cells.</t>
  </si>
  <si>
    <t>Select the month, and you are good to go! All kinds of different analyses, showing MTD, YTD and FY Performance, as well as variances.</t>
  </si>
  <si>
    <t>Individual Analysis sheets:</t>
  </si>
  <si>
    <t>Get the maximum level of detail for your product portfolio, showing trends, historical analyses, visualizations, and much more!</t>
  </si>
  <si>
    <t>Ensure that the regional settings of your computer align with the "Months" in D:D on the sheet "Mapping" and update columns A:A and B:B for your particular data</t>
  </si>
  <si>
    <t>On the data tabs "Sales Data" and "Units sold", bring in all relevant data in the green columns. Make sure the months in column B:B align with your mapping tab, and that they follow the same setup (e.g. "Jan 2020")</t>
  </si>
  <si>
    <t>If your data set only allows for one version, copy-paste the data into both the "Budget" and "Actuals" column.</t>
  </si>
  <si>
    <t>Depending on the number of products you want to include in your file, simply copy-paste one of the invididual analysis sheets and change the product in cell E2.</t>
  </si>
  <si>
    <t>For a detailed walkthrough, check out the attached video!</t>
  </si>
  <si>
    <t>Sales Data</t>
  </si>
  <si>
    <t>Units sold</t>
  </si>
  <si>
    <t>Bridges for Trends</t>
  </si>
  <si>
    <t>Summary</t>
  </si>
  <si>
    <t>Period</t>
  </si>
  <si>
    <t>Year</t>
  </si>
  <si>
    <t>Related To Online Templates</t>
  </si>
  <si>
    <t>Our templates is compatible with online service but some templates that including macros feature is still not supported with Excel Online</t>
  </si>
  <si>
    <t>Here is some hints that replace our macros in case of using Online Template</t>
  </si>
  <si>
    <t>Referesh / Update Data</t>
  </si>
  <si>
    <r>
      <t xml:space="preserve">Some of our templates include </t>
    </r>
    <r>
      <rPr>
        <b/>
        <sz val="10"/>
        <color theme="1"/>
        <rFont val="Arial"/>
        <family val="2"/>
      </rPr>
      <t xml:space="preserve">Referesh/Update data </t>
    </r>
    <r>
      <rPr>
        <sz val="10"/>
        <color theme="1"/>
        <rFont val="Arial"/>
        <family val="2"/>
      </rPr>
      <t>macro button that can be replaced with Referesh All tool in Excel Online ribbon</t>
    </r>
  </si>
  <si>
    <t>Full Screen</t>
  </si>
  <si>
    <r>
      <t xml:space="preserve">Some of our templates have </t>
    </r>
    <r>
      <rPr>
        <b/>
        <sz val="10"/>
        <color theme="1"/>
        <rFont val="Arial"/>
        <family val="2"/>
      </rPr>
      <t xml:space="preserve">Full Screen </t>
    </r>
    <r>
      <rPr>
        <sz val="10"/>
        <color theme="1"/>
        <rFont val="Arial"/>
        <family val="2"/>
      </rPr>
      <t xml:space="preserve">macro button that can be replaced with the itself web browser full screen tool </t>
    </r>
  </si>
  <si>
    <t>Other Macros / Buttons</t>
  </si>
  <si>
    <r>
      <t xml:space="preserve">Other macros is applied on less than ~15% of our templats can be overcome by transferring to Desktop App </t>
    </r>
    <r>
      <rPr>
        <b/>
        <sz val="10"/>
        <color theme="1"/>
        <rFont val="Arial"/>
        <family val="2"/>
      </rPr>
      <t>"Open in Desktop App"</t>
    </r>
    <r>
      <rPr>
        <sz val="10"/>
        <color theme="1"/>
        <rFont val="Arial"/>
        <family val="2"/>
      </rPr>
      <t xml:space="preserve"> button</t>
    </r>
  </si>
  <si>
    <t>Open in Desktop App</t>
  </si>
  <si>
    <t>To open online template using Desktop App be sure that you signed in to your Microsoft account / Onedrive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</si>
</sst>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_(* #,##0_);_(* \(#,##0\);_(* &quot;-&quot;_);_(@_)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69" formatCode="#,##0_);\(#,##0\);"/>
    <numFmt numFmtId="170" formatCode="[Blue]\+#,##0_);[Red]\-#,##0"/>
    <numFmt numFmtId="171" formatCode="_-* #,##0_-;\-* #,##0_-;_-* &quot;-&quot;??_-;_-@_-"/>
    <numFmt numFmtId="172" formatCode="\+#,##0_);\-#,##0"/>
    <numFmt numFmtId="173" formatCode="mmm\-yyyy"/>
    <numFmt numFmtId="174" formatCode="#,##0,_);\(#,##0,\);"/>
  </numFmts>
  <fonts count="3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4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Arial"/>
      <family val="2"/>
    </font>
    <font>
      <sz val="12"/>
      <color theme="1"/>
      <name val="Calibri"/>
      <family val="2"/>
      <scheme val="minor"/>
    </font>
    <font>
      <u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8FCFAD"/>
        <bgColor indexed="64"/>
      </patternFill>
    </fill>
    <fill>
      <patternFill patternType="solid">
        <fgColor rgb="FF50B47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165" fontId="2" fillId="0" borderId="0" applyFont="0" applyFill="0" applyBorder="0" applyAlignment="0" applyProtection="0"/>
    <xf numFmtId="0" fontId="11" fillId="4" borderId="2" applyNumberForma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0" borderId="0"/>
    <xf numFmtId="165" fontId="12" fillId="0" borderId="0" applyFont="0" applyFill="0" applyBorder="0" applyAlignment="0" applyProtection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/>
    <xf numFmtId="0" fontId="1" fillId="0" borderId="0"/>
  </cellStyleXfs>
  <cellXfs count="217">
    <xf numFmtId="0" fontId="0" fillId="0" borderId="0" xfId="0"/>
    <xf numFmtId="0" fontId="6" fillId="0" borderId="0" xfId="0" applyFont="1"/>
    <xf numFmtId="167" fontId="0" fillId="0" borderId="0" xfId="1" applyNumberFormat="1" applyFont="1"/>
    <xf numFmtId="173" fontId="0" fillId="0" borderId="0" xfId="0" applyNumberFormat="1"/>
    <xf numFmtId="0" fontId="9" fillId="12" borderId="18" xfId="3" applyFont="1" applyFill="1" applyBorder="1" applyAlignment="1">
      <alignment horizontal="center" vertical="center" wrapText="1"/>
    </xf>
    <xf numFmtId="0" fontId="3" fillId="12" borderId="0" xfId="0" applyFont="1" applyFill="1"/>
    <xf numFmtId="0" fontId="14" fillId="1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12" borderId="0" xfId="0" applyFont="1" applyFill="1"/>
    <xf numFmtId="0" fontId="6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2" fillId="2" borderId="0" xfId="0" applyFont="1" applyFill="1"/>
    <xf numFmtId="0" fontId="17" fillId="0" borderId="0" xfId="0" applyFont="1"/>
    <xf numFmtId="0" fontId="17" fillId="0" borderId="0" xfId="14" applyFont="1" applyAlignment="1">
      <alignment wrapText="1"/>
    </xf>
    <xf numFmtId="0" fontId="16" fillId="11" borderId="19" xfId="14" applyFont="1" applyFill="1" applyBorder="1" applyAlignment="1">
      <alignment horizontal="center" vertical="center"/>
    </xf>
    <xf numFmtId="0" fontId="16" fillId="11" borderId="19" xfId="14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left"/>
    </xf>
    <xf numFmtId="167" fontId="18" fillId="0" borderId="13" xfId="7" applyNumberFormat="1" applyFont="1" applyFill="1" applyBorder="1" applyAlignment="1">
      <alignment horizontal="center"/>
    </xf>
    <xf numFmtId="167" fontId="18" fillId="0" borderId="13" xfId="1" applyNumberFormat="1" applyFont="1" applyBorder="1" applyAlignment="1">
      <alignment horizontal="right" vertical="center"/>
    </xf>
    <xf numFmtId="9" fontId="18" fillId="0" borderId="13" xfId="4" applyFont="1" applyBorder="1" applyAlignment="1">
      <alignment horizontal="right" vertical="center"/>
    </xf>
    <xf numFmtId="167" fontId="18" fillId="0" borderId="15" xfId="7" applyNumberFormat="1" applyFont="1" applyFill="1" applyBorder="1" applyAlignment="1">
      <alignment horizontal="center"/>
    </xf>
    <xf numFmtId="168" fontId="18" fillId="0" borderId="13" xfId="4" applyNumberFormat="1" applyFont="1" applyBorder="1" applyAlignment="1">
      <alignment horizontal="right" vertical="center"/>
    </xf>
    <xf numFmtId="167" fontId="18" fillId="0" borderId="15" xfId="7" applyNumberFormat="1" applyFont="1" applyFill="1" applyBorder="1"/>
    <xf numFmtId="167" fontId="2" fillId="0" borderId="13" xfId="1" applyNumberFormat="1" applyFont="1" applyFill="1" applyBorder="1" applyAlignment="1">
      <alignment horizontal="center" vertical="center"/>
    </xf>
    <xf numFmtId="167" fontId="2" fillId="0" borderId="14" xfId="1" applyNumberFormat="1" applyFont="1" applyFill="1" applyBorder="1" applyAlignment="1">
      <alignment horizontal="center" vertical="center"/>
    </xf>
    <xf numFmtId="174" fontId="2" fillId="0" borderId="9" xfId="14" applyNumberFormat="1" applyFont="1" applyBorder="1" applyAlignment="1">
      <alignment horizontal="center" vertical="center"/>
    </xf>
    <xf numFmtId="167" fontId="18" fillId="0" borderId="14" xfId="7" applyNumberFormat="1" applyFont="1" applyFill="1" applyBorder="1"/>
    <xf numFmtId="167" fontId="6" fillId="0" borderId="0" xfId="1" applyNumberFormat="1" applyFont="1" applyFill="1"/>
    <xf numFmtId="167" fontId="19" fillId="0" borderId="0" xfId="1" applyNumberFormat="1" applyFont="1" applyFill="1"/>
    <xf numFmtId="167" fontId="6" fillId="0" borderId="0" xfId="0" applyNumberFormat="1" applyFont="1"/>
    <xf numFmtId="167" fontId="18" fillId="0" borderId="13" xfId="7" applyNumberFormat="1" applyFont="1" applyFill="1" applyBorder="1"/>
    <xf numFmtId="167" fontId="18" fillId="0" borderId="14" xfId="7" applyNumberFormat="1" applyFont="1" applyFill="1" applyBorder="1" applyAlignment="1">
      <alignment horizontal="center"/>
    </xf>
    <xf numFmtId="167" fontId="18" fillId="0" borderId="14" xfId="1" applyNumberFormat="1" applyFont="1" applyBorder="1" applyAlignment="1">
      <alignment horizontal="right" vertical="center"/>
    </xf>
    <xf numFmtId="9" fontId="18" fillId="0" borderId="14" xfId="4" applyFont="1" applyBorder="1" applyAlignment="1">
      <alignment horizontal="right" vertical="center"/>
    </xf>
    <xf numFmtId="167" fontId="18" fillId="0" borderId="7" xfId="7" applyNumberFormat="1" applyFont="1" applyFill="1" applyBorder="1" applyAlignment="1">
      <alignment horizontal="center"/>
    </xf>
    <xf numFmtId="168" fontId="18" fillId="0" borderId="14" xfId="4" applyNumberFormat="1" applyFont="1" applyBorder="1" applyAlignment="1">
      <alignment horizontal="right" vertical="center"/>
    </xf>
    <xf numFmtId="167" fontId="18" fillId="0" borderId="7" xfId="7" applyNumberFormat="1" applyFont="1" applyFill="1" applyBorder="1"/>
    <xf numFmtId="0" fontId="19" fillId="0" borderId="0" xfId="0" applyFont="1"/>
    <xf numFmtId="0" fontId="19" fillId="2" borderId="10" xfId="0" applyFont="1" applyFill="1" applyBorder="1"/>
    <xf numFmtId="167" fontId="16" fillId="2" borderId="10" xfId="7" applyNumberFormat="1" applyFont="1" applyFill="1" applyBorder="1" applyAlignment="1">
      <alignment horizontal="center"/>
    </xf>
    <xf numFmtId="167" fontId="16" fillId="2" borderId="11" xfId="7" applyNumberFormat="1" applyFont="1" applyFill="1" applyBorder="1" applyAlignment="1">
      <alignment horizontal="center"/>
    </xf>
    <xf numFmtId="167" fontId="16" fillId="2" borderId="10" xfId="1" applyNumberFormat="1" applyFont="1" applyFill="1" applyBorder="1" applyAlignment="1">
      <alignment horizontal="right" vertical="center"/>
    </xf>
    <xf numFmtId="9" fontId="16" fillId="2" borderId="10" xfId="4" applyFont="1" applyFill="1" applyBorder="1" applyAlignment="1">
      <alignment horizontal="right" vertical="center"/>
    </xf>
    <xf numFmtId="0" fontId="19" fillId="2" borderId="0" xfId="0" applyFont="1" applyFill="1"/>
    <xf numFmtId="167" fontId="16" fillId="9" borderId="10" xfId="1" applyNumberFormat="1" applyFont="1" applyFill="1" applyBorder="1" applyAlignment="1">
      <alignment horizontal="right" vertical="center"/>
    </xf>
    <xf numFmtId="168" fontId="16" fillId="9" borderId="10" xfId="4" applyNumberFormat="1" applyFont="1" applyFill="1" applyBorder="1" applyAlignment="1">
      <alignment horizontal="right" vertical="center"/>
    </xf>
    <xf numFmtId="167" fontId="16" fillId="2" borderId="11" xfId="7" applyNumberFormat="1" applyFont="1" applyFill="1" applyBorder="1"/>
    <xf numFmtId="167" fontId="20" fillId="2" borderId="10" xfId="1" applyNumberFormat="1" applyFont="1" applyFill="1" applyBorder="1" applyAlignment="1">
      <alignment horizontal="center" vertical="center"/>
    </xf>
    <xf numFmtId="167" fontId="16" fillId="2" borderId="10" xfId="7" applyNumberFormat="1" applyFont="1" applyFill="1" applyBorder="1"/>
    <xf numFmtId="167" fontId="16" fillId="2" borderId="0" xfId="7" applyNumberFormat="1" applyFont="1" applyFill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0" fontId="2" fillId="0" borderId="0" xfId="0" applyFont="1"/>
    <xf numFmtId="171" fontId="11" fillId="12" borderId="5" xfId="10" applyNumberFormat="1" applyFont="1" applyFill="1" applyBorder="1" applyAlignment="1">
      <alignment horizontal="center" vertical="center" wrapText="1"/>
    </xf>
    <xf numFmtId="171" fontId="11" fillId="12" borderId="1" xfId="10" applyNumberFormat="1" applyFont="1" applyFill="1" applyBorder="1" applyAlignment="1">
      <alignment horizontal="center" vertical="center" wrapText="1"/>
    </xf>
    <xf numFmtId="171" fontId="11" fillId="12" borderId="6" xfId="1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1" fillId="12" borderId="1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6" fillId="0" borderId="0" xfId="0" applyNumberFormat="1" applyFont="1"/>
    <xf numFmtId="0" fontId="11" fillId="12" borderId="0" xfId="0" applyFont="1" applyFill="1"/>
    <xf numFmtId="0" fontId="2" fillId="11" borderId="0" xfId="0" applyFont="1" applyFill="1"/>
    <xf numFmtId="14" fontId="2" fillId="0" borderId="0" xfId="0" quotePrefix="1" applyNumberFormat="1" applyFont="1"/>
    <xf numFmtId="14" fontId="2" fillId="0" borderId="0" xfId="0" applyNumberFormat="1" applyFont="1"/>
    <xf numFmtId="0" fontId="21" fillId="0" borderId="0" xfId="0" applyFont="1"/>
    <xf numFmtId="0" fontId="22" fillId="12" borderId="0" xfId="0" applyFont="1" applyFill="1" applyAlignment="1">
      <alignment horizontal="center"/>
    </xf>
    <xf numFmtId="173" fontId="2" fillId="0" borderId="0" xfId="0" applyNumberFormat="1" applyFont="1" applyAlignment="1">
      <alignment horizontal="center"/>
    </xf>
    <xf numFmtId="168" fontId="6" fillId="0" borderId="0" xfId="2" applyNumberFormat="1" applyFont="1"/>
    <xf numFmtId="168" fontId="6" fillId="0" borderId="0" xfId="2" applyNumberFormat="1" applyFont="1" applyFill="1"/>
    <xf numFmtId="0" fontId="6" fillId="0" borderId="0" xfId="0" applyFont="1" applyAlignment="1">
      <alignment horizontal="right"/>
    </xf>
    <xf numFmtId="167" fontId="6" fillId="0" borderId="0" xfId="1" applyNumberFormat="1" applyFont="1"/>
    <xf numFmtId="0" fontId="15" fillId="12" borderId="18" xfId="3" applyFont="1" applyFill="1" applyBorder="1" applyAlignment="1">
      <alignment horizontal="center" vertical="center" wrapText="1"/>
    </xf>
    <xf numFmtId="168" fontId="6" fillId="0" borderId="0" xfId="4" applyNumberFormat="1" applyFont="1"/>
    <xf numFmtId="9" fontId="6" fillId="0" borderId="0" xfId="2" applyFont="1"/>
    <xf numFmtId="168" fontId="6" fillId="0" borderId="0" xfId="0" applyNumberFormat="1" applyFont="1"/>
    <xf numFmtId="0" fontId="23" fillId="5" borderId="0" xfId="0" applyFont="1" applyFill="1"/>
    <xf numFmtId="9" fontId="6" fillId="0" borderId="0" xfId="4" applyFont="1"/>
    <xf numFmtId="14" fontId="24" fillId="0" borderId="0" xfId="0" applyNumberFormat="1" applyFont="1"/>
    <xf numFmtId="14" fontId="25" fillId="0" borderId="0" xfId="0" applyNumberFormat="1" applyFont="1"/>
    <xf numFmtId="0" fontId="15" fillId="12" borderId="17" xfId="3" applyFont="1" applyFill="1" applyBorder="1" applyAlignment="1">
      <alignment horizontal="center" vertical="center"/>
    </xf>
    <xf numFmtId="0" fontId="15" fillId="12" borderId="18" xfId="3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167" fontId="14" fillId="12" borderId="15" xfId="1" applyNumberFormat="1" applyFont="1" applyFill="1" applyBorder="1" applyAlignment="1"/>
    <xf numFmtId="167" fontId="14" fillId="12" borderId="4" xfId="1" applyNumberFormat="1" applyFont="1" applyFill="1" applyBorder="1" applyAlignment="1"/>
    <xf numFmtId="167" fontId="14" fillId="12" borderId="8" xfId="1" applyNumberFormat="1" applyFont="1" applyFill="1" applyBorder="1" applyAlignment="1"/>
    <xf numFmtId="167" fontId="14" fillId="12" borderId="13" xfId="1" applyNumberFormat="1" applyFont="1" applyFill="1" applyBorder="1" applyAlignment="1">
      <alignment horizontal="center"/>
    </xf>
    <xf numFmtId="167" fontId="14" fillId="12" borderId="8" xfId="1" applyNumberFormat="1" applyFont="1" applyFill="1" applyBorder="1" applyAlignment="1">
      <alignment horizontal="center"/>
    </xf>
    <xf numFmtId="168" fontId="19" fillId="0" borderId="0" xfId="2" applyNumberFormat="1" applyFont="1" applyFill="1" applyBorder="1"/>
    <xf numFmtId="0" fontId="2" fillId="2" borderId="0" xfId="0" applyFont="1" applyFill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1" xfId="0" applyFont="1" applyFill="1" applyBorder="1"/>
    <xf numFmtId="0" fontId="19" fillId="0" borderId="16" xfId="0" applyFont="1" applyBorder="1"/>
    <xf numFmtId="167" fontId="6" fillId="0" borderId="16" xfId="1" applyNumberFormat="1" applyFont="1" applyBorder="1"/>
    <xf numFmtId="167" fontId="6" fillId="2" borderId="16" xfId="1" applyNumberFormat="1" applyFont="1" applyFill="1" applyBorder="1" applyAlignment="1">
      <alignment horizontal="left"/>
    </xf>
    <xf numFmtId="168" fontId="17" fillId="0" borderId="0" xfId="1" applyNumberFormat="1" applyFont="1" applyFill="1" applyBorder="1" applyAlignment="1">
      <alignment horizontal="right" shrinkToFit="1"/>
    </xf>
    <xf numFmtId="0" fontId="19" fillId="0" borderId="15" xfId="0" applyFont="1" applyBorder="1" applyAlignment="1">
      <alignment horizontal="left"/>
    </xf>
    <xf numFmtId="0" fontId="6" fillId="0" borderId="4" xfId="0" applyFont="1" applyBorder="1"/>
    <xf numFmtId="0" fontId="6" fillId="0" borderId="8" xfId="0" applyFont="1" applyBorder="1"/>
    <xf numFmtId="164" fontId="6" fillId="0" borderId="13" xfId="0" applyNumberFormat="1" applyFont="1" applyBorder="1" applyAlignment="1">
      <alignment horizontal="center"/>
    </xf>
    <xf numFmtId="172" fontId="27" fillId="0" borderId="9" xfId="1" applyNumberFormat="1" applyFont="1" applyBorder="1" applyAlignment="1">
      <alignment horizontal="center" shrinkToFit="1"/>
    </xf>
    <xf numFmtId="0" fontId="2" fillId="2" borderId="0" xfId="0" applyFont="1" applyFill="1" applyAlignment="1">
      <alignment horizontal="right"/>
    </xf>
    <xf numFmtId="0" fontId="19" fillId="0" borderId="7" xfId="0" applyFont="1" applyBorder="1" applyAlignment="1">
      <alignment horizontal="left"/>
    </xf>
    <xf numFmtId="0" fontId="6" fillId="0" borderId="9" xfId="0" applyFont="1" applyBorder="1"/>
    <xf numFmtId="167" fontId="6" fillId="0" borderId="14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168" fontId="19" fillId="11" borderId="0" xfId="4" applyNumberFormat="1" applyFont="1" applyFill="1" applyBorder="1"/>
    <xf numFmtId="167" fontId="19" fillId="11" borderId="0" xfId="1" applyNumberFormat="1" applyFont="1" applyFill="1" applyBorder="1" applyAlignment="1">
      <alignment horizontal="left"/>
    </xf>
    <xf numFmtId="167" fontId="19" fillId="11" borderId="16" xfId="1" applyNumberFormat="1" applyFont="1" applyFill="1" applyBorder="1" applyAlignment="1">
      <alignment horizontal="left"/>
    </xf>
    <xf numFmtId="167" fontId="19" fillId="0" borderId="16" xfId="1" applyNumberFormat="1" applyFont="1" applyBorder="1"/>
    <xf numFmtId="167" fontId="19" fillId="2" borderId="16" xfId="1" applyNumberFormat="1" applyFont="1" applyFill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6" fillId="0" borderId="3" xfId="0" applyFont="1" applyBorder="1"/>
    <xf numFmtId="0" fontId="6" fillId="0" borderId="12" xfId="0" applyFont="1" applyBorder="1"/>
    <xf numFmtId="164" fontId="6" fillId="0" borderId="10" xfId="0" applyNumberFormat="1" applyFont="1" applyBorder="1" applyAlignment="1">
      <alignment horizontal="center"/>
    </xf>
    <xf numFmtId="172" fontId="27" fillId="0" borderId="12" xfId="1" applyNumberFormat="1" applyFont="1" applyBorder="1" applyAlignment="1">
      <alignment horizontal="center" shrinkToFit="1"/>
    </xf>
    <xf numFmtId="167" fontId="6" fillId="0" borderId="0" xfId="1" applyNumberFormat="1" applyFont="1" applyBorder="1" applyAlignment="1">
      <alignment horizontal="left"/>
    </xf>
    <xf numFmtId="167" fontId="19" fillId="0" borderId="16" xfId="1" applyNumberFormat="1" applyFont="1" applyFill="1" applyBorder="1" applyAlignment="1">
      <alignment horizontal="left"/>
    </xf>
    <xf numFmtId="168" fontId="6" fillId="0" borderId="0" xfId="2" applyNumberFormat="1" applyFont="1" applyFill="1" applyBorder="1"/>
    <xf numFmtId="0" fontId="6" fillId="0" borderId="0" xfId="0" applyFont="1" applyAlignment="1">
      <alignment horizontal="left"/>
    </xf>
    <xf numFmtId="0" fontId="6" fillId="2" borderId="0" xfId="0" applyFont="1" applyFill="1" applyAlignment="1">
      <alignment horizontal="right"/>
    </xf>
    <xf numFmtId="169" fontId="25" fillId="0" borderId="0" xfId="3" applyNumberFormat="1" applyFont="1" applyAlignment="1">
      <alignment horizontal="center"/>
    </xf>
    <xf numFmtId="14" fontId="15" fillId="12" borderId="18" xfId="3" applyNumberFormat="1" applyFont="1" applyFill="1" applyBorder="1" applyAlignment="1">
      <alignment horizontal="center" vertical="center" wrapText="1"/>
    </xf>
    <xf numFmtId="0" fontId="14" fillId="12" borderId="15" xfId="0" applyFont="1" applyFill="1" applyBorder="1"/>
    <xf numFmtId="0" fontId="14" fillId="12" borderId="8" xfId="0" applyFont="1" applyFill="1" applyBorder="1" applyAlignment="1">
      <alignment horizontal="center"/>
    </xf>
    <xf numFmtId="0" fontId="14" fillId="12" borderId="15" xfId="0" applyFont="1" applyFill="1" applyBorder="1" applyAlignment="1">
      <alignment horizontal="center"/>
    </xf>
    <xf numFmtId="168" fontId="6" fillId="0" borderId="0" xfId="2" applyNumberFormat="1" applyFont="1" applyFill="1" applyAlignment="1"/>
    <xf numFmtId="167" fontId="19" fillId="0" borderId="0" xfId="1" applyNumberFormat="1" applyFont="1" applyFill="1" applyBorder="1"/>
    <xf numFmtId="0" fontId="6" fillId="0" borderId="0" xfId="0" applyFont="1" applyAlignment="1">
      <alignment horizontal="center" vertical="center"/>
    </xf>
    <xf numFmtId="17" fontId="5" fillId="12" borderId="0" xfId="0" applyNumberFormat="1" applyFont="1" applyFill="1" applyAlignment="1">
      <alignment horizontal="right"/>
    </xf>
    <xf numFmtId="167" fontId="6" fillId="0" borderId="16" xfId="1" applyNumberFormat="1" applyFont="1" applyBorder="1" applyAlignment="1">
      <alignment horizontal="left"/>
    </xf>
    <xf numFmtId="167" fontId="6" fillId="0" borderId="9" xfId="0" applyNumberFormat="1" applyFont="1" applyBorder="1" applyAlignment="1">
      <alignment horizontal="center" vertical="center"/>
    </xf>
    <xf numFmtId="168" fontId="27" fillId="0" borderId="7" xfId="4" applyNumberFormat="1" applyFont="1" applyBorder="1" applyAlignment="1">
      <alignment shrinkToFit="1"/>
    </xf>
    <xf numFmtId="168" fontId="27" fillId="0" borderId="9" xfId="4" applyNumberFormat="1" applyFont="1" applyFill="1" applyBorder="1" applyAlignment="1">
      <alignment shrinkToFit="1"/>
    </xf>
    <xf numFmtId="168" fontId="27" fillId="0" borderId="9" xfId="4" applyNumberFormat="1" applyFont="1" applyBorder="1" applyAlignment="1">
      <alignment shrinkToFit="1"/>
    </xf>
    <xf numFmtId="0" fontId="19" fillId="0" borderId="7" xfId="0" applyFont="1" applyBorder="1"/>
    <xf numFmtId="167" fontId="6" fillId="0" borderId="9" xfId="0" applyNumberFormat="1" applyFont="1" applyBorder="1" applyAlignment="1">
      <alignment vertical="center"/>
    </xf>
    <xf numFmtId="168" fontId="27" fillId="0" borderId="9" xfId="4" applyNumberFormat="1" applyFont="1" applyBorder="1" applyAlignment="1">
      <alignment horizontal="center" shrinkToFit="1"/>
    </xf>
    <xf numFmtId="167" fontId="6" fillId="0" borderId="0" xfId="0" applyNumberFormat="1" applyFont="1" applyAlignment="1">
      <alignment horizontal="center" vertical="center"/>
    </xf>
    <xf numFmtId="168" fontId="19" fillId="0" borderId="11" xfId="0" applyNumberFormat="1" applyFont="1" applyBorder="1" applyAlignment="1">
      <alignment horizontal="left"/>
    </xf>
    <xf numFmtId="167" fontId="6" fillId="0" borderId="12" xfId="0" applyNumberFormat="1" applyFont="1" applyBorder="1" applyAlignment="1">
      <alignment horizontal="center" vertical="center"/>
    </xf>
    <xf numFmtId="167" fontId="6" fillId="0" borderId="11" xfId="0" applyNumberFormat="1" applyFont="1" applyBorder="1" applyAlignment="1">
      <alignment vertical="center"/>
    </xf>
    <xf numFmtId="167" fontId="6" fillId="0" borderId="12" xfId="0" applyNumberFormat="1" applyFont="1" applyBorder="1" applyAlignment="1">
      <alignment vertical="center"/>
    </xf>
    <xf numFmtId="172" fontId="19" fillId="0" borderId="12" xfId="14" applyNumberFormat="1" applyFont="1" applyBorder="1" applyAlignment="1">
      <alignment vertical="center"/>
    </xf>
    <xf numFmtId="168" fontId="19" fillId="0" borderId="11" xfId="0" applyNumberFormat="1" applyFont="1" applyBorder="1"/>
    <xf numFmtId="172" fontId="19" fillId="0" borderId="12" xfId="14" applyNumberFormat="1" applyFont="1" applyBorder="1" applyAlignment="1">
      <alignment horizontal="center" vertical="center"/>
    </xf>
    <xf numFmtId="167" fontId="15" fillId="1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indent="1"/>
    </xf>
    <xf numFmtId="167" fontId="14" fillId="12" borderId="0" xfId="0" applyNumberFormat="1" applyFont="1" applyFill="1" applyAlignment="1">
      <alignment horizontal="center" vertical="center"/>
    </xf>
    <xf numFmtId="167" fontId="19" fillId="0" borderId="16" xfId="1" applyNumberFormat="1" applyFont="1" applyBorder="1" applyAlignment="1">
      <alignment horizontal="left"/>
    </xf>
    <xf numFmtId="0" fontId="6" fillId="0" borderId="0" xfId="0" applyFont="1" applyAlignment="1">
      <alignment vertical="center"/>
    </xf>
    <xf numFmtId="167" fontId="6" fillId="2" borderId="0" xfId="1" applyNumberFormat="1" applyFont="1" applyFill="1" applyAlignment="1">
      <alignment horizontal="right"/>
    </xf>
    <xf numFmtId="0" fontId="14" fillId="12" borderId="4" xfId="0" applyFont="1" applyFill="1" applyBorder="1" applyAlignment="1">
      <alignment horizontal="center"/>
    </xf>
    <xf numFmtId="17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167" fontId="6" fillId="0" borderId="4" xfId="0" applyNumberFormat="1" applyFont="1" applyBorder="1" applyAlignment="1">
      <alignment horizontal="center" vertical="center"/>
    </xf>
    <xf numFmtId="167" fontId="6" fillId="0" borderId="8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167" fontId="19" fillId="0" borderId="0" xfId="1" applyNumberFormat="1" applyFont="1" applyAlignment="1">
      <alignment horizontal="right"/>
    </xf>
    <xf numFmtId="167" fontId="19" fillId="2" borderId="0" xfId="1" applyNumberFormat="1" applyFont="1" applyFill="1" applyAlignment="1">
      <alignment horizontal="right"/>
    </xf>
    <xf numFmtId="9" fontId="6" fillId="0" borderId="0" xfId="2" applyFont="1" applyBorder="1" applyAlignment="1">
      <alignment horizontal="center"/>
    </xf>
    <xf numFmtId="0" fontId="19" fillId="0" borderId="16" xfId="0" applyFont="1" applyBorder="1" applyAlignment="1">
      <alignment horizontal="left"/>
    </xf>
    <xf numFmtId="166" fontId="6" fillId="0" borderId="16" xfId="1" applyNumberFormat="1" applyFont="1" applyBorder="1" applyAlignment="1">
      <alignment horizontal="left"/>
    </xf>
    <xf numFmtId="166" fontId="6" fillId="2" borderId="16" xfId="1" applyNumberFormat="1" applyFont="1" applyFill="1" applyBorder="1" applyAlignment="1">
      <alignment horizontal="left"/>
    </xf>
    <xf numFmtId="9" fontId="6" fillId="0" borderId="0" xfId="4" applyFont="1" applyBorder="1" applyAlignment="1">
      <alignment horizontal="center"/>
    </xf>
    <xf numFmtId="17" fontId="6" fillId="0" borderId="0" xfId="0" applyNumberFormat="1" applyFont="1" applyAlignment="1">
      <alignment horizontal="right"/>
    </xf>
    <xf numFmtId="167" fontId="6" fillId="0" borderId="0" xfId="1" applyNumberFormat="1" applyFont="1" applyAlignment="1">
      <alignment horizontal="right"/>
    </xf>
    <xf numFmtId="0" fontId="19" fillId="11" borderId="16" xfId="0" applyFont="1" applyFill="1" applyBorder="1" applyAlignment="1">
      <alignment horizontal="left"/>
    </xf>
    <xf numFmtId="166" fontId="19" fillId="11" borderId="0" xfId="1" applyNumberFormat="1" applyFont="1" applyFill="1" applyBorder="1" applyAlignment="1">
      <alignment horizontal="left"/>
    </xf>
    <xf numFmtId="166" fontId="19" fillId="11" borderId="16" xfId="1" applyNumberFormat="1" applyFont="1" applyFill="1" applyBorder="1" applyAlignment="1">
      <alignment horizontal="left"/>
    </xf>
    <xf numFmtId="167" fontId="6" fillId="0" borderId="3" xfId="0" applyNumberFormat="1" applyFont="1" applyBorder="1" applyAlignment="1">
      <alignment horizontal="center" vertical="center"/>
    </xf>
    <xf numFmtId="0" fontId="14" fillId="12" borderId="0" xfId="0" applyFont="1" applyFill="1" applyAlignment="1">
      <alignment vertical="center"/>
    </xf>
    <xf numFmtId="166" fontId="19" fillId="0" borderId="16" xfId="1" applyNumberFormat="1" applyFont="1" applyBorder="1" applyAlignment="1">
      <alignment horizontal="left"/>
    </xf>
    <xf numFmtId="166" fontId="19" fillId="2" borderId="16" xfId="1" applyNumberFormat="1" applyFont="1" applyFill="1" applyBorder="1" applyAlignment="1">
      <alignment horizontal="left"/>
    </xf>
    <xf numFmtId="167" fontId="14" fillId="12" borderId="0" xfId="1" applyNumberFormat="1" applyFont="1" applyFill="1" applyAlignment="1">
      <alignment horizontal="right"/>
    </xf>
    <xf numFmtId="166" fontId="19" fillId="0" borderId="16" xfId="1" applyNumberFormat="1" applyFont="1" applyFill="1" applyBorder="1" applyAlignment="1">
      <alignment horizontal="left"/>
    </xf>
    <xf numFmtId="168" fontId="27" fillId="0" borderId="0" xfId="4" applyNumberFormat="1" applyFont="1" applyBorder="1" applyAlignment="1">
      <alignment horizontal="center" shrinkToFit="1"/>
    </xf>
    <xf numFmtId="168" fontId="27" fillId="0" borderId="3" xfId="4" applyNumberFormat="1" applyFont="1" applyBorder="1" applyAlignment="1">
      <alignment horizontal="center" shrinkToFit="1"/>
    </xf>
    <xf numFmtId="168" fontId="27" fillId="0" borderId="12" xfId="4" applyNumberFormat="1" applyFont="1" applyBorder="1" applyAlignment="1">
      <alignment horizontal="center" shrinkToFit="1"/>
    </xf>
    <xf numFmtId="168" fontId="19" fillId="0" borderId="7" xfId="0" applyNumberFormat="1" applyFont="1" applyBorder="1" applyAlignment="1">
      <alignment horizontal="left"/>
    </xf>
    <xf numFmtId="172" fontId="27" fillId="0" borderId="0" xfId="1" applyNumberFormat="1" applyFont="1" applyBorder="1" applyAlignment="1">
      <alignment horizontal="center" shrinkToFit="1"/>
    </xf>
    <xf numFmtId="172" fontId="27" fillId="0" borderId="3" xfId="1" applyNumberFormat="1" applyFont="1" applyBorder="1" applyAlignment="1">
      <alignment horizontal="center" shrinkToFit="1"/>
    </xf>
    <xf numFmtId="167" fontId="6" fillId="0" borderId="0" xfId="0" applyNumberFormat="1" applyFont="1" applyAlignment="1">
      <alignment horizontal="right"/>
    </xf>
    <xf numFmtId="9" fontId="6" fillId="0" borderId="0" xfId="4" applyFont="1" applyFill="1" applyBorder="1" applyAlignment="1">
      <alignment horizontal="center"/>
    </xf>
    <xf numFmtId="0" fontId="6" fillId="8" borderId="0" xfId="0" applyFont="1" applyFill="1"/>
    <xf numFmtId="0" fontId="6" fillId="8" borderId="0" xfId="0" applyFont="1" applyFill="1" applyAlignment="1">
      <alignment horizontal="right"/>
    </xf>
    <xf numFmtId="0" fontId="6" fillId="7" borderId="0" xfId="0" applyFont="1" applyFill="1" applyAlignment="1">
      <alignment horizontal="right"/>
    </xf>
    <xf numFmtId="168" fontId="6" fillId="6" borderId="0" xfId="4" applyNumberFormat="1" applyFont="1" applyFill="1" applyAlignment="1">
      <alignment horizontal="right"/>
    </xf>
    <xf numFmtId="168" fontId="6" fillId="0" borderId="0" xfId="4" applyNumberFormat="1" applyFont="1" applyAlignment="1">
      <alignment horizontal="right"/>
    </xf>
    <xf numFmtId="173" fontId="2" fillId="2" borderId="0" xfId="0" applyNumberFormat="1" applyFont="1" applyFill="1" applyAlignment="1">
      <alignment horizontal="center"/>
    </xf>
    <xf numFmtId="0" fontId="6" fillId="0" borderId="0" xfId="14" applyFont="1" applyAlignment="1">
      <alignment vertical="center"/>
    </xf>
    <xf numFmtId="0" fontId="29" fillId="0" borderId="0" xfId="18"/>
    <xf numFmtId="0" fontId="1" fillId="0" borderId="0" xfId="19"/>
    <xf numFmtId="0" fontId="29" fillId="2" borderId="0" xfId="18" applyFill="1"/>
    <xf numFmtId="0" fontId="4" fillId="0" borderId="0" xfId="19" applyFont="1"/>
    <xf numFmtId="0" fontId="10" fillId="2" borderId="0" xfId="18" applyFont="1" applyFill="1"/>
    <xf numFmtId="0" fontId="30" fillId="2" borderId="0" xfId="17" applyFont="1" applyFill="1"/>
    <xf numFmtId="0" fontId="4" fillId="0" borderId="0" xfId="19" quotePrefix="1" applyFont="1" applyAlignment="1">
      <alignment horizontal="right"/>
    </xf>
    <xf numFmtId="0" fontId="4" fillId="0" borderId="0" xfId="19" applyFont="1" applyAlignment="1">
      <alignment horizontal="right"/>
    </xf>
    <xf numFmtId="0" fontId="1" fillId="0" borderId="0" xfId="19" quotePrefix="1" applyAlignment="1">
      <alignment horizontal="right"/>
    </xf>
    <xf numFmtId="0" fontId="0" fillId="2" borderId="0" xfId="0" applyFill="1"/>
    <xf numFmtId="0" fontId="4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/>
    <xf numFmtId="0" fontId="8" fillId="0" borderId="0" xfId="5"/>
    <xf numFmtId="0" fontId="4" fillId="0" borderId="0" xfId="0" applyFont="1" applyAlignment="1">
      <alignment horizontal="right"/>
    </xf>
    <xf numFmtId="0" fontId="28" fillId="0" borderId="0" xfId="17"/>
    <xf numFmtId="171" fontId="11" fillId="12" borderId="5" xfId="10" applyNumberFormat="1" applyFont="1" applyFill="1" applyBorder="1" applyAlignment="1">
      <alignment horizontal="center" vertical="center" wrapText="1"/>
    </xf>
    <xf numFmtId="171" fontId="11" fillId="12" borderId="6" xfId="10" applyNumberFormat="1" applyFont="1" applyFill="1" applyBorder="1" applyAlignment="1">
      <alignment horizontal="center" vertical="center" wrapText="1"/>
    </xf>
    <xf numFmtId="0" fontId="15" fillId="12" borderId="0" xfId="14" applyFont="1" applyFill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16" fillId="11" borderId="0" xfId="14" applyFont="1" applyFill="1" applyAlignment="1">
      <alignment horizontal="center" vertical="center" wrapText="1"/>
    </xf>
    <xf numFmtId="171" fontId="14" fillId="12" borderId="5" xfId="10" applyNumberFormat="1" applyFont="1" applyFill="1" applyBorder="1" applyAlignment="1">
      <alignment horizontal="center" vertical="center" wrapText="1"/>
    </xf>
    <xf numFmtId="171" fontId="14" fillId="12" borderId="20" xfId="10" applyNumberFormat="1" applyFont="1" applyFill="1" applyBorder="1" applyAlignment="1">
      <alignment horizontal="center" vertical="center" wrapText="1"/>
    </xf>
    <xf numFmtId="171" fontId="14" fillId="12" borderId="6" xfId="10" applyNumberFormat="1" applyFont="1" applyFill="1" applyBorder="1" applyAlignment="1">
      <alignment horizontal="center" vertical="center" wrapText="1"/>
    </xf>
    <xf numFmtId="171" fontId="14" fillId="12" borderId="3" xfId="10" applyNumberFormat="1" applyFont="1" applyFill="1" applyBorder="1" applyAlignment="1">
      <alignment horizontal="center" vertical="center" wrapText="1"/>
    </xf>
  </cellXfs>
  <cellStyles count="20">
    <cellStyle name="Check Cell 2" xfId="8" xr:uid="{00000000-0005-0000-0000-000000000000}"/>
    <cellStyle name="Comma" xfId="1" builtinId="3"/>
    <cellStyle name="Comma 2" xfId="7" xr:uid="{00000000-0005-0000-0000-000002000000}"/>
    <cellStyle name="Comma 21" xfId="13" xr:uid="{00000000-0005-0000-0000-000003000000}"/>
    <cellStyle name="Hyperlink" xfId="17" builtinId="8"/>
    <cellStyle name="Normal" xfId="0" builtinId="0"/>
    <cellStyle name="Normal - Style1" xfId="10" xr:uid="{00000000-0005-0000-0000-000006000000}"/>
    <cellStyle name="Normal 2" xfId="3" xr:uid="{00000000-0005-0000-0000-000007000000}"/>
    <cellStyle name="Normal 2 18" xfId="15" xr:uid="{00000000-0005-0000-0000-000008000000}"/>
    <cellStyle name="Normal 2 2" xfId="5" xr:uid="{00000000-0005-0000-0000-000009000000}"/>
    <cellStyle name="Normal 2 3" xfId="12" xr:uid="{00000000-0005-0000-0000-00000A000000}"/>
    <cellStyle name="Normal 2 4" xfId="19" xr:uid="{C8AAF9C5-8531-4B97-B33B-D1203AF88F8C}"/>
    <cellStyle name="Normal 3" xfId="6" xr:uid="{00000000-0005-0000-0000-00000B000000}"/>
    <cellStyle name="Normal 3 2" xfId="9" xr:uid="{00000000-0005-0000-0000-00000C000000}"/>
    <cellStyle name="Normal 4" xfId="18" xr:uid="{D4BC60D0-F9C6-4BB1-9C25-F9F032F042BC}"/>
    <cellStyle name="Normal 8" xfId="14" xr:uid="{00000000-0005-0000-0000-00000D000000}"/>
    <cellStyle name="Percent" xfId="2" builtinId="5"/>
    <cellStyle name="Percent 10" xfId="11" xr:uid="{00000000-0005-0000-0000-00000F000000}"/>
    <cellStyle name="Percent 2" xfId="4" xr:uid="{00000000-0005-0000-0000-000010000000}"/>
    <cellStyle name="Percent 8" xfId="16" xr:uid="{00000000-0005-0000-0000-000011000000}"/>
  </cellStyles>
  <dxfs count="122">
    <dxf>
      <font>
        <color rgb="FFFF0000"/>
      </font>
    </dxf>
    <dxf>
      <font>
        <color rgb="FF00B05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theme="9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FF0000"/>
      </font>
    </dxf>
    <dxf>
      <font>
        <color rgb="FF008000"/>
      </font>
    </dxf>
    <dxf>
      <font>
        <color rgb="FF008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theme="9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FF0000"/>
      </font>
    </dxf>
    <dxf>
      <font>
        <color rgb="FF008000"/>
      </font>
    </dxf>
    <dxf>
      <font>
        <color rgb="FF008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theme="9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FF0000"/>
      </font>
    </dxf>
    <dxf>
      <font>
        <color rgb="FF008000"/>
      </font>
    </dxf>
    <dxf>
      <font>
        <color rgb="FF008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theme="9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FF0000"/>
      </font>
    </dxf>
    <dxf>
      <font>
        <color rgb="FF008000"/>
      </font>
    </dxf>
    <dxf>
      <font>
        <color rgb="FF008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1" defaultTableStyle="TableStyleMedium2" defaultPivotStyle="PivotStyleLight16">
    <tableStyle name="Invisible" pivot="0" table="0" count="0" xr9:uid="{F94E12B6-319B-4684-97B7-867E74E11867}"/>
  </tableStyles>
  <colors>
    <mruColors>
      <color rgb="FF50B47F"/>
      <color rgb="FF8FCF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417040569376299E-2"/>
          <c:y val="0.12413966829997646"/>
          <c:w val="0.95027864000244588"/>
          <c:h val="0.70690935849615288"/>
        </c:manualLayout>
      </c:layout>
      <c:lineChart>
        <c:grouping val="standard"/>
        <c:varyColors val="0"/>
        <c:ser>
          <c:idx val="0"/>
          <c:order val="0"/>
          <c:tx>
            <c:strRef>
              <c:f>Chairs!$AH$43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50B47F"/>
              </a:solidFill>
              <a:round/>
            </a:ln>
            <a:effectLst/>
          </c:spPr>
          <c:marker>
            <c:symbol val="none"/>
          </c:marker>
          <c:cat>
            <c:strRef>
              <c:f>Chairs!$AU$15:$BR$15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Chairs!$AU$43:$BR$43</c:f>
              <c:numCache>
                <c:formatCode>_(* #,##0_);_(* \(#,##0\);_(* "-"??_);_(@_)</c:formatCode>
                <c:ptCount val="24"/>
                <c:pt idx="0">
                  <c:v>331.4490467373322</c:v>
                </c:pt>
                <c:pt idx="1">
                  <c:v>192.22995172811426</c:v>
                </c:pt>
                <c:pt idx="2">
                  <c:v>293.89065448206242</c:v>
                </c:pt>
                <c:pt idx="3">
                  <c:v>298.23460000718501</c:v>
                </c:pt>
                <c:pt idx="4">
                  <c:v>370.87773730633921</c:v>
                </c:pt>
                <c:pt idx="5">
                  <c:v>211.52387079594456</c:v>
                </c:pt>
                <c:pt idx="6">
                  <c:v>330.4977830078887</c:v>
                </c:pt>
                <c:pt idx="7">
                  <c:v>207.34383916267058</c:v>
                </c:pt>
                <c:pt idx="8">
                  <c:v>331.0604260942003</c:v>
                </c:pt>
                <c:pt idx="9">
                  <c:v>191.55252713425921</c:v>
                </c:pt>
                <c:pt idx="10">
                  <c:v>319.95400557495987</c:v>
                </c:pt>
                <c:pt idx="11">
                  <c:v>196.25758209719424</c:v>
                </c:pt>
                <c:pt idx="12">
                  <c:v>346.82725108199998</c:v>
                </c:pt>
                <c:pt idx="13">
                  <c:v>238.79549961599997</c:v>
                </c:pt>
                <c:pt idx="14">
                  <c:v>350.51170027500001</c:v>
                </c:pt>
                <c:pt idx="15">
                  <c:v>268.37060003700003</c:v>
                </c:pt>
                <c:pt idx="16">
                  <c:v>198.77341220100004</c:v>
                </c:pt>
                <c:pt idx="17">
                  <c:v>451.48431072299996</c:v>
                </c:pt>
                <c:pt idx="18">
                  <c:v>348.54445078499998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A-44E7-9995-86AE6CED7320}"/>
            </c:ext>
          </c:extLst>
        </c:ser>
        <c:ser>
          <c:idx val="1"/>
          <c:order val="1"/>
          <c:tx>
            <c:strRef>
              <c:f>Chairs!$AH$45</c:f>
              <c:strCache>
                <c:ptCount val="1"/>
                <c:pt idx="0">
                  <c:v>Trend 6m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Chairs!$AU$15:$BR$15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Chairs!$AU$45:$BR$45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344.45830393412996</c:v>
                </c:pt>
                <c:pt idx="20">
                  <c:v>352.74481268649077</c:v>
                </c:pt>
                <c:pt idx="21">
                  <c:v>361.03132143885165</c:v>
                </c:pt>
                <c:pt idx="22">
                  <c:v>369.31783019121247</c:v>
                </c:pt>
                <c:pt idx="23">
                  <c:v>377.60433894357334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A-44E7-9995-86AE6CED7320}"/>
            </c:ext>
          </c:extLst>
        </c:ser>
        <c:ser>
          <c:idx val="2"/>
          <c:order val="2"/>
          <c:tx>
            <c:strRef>
              <c:f>Chairs!$AH$46</c:f>
              <c:strCache>
                <c:ptCount val="1"/>
                <c:pt idx="0">
                  <c:v>Trend 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Chairs!$AU$15:$BR$15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Chairs!$AU$46:$BR$46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312.88756023659471</c:v>
                </c:pt>
                <c:pt idx="20">
                  <c:v>315.27049012966927</c:v>
                </c:pt>
                <c:pt idx="21">
                  <c:v>317.65342002274377</c:v>
                </c:pt>
                <c:pt idx="22">
                  <c:v>320.03634991581833</c:v>
                </c:pt>
                <c:pt idx="23">
                  <c:v>322.4192798088929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A-44E7-9995-86AE6CED7320}"/>
            </c:ext>
          </c:extLst>
        </c:ser>
        <c:ser>
          <c:idx val="4"/>
          <c:order val="3"/>
          <c:tx>
            <c:strRef>
              <c:f>Chairs!$AH$44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8FCFAD"/>
              </a:solidFill>
              <a:round/>
            </a:ln>
            <a:effectLst/>
          </c:spPr>
          <c:marker>
            <c:symbol val="none"/>
          </c:marker>
          <c:cat>
            <c:strRef>
              <c:f>Chairs!$AU$15:$BR$15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Chairs!$AU$44:$BR$44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329.69726462469686</c:v>
                </c:pt>
                <c:pt idx="19">
                  <c:v>290.16686556334116</c:v>
                </c:pt>
                <c:pt idx="20">
                  <c:v>316.4511468259816</c:v>
                </c:pt>
                <c:pt idx="21">
                  <c:v>321.79118479345891</c:v>
                </c:pt>
                <c:pt idx="22">
                  <c:v>321.79118481246024</c:v>
                </c:pt>
                <c:pt idx="23">
                  <c:v>301.56365258830016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AA-44E7-9995-86AE6CED7320}"/>
            </c:ext>
          </c:extLst>
        </c:ser>
        <c:ser>
          <c:idx val="5"/>
          <c:order val="4"/>
          <c:tx>
            <c:strRef>
              <c:f>Chairs!$AH$47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Chairs!$AU$15:$BR$15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Chairs!$AU$47:$BR$47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348.54445078499998</c:v>
                </c:pt>
                <c:pt idx="19">
                  <c:v>290.16686556334116</c:v>
                </c:pt>
                <c:pt idx="20">
                  <c:v>316.4511468259816</c:v>
                </c:pt>
                <c:pt idx="21">
                  <c:v>321.79118479345891</c:v>
                </c:pt>
                <c:pt idx="22">
                  <c:v>321.79118481246024</c:v>
                </c:pt>
                <c:pt idx="23">
                  <c:v>301.56365258830016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AA-44E7-9995-86AE6CED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39440"/>
        <c:axId val="536740224"/>
      </c:lineChart>
      <c:catAx>
        <c:axId val="536739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6740224"/>
        <c:crosses val="autoZero"/>
        <c:auto val="1"/>
        <c:lblAlgn val="ctr"/>
        <c:lblOffset val="100"/>
        <c:noMultiLvlLbl val="1"/>
      </c:catAx>
      <c:valAx>
        <c:axId val="5367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6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038646464923593E-2"/>
          <c:y val="0.10986371648551373"/>
          <c:w val="0.94601240774781203"/>
          <c:h val="0.72316486950826064"/>
        </c:manualLayout>
      </c:layout>
      <c:lineChart>
        <c:grouping val="standard"/>
        <c:varyColors val="0"/>
        <c:ser>
          <c:idx val="0"/>
          <c:order val="0"/>
          <c:tx>
            <c:strRef>
              <c:f>Chairs!$AH$25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50B47F"/>
              </a:solidFill>
              <a:round/>
            </a:ln>
            <a:effectLst/>
          </c:spPr>
          <c:marker>
            <c:symbol val="none"/>
          </c:marker>
          <c:cat>
            <c:strRef>
              <c:f>Chairs!$AU$15:$BR$15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Chairs!$AU$25:$BR$25</c:f>
              <c:numCache>
                <c:formatCode>_(* #,##0_);_(* \(#,##0\);_(* "-"??_);_(@_)</c:formatCode>
                <c:ptCount val="24"/>
                <c:pt idx="0">
                  <c:v>110</c:v>
                </c:pt>
                <c:pt idx="1">
                  <c:v>78</c:v>
                </c:pt>
                <c:pt idx="2">
                  <c:v>68</c:v>
                </c:pt>
                <c:pt idx="3">
                  <c:v>76</c:v>
                </c:pt>
                <c:pt idx="4">
                  <c:v>118</c:v>
                </c:pt>
                <c:pt idx="5">
                  <c:v>66</c:v>
                </c:pt>
                <c:pt idx="6">
                  <c:v>92</c:v>
                </c:pt>
                <c:pt idx="7">
                  <c:v>72</c:v>
                </c:pt>
                <c:pt idx="8">
                  <c:v>92</c:v>
                </c:pt>
                <c:pt idx="9">
                  <c:v>58</c:v>
                </c:pt>
                <c:pt idx="10">
                  <c:v>86</c:v>
                </c:pt>
                <c:pt idx="11">
                  <c:v>64</c:v>
                </c:pt>
                <c:pt idx="12">
                  <c:v>110</c:v>
                </c:pt>
                <c:pt idx="13">
                  <c:v>76</c:v>
                </c:pt>
                <c:pt idx="14">
                  <c:v>104</c:v>
                </c:pt>
                <c:pt idx="15">
                  <c:v>74</c:v>
                </c:pt>
                <c:pt idx="16">
                  <c:v>52</c:v>
                </c:pt>
                <c:pt idx="17">
                  <c:v>124</c:v>
                </c:pt>
                <c:pt idx="18">
                  <c:v>122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E-4C03-8950-5A403C616C5E}"/>
            </c:ext>
          </c:extLst>
        </c:ser>
        <c:ser>
          <c:idx val="1"/>
          <c:order val="1"/>
          <c:tx>
            <c:strRef>
              <c:f>Chairs!$AH$27</c:f>
              <c:strCache>
                <c:ptCount val="1"/>
                <c:pt idx="0">
                  <c:v>Trend 6m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Chairs!$AU$15:$BR$15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Chairs!$AU$27:$BR$27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105.23636363636363</c:v>
                </c:pt>
                <c:pt idx="20">
                  <c:v>108.2</c:v>
                </c:pt>
                <c:pt idx="21">
                  <c:v>111.16363636363636</c:v>
                </c:pt>
                <c:pt idx="22">
                  <c:v>114.12727272727273</c:v>
                </c:pt>
                <c:pt idx="23">
                  <c:v>117.09090909090909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E-4C03-8950-5A403C616C5E}"/>
            </c:ext>
          </c:extLst>
        </c:ser>
        <c:ser>
          <c:idx val="2"/>
          <c:order val="2"/>
          <c:tx>
            <c:strRef>
              <c:f>Chairs!$AH$28</c:f>
              <c:strCache>
                <c:ptCount val="1"/>
                <c:pt idx="0">
                  <c:v>Trend 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Chairs!$AU$15:$BR$15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Chairs!$AU$28:$BR$28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96.867647058823522</c:v>
                </c:pt>
                <c:pt idx="20">
                  <c:v>98.127450980392155</c:v>
                </c:pt>
                <c:pt idx="21">
                  <c:v>99.387254901960773</c:v>
                </c:pt>
                <c:pt idx="22">
                  <c:v>100.64705882352941</c:v>
                </c:pt>
                <c:pt idx="23">
                  <c:v>101.90686274509804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E-4C03-8950-5A403C616C5E}"/>
            </c:ext>
          </c:extLst>
        </c:ser>
        <c:ser>
          <c:idx val="4"/>
          <c:order val="3"/>
          <c:tx>
            <c:strRef>
              <c:f>Chairs!$AH$26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8FCFAD"/>
              </a:solidFill>
              <a:round/>
            </a:ln>
            <a:effectLst/>
          </c:spPr>
          <c:marker>
            <c:symbol val="none"/>
          </c:marker>
          <c:cat>
            <c:strRef>
              <c:f>Chairs!$AU$15:$BR$15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Chairs!$AU$26:$BR$26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98.918099799999993</c:v>
                </c:pt>
                <c:pt idx="19">
                  <c:v>93.588292800000005</c:v>
                </c:pt>
                <c:pt idx="20">
                  <c:v>91.0063028</c:v>
                </c:pt>
                <c:pt idx="21">
                  <c:v>81.825674599999999</c:v>
                </c:pt>
                <c:pt idx="22">
                  <c:v>97.164126800000005</c:v>
                </c:pt>
                <c:pt idx="23">
                  <c:v>90.401772399999999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0E-4C03-8950-5A403C616C5E}"/>
            </c:ext>
          </c:extLst>
        </c:ser>
        <c:ser>
          <c:idx val="5"/>
          <c:order val="4"/>
          <c:tx>
            <c:strRef>
              <c:f>Chairs!$AH$29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Chairs!$AU$15:$BR$15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Chairs!$AU$29:$BR$29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122</c:v>
                </c:pt>
                <c:pt idx="19">
                  <c:v>87.182787242677961</c:v>
                </c:pt>
                <c:pt idx="20">
                  <c:v>95.080094527224773</c:v>
                </c:pt>
                <c:pt idx="21">
                  <c:v>96.684548547440144</c:v>
                </c:pt>
                <c:pt idx="22">
                  <c:v>96.684548553149241</c:v>
                </c:pt>
                <c:pt idx="23">
                  <c:v>90.6070364467285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0E-4C03-8950-5A403C61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39440"/>
        <c:axId val="536740224"/>
      </c:lineChart>
      <c:catAx>
        <c:axId val="53673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40224"/>
        <c:crosses val="autoZero"/>
        <c:auto val="1"/>
        <c:lblAlgn val="ctr"/>
        <c:lblOffset val="100"/>
        <c:noMultiLvlLbl val="1"/>
      </c:catAx>
      <c:valAx>
        <c:axId val="5367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6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80739183516693"/>
          <c:y val="0.91660403245048905"/>
          <c:w val="0.72723489009322406"/>
          <c:h val="8.3395967549510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417040569376299E-2"/>
          <c:y val="0.12413966829997646"/>
          <c:w val="0.95027864000244588"/>
          <c:h val="0.70690935849615288"/>
        </c:manualLayout>
      </c:layout>
      <c:lineChart>
        <c:grouping val="standard"/>
        <c:varyColors val="0"/>
        <c:ser>
          <c:idx val="0"/>
          <c:order val="0"/>
          <c:tx>
            <c:strRef>
              <c:f>Tables!$AH$43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50B47F"/>
              </a:solidFill>
              <a:round/>
            </a:ln>
            <a:effectLst/>
          </c:spPr>
          <c:marker>
            <c:symbol val="none"/>
          </c:marker>
          <c:cat>
            <c:strRef>
              <c:f>Tables!$AU$15:$BR$15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Tables!$AU$43:$BR$43</c:f>
              <c:numCache>
                <c:formatCode>_(* #,##0_);_(* \(#,##0\);_(* "-"??_);_(@_)</c:formatCode>
                <c:ptCount val="24"/>
                <c:pt idx="0">
                  <c:v>450.49034758227958</c:v>
                </c:pt>
                <c:pt idx="1">
                  <c:v>418.08676739741873</c:v>
                </c:pt>
                <c:pt idx="2">
                  <c:v>363.19782962765345</c:v>
                </c:pt>
                <c:pt idx="3">
                  <c:v>589.79345417409127</c:v>
                </c:pt>
                <c:pt idx="4">
                  <c:v>473.90503862800011</c:v>
                </c:pt>
                <c:pt idx="5">
                  <c:v>550.86070067254582</c:v>
                </c:pt>
                <c:pt idx="6">
                  <c:v>445.98745644892921</c:v>
                </c:pt>
                <c:pt idx="7">
                  <c:v>508.46155316924569</c:v>
                </c:pt>
                <c:pt idx="8">
                  <c:v>424.09441453268971</c:v>
                </c:pt>
                <c:pt idx="9">
                  <c:v>633.17249457973378</c:v>
                </c:pt>
                <c:pt idx="10">
                  <c:v>700.03736602136826</c:v>
                </c:pt>
                <c:pt idx="11">
                  <c:v>383.17003717080217</c:v>
                </c:pt>
                <c:pt idx="12">
                  <c:v>448.48043121900002</c:v>
                </c:pt>
                <c:pt idx="13">
                  <c:v>404.02749370800007</c:v>
                </c:pt>
                <c:pt idx="14">
                  <c:v>362.43555380999999</c:v>
                </c:pt>
                <c:pt idx="15">
                  <c:v>309.66281012400003</c:v>
                </c:pt>
                <c:pt idx="16">
                  <c:v>462.26029832099994</c:v>
                </c:pt>
                <c:pt idx="17">
                  <c:v>484.914631101</c:v>
                </c:pt>
                <c:pt idx="18">
                  <c:v>321.86195075999996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E-43EC-9343-3E387E641D89}"/>
            </c:ext>
          </c:extLst>
        </c:ser>
        <c:ser>
          <c:idx val="1"/>
          <c:order val="1"/>
          <c:tx>
            <c:strRef>
              <c:f>Tables!$AH$45</c:f>
              <c:strCache>
                <c:ptCount val="1"/>
                <c:pt idx="0">
                  <c:v>Trend 6m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Tables!$AU$15:$BR$15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Tables!$AU$45:$BR$45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336.70608153803062</c:v>
                </c:pt>
                <c:pt idx="20">
                  <c:v>318.06440601637519</c:v>
                </c:pt>
                <c:pt idx="21">
                  <c:v>299.42273049471981</c:v>
                </c:pt>
                <c:pt idx="22">
                  <c:v>280.78105497306439</c:v>
                </c:pt>
                <c:pt idx="23">
                  <c:v>262.13937945140901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E-43EC-9343-3E387E641D89}"/>
            </c:ext>
          </c:extLst>
        </c:ser>
        <c:ser>
          <c:idx val="2"/>
          <c:order val="2"/>
          <c:tx>
            <c:strRef>
              <c:f>Tables!$AH$46</c:f>
              <c:strCache>
                <c:ptCount val="1"/>
                <c:pt idx="0">
                  <c:v>Trend 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Tables!$AU$15:$BR$15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Tables!$AU$46:$BR$46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392.36968685664988</c:v>
                </c:pt>
                <c:pt idx="20">
                  <c:v>384.55243955269555</c:v>
                </c:pt>
                <c:pt idx="21">
                  <c:v>376.73519224874121</c:v>
                </c:pt>
                <c:pt idx="22">
                  <c:v>368.91794494478694</c:v>
                </c:pt>
                <c:pt idx="23">
                  <c:v>361.10069764083261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E-43EC-9343-3E387E641D89}"/>
            </c:ext>
          </c:extLst>
        </c:ser>
        <c:ser>
          <c:idx val="4"/>
          <c:order val="3"/>
          <c:tx>
            <c:strRef>
              <c:f>Tables!$AH$44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8FCFAD"/>
              </a:solidFill>
              <a:round/>
            </a:ln>
            <a:effectLst/>
          </c:spPr>
          <c:marker>
            <c:symbol val="none"/>
          </c:marker>
          <c:cat>
            <c:strRef>
              <c:f>Tables!$AU$15:$BR$15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Tables!$AU$44:$BR$44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451.00764205129218</c:v>
                </c:pt>
                <c:pt idx="19">
                  <c:v>491.98578134349322</c:v>
                </c:pt>
                <c:pt idx="20">
                  <c:v>456.19993660066439</c:v>
                </c:pt>
                <c:pt idx="21">
                  <c:v>500.8574860792931</c:v>
                </c:pt>
                <c:pt idx="22">
                  <c:v>516.25265694857467</c:v>
                </c:pt>
                <c:pt idx="23">
                  <c:v>457.06834442026269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2E-43EC-9343-3E387E641D89}"/>
            </c:ext>
          </c:extLst>
        </c:ser>
        <c:ser>
          <c:idx val="5"/>
          <c:order val="4"/>
          <c:tx>
            <c:strRef>
              <c:f>Tables!$AH$47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Tables!$AU$15:$BR$15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Tables!$AU$47:$BR$47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321.86195075999996</c:v>
                </c:pt>
                <c:pt idx="19">
                  <c:v>491.98578134349322</c:v>
                </c:pt>
                <c:pt idx="20">
                  <c:v>456.19993660066439</c:v>
                </c:pt>
                <c:pt idx="21">
                  <c:v>500.8574860792931</c:v>
                </c:pt>
                <c:pt idx="22">
                  <c:v>516.25265694857467</c:v>
                </c:pt>
                <c:pt idx="23">
                  <c:v>457.06834442026269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2E-43EC-9343-3E387E641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39440"/>
        <c:axId val="536740224"/>
      </c:lineChart>
      <c:catAx>
        <c:axId val="536739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6740224"/>
        <c:crosses val="autoZero"/>
        <c:auto val="1"/>
        <c:lblAlgn val="ctr"/>
        <c:lblOffset val="100"/>
        <c:noMultiLvlLbl val="1"/>
      </c:catAx>
      <c:valAx>
        <c:axId val="5367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6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038646464923593E-2"/>
          <c:y val="0.10986371648551373"/>
          <c:w val="0.94601240774781203"/>
          <c:h val="0.72316486950826064"/>
        </c:manualLayout>
      </c:layout>
      <c:lineChart>
        <c:grouping val="standard"/>
        <c:varyColors val="0"/>
        <c:ser>
          <c:idx val="0"/>
          <c:order val="0"/>
          <c:tx>
            <c:strRef>
              <c:f>Tables!$AH$25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50B47F"/>
              </a:solidFill>
              <a:round/>
            </a:ln>
            <a:effectLst/>
          </c:spPr>
          <c:marker>
            <c:symbol val="none"/>
          </c:marker>
          <c:cat>
            <c:strRef>
              <c:f>Tables!$AU$15:$BR$15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Tables!$AU$25:$BR$25</c:f>
              <c:numCache>
                <c:formatCode>_(* #,##0_);_(* \(#,##0\);_(* "-"??_);_(@_)</c:formatCode>
                <c:ptCount val="24"/>
                <c:pt idx="0">
                  <c:v>376</c:v>
                </c:pt>
                <c:pt idx="1">
                  <c:v>324</c:v>
                </c:pt>
                <c:pt idx="2">
                  <c:v>312</c:v>
                </c:pt>
                <c:pt idx="3">
                  <c:v>406</c:v>
                </c:pt>
                <c:pt idx="4">
                  <c:v>358</c:v>
                </c:pt>
                <c:pt idx="5">
                  <c:v>456</c:v>
                </c:pt>
                <c:pt idx="6">
                  <c:v>392</c:v>
                </c:pt>
                <c:pt idx="7">
                  <c:v>412</c:v>
                </c:pt>
                <c:pt idx="8">
                  <c:v>412</c:v>
                </c:pt>
                <c:pt idx="9">
                  <c:v>516</c:v>
                </c:pt>
                <c:pt idx="10">
                  <c:v>548</c:v>
                </c:pt>
                <c:pt idx="11">
                  <c:v>366</c:v>
                </c:pt>
                <c:pt idx="12">
                  <c:v>396</c:v>
                </c:pt>
                <c:pt idx="13">
                  <c:v>356</c:v>
                </c:pt>
                <c:pt idx="14">
                  <c:v>414</c:v>
                </c:pt>
                <c:pt idx="15">
                  <c:v>326</c:v>
                </c:pt>
                <c:pt idx="16">
                  <c:v>366</c:v>
                </c:pt>
                <c:pt idx="17">
                  <c:v>442</c:v>
                </c:pt>
                <c:pt idx="18">
                  <c:v>396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A-41AE-BE9B-9C5870DA8873}"/>
            </c:ext>
          </c:extLst>
        </c:ser>
        <c:ser>
          <c:idx val="1"/>
          <c:order val="1"/>
          <c:tx>
            <c:strRef>
              <c:f>Tables!$AH$27</c:f>
              <c:strCache>
                <c:ptCount val="1"/>
                <c:pt idx="0">
                  <c:v>Trend 6m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Tables!$AU$15:$BR$15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Tables!$AU$27:$BR$27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358.87272727272733</c:v>
                </c:pt>
                <c:pt idx="20">
                  <c:v>349.92727272727279</c:v>
                </c:pt>
                <c:pt idx="21">
                  <c:v>340.98181818181826</c:v>
                </c:pt>
                <c:pt idx="22">
                  <c:v>332.03636363636372</c:v>
                </c:pt>
                <c:pt idx="23">
                  <c:v>323.09090909090912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A-41AE-BE9B-9C5870DA8873}"/>
            </c:ext>
          </c:extLst>
        </c:ser>
        <c:ser>
          <c:idx val="2"/>
          <c:order val="2"/>
          <c:tx>
            <c:strRef>
              <c:f>Tables!$AH$28</c:f>
              <c:strCache>
                <c:ptCount val="1"/>
                <c:pt idx="0">
                  <c:v>Trend 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Tables!$AU$15:$BR$15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Tables!$AU$28:$BR$28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405.6764705882353</c:v>
                </c:pt>
                <c:pt idx="20">
                  <c:v>405.82352941176475</c:v>
                </c:pt>
                <c:pt idx="21">
                  <c:v>405.97058823529414</c:v>
                </c:pt>
                <c:pt idx="22">
                  <c:v>406.11764705882354</c:v>
                </c:pt>
                <c:pt idx="23">
                  <c:v>406.26470588235298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A-41AE-BE9B-9C5870DA8873}"/>
            </c:ext>
          </c:extLst>
        </c:ser>
        <c:ser>
          <c:idx val="4"/>
          <c:order val="3"/>
          <c:tx>
            <c:strRef>
              <c:f>Tables!$AH$26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8FCFAD"/>
              </a:solidFill>
              <a:round/>
            </a:ln>
            <a:effectLst/>
          </c:spPr>
          <c:marker>
            <c:symbol val="none"/>
          </c:marker>
          <c:cat>
            <c:strRef>
              <c:f>Tables!$AU$15:$BR$15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Tables!$AU$26:$BR$26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586.56549480000001</c:v>
                </c:pt>
                <c:pt idx="19">
                  <c:v>610.84170900000004</c:v>
                </c:pt>
                <c:pt idx="20">
                  <c:v>549.23390259999996</c:v>
                </c:pt>
                <c:pt idx="21">
                  <c:v>592.85767999999996</c:v>
                </c:pt>
                <c:pt idx="22">
                  <c:v>632.45291420000001</c:v>
                </c:pt>
                <c:pt idx="23">
                  <c:v>575.03393899999992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A-41AE-BE9B-9C5870DA8873}"/>
            </c:ext>
          </c:extLst>
        </c:ser>
        <c:ser>
          <c:idx val="5"/>
          <c:order val="4"/>
          <c:tx>
            <c:strRef>
              <c:f>Tables!$AH$29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Tables!$AU$15:$BR$15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Tables!$AU$29:$BR$29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396</c:v>
                </c:pt>
                <c:pt idx="19">
                  <c:v>474.78993781315012</c:v>
                </c:pt>
                <c:pt idx="20">
                  <c:v>440.2548767517489</c:v>
                </c:pt>
                <c:pt idx="21">
                  <c:v>483.35155950942055</c:v>
                </c:pt>
                <c:pt idx="22">
                  <c:v>498.20863972765102</c:v>
                </c:pt>
                <c:pt idx="23">
                  <c:v>441.09293205801731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CA-41AE-BE9B-9C5870DA8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39440"/>
        <c:axId val="536740224"/>
      </c:lineChart>
      <c:catAx>
        <c:axId val="53673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40224"/>
        <c:crosses val="autoZero"/>
        <c:auto val="1"/>
        <c:lblAlgn val="ctr"/>
        <c:lblOffset val="100"/>
        <c:noMultiLvlLbl val="1"/>
      </c:catAx>
      <c:valAx>
        <c:axId val="5367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6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80739183516693"/>
          <c:y val="0.91660403245048905"/>
          <c:w val="0.72723489009322406"/>
          <c:h val="8.3395967549510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417040569376299E-2"/>
          <c:y val="0.12413966829997646"/>
          <c:w val="0.95027864000244588"/>
          <c:h val="0.70690935849615288"/>
        </c:manualLayout>
      </c:layout>
      <c:lineChart>
        <c:grouping val="standard"/>
        <c:varyColors val="0"/>
        <c:ser>
          <c:idx val="0"/>
          <c:order val="0"/>
          <c:tx>
            <c:strRef>
              <c:f>Kitchen!$AH$43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50B47F"/>
              </a:solidFill>
              <a:round/>
            </a:ln>
            <a:effectLst/>
          </c:spPr>
          <c:marker>
            <c:symbol val="none"/>
          </c:marker>
          <c:cat>
            <c:strRef>
              <c:f>Kitchen!$AU$15:$BR$15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Kitchen!$AU$43:$BR$43</c:f>
              <c:numCache>
                <c:formatCode>_(* #,##0_);_(* \(#,##0\);_(* "-"??_);_(@_)</c:formatCode>
                <c:ptCount val="24"/>
                <c:pt idx="0">
                  <c:v>128.2637424294746</c:v>
                </c:pt>
                <c:pt idx="1">
                  <c:v>73.225479163447801</c:v>
                </c:pt>
                <c:pt idx="2">
                  <c:v>103.21733274663573</c:v>
                </c:pt>
                <c:pt idx="3">
                  <c:v>81.303604700199216</c:v>
                </c:pt>
                <c:pt idx="4">
                  <c:v>99.382012036533439</c:v>
                </c:pt>
                <c:pt idx="5">
                  <c:v>127.67019029246728</c:v>
                </c:pt>
                <c:pt idx="6">
                  <c:v>141.73287703650118</c:v>
                </c:pt>
                <c:pt idx="7">
                  <c:v>171.96272132692715</c:v>
                </c:pt>
                <c:pt idx="8">
                  <c:v>171.6325823685728</c:v>
                </c:pt>
                <c:pt idx="9">
                  <c:v>212.70068453824723</c:v>
                </c:pt>
                <c:pt idx="10">
                  <c:v>258.54867200973763</c:v>
                </c:pt>
                <c:pt idx="11">
                  <c:v>222.52373089299294</c:v>
                </c:pt>
                <c:pt idx="12">
                  <c:v>215.61462076800001</c:v>
                </c:pt>
                <c:pt idx="13">
                  <c:v>214.22626620299999</c:v>
                </c:pt>
                <c:pt idx="14">
                  <c:v>306.67822567799999</c:v>
                </c:pt>
                <c:pt idx="15">
                  <c:v>206.04026443199999</c:v>
                </c:pt>
                <c:pt idx="16">
                  <c:v>244.29622353899998</c:v>
                </c:pt>
                <c:pt idx="17">
                  <c:v>249.93769601399998</c:v>
                </c:pt>
                <c:pt idx="18">
                  <c:v>294.97234411200003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A-4D38-AEA2-73E5037EE7B1}"/>
            </c:ext>
          </c:extLst>
        </c:ser>
        <c:ser>
          <c:idx val="1"/>
          <c:order val="1"/>
          <c:tx>
            <c:strRef>
              <c:f>Kitchen!$AH$45</c:f>
              <c:strCache>
                <c:ptCount val="1"/>
                <c:pt idx="0">
                  <c:v>Trend 6m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Kitchen!$AU$15:$BR$15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Kitchen!$AU$45:$BR$45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278.705729024829</c:v>
                </c:pt>
                <c:pt idx="20">
                  <c:v>285.80560339933766</c:v>
                </c:pt>
                <c:pt idx="21">
                  <c:v>292.90547777384626</c:v>
                </c:pt>
                <c:pt idx="22">
                  <c:v>300.00535214835486</c:v>
                </c:pt>
                <c:pt idx="23">
                  <c:v>307.10522652286352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A-4D38-AEA2-73E5037EE7B1}"/>
            </c:ext>
          </c:extLst>
        </c:ser>
        <c:ser>
          <c:idx val="2"/>
          <c:order val="2"/>
          <c:tx>
            <c:strRef>
              <c:f>Kitchen!$AH$46</c:f>
              <c:strCache>
                <c:ptCount val="1"/>
                <c:pt idx="0">
                  <c:v>Trend 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Kitchen!$AU$15:$BR$15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Kitchen!$AU$46:$BR$46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302.64735997130816</c:v>
                </c:pt>
                <c:pt idx="20">
                  <c:v>314.55954997665083</c:v>
                </c:pt>
                <c:pt idx="21">
                  <c:v>326.47173998199344</c:v>
                </c:pt>
                <c:pt idx="22">
                  <c:v>338.3839299873361</c:v>
                </c:pt>
                <c:pt idx="23">
                  <c:v>350.29611999267871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A-4D38-AEA2-73E5037EE7B1}"/>
            </c:ext>
          </c:extLst>
        </c:ser>
        <c:ser>
          <c:idx val="4"/>
          <c:order val="3"/>
          <c:tx>
            <c:strRef>
              <c:f>Kitchen!$AH$44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8FCFAD"/>
              </a:solidFill>
              <a:round/>
            </a:ln>
            <a:effectLst/>
          </c:spPr>
          <c:marker>
            <c:symbol val="none"/>
          </c:marker>
          <c:cat>
            <c:strRef>
              <c:f>Kitchen!$AU$15:$BR$15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Kitchen!$AU$44:$BR$44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417.69260545373788</c:v>
                </c:pt>
                <c:pt idx="19">
                  <c:v>448.6407287032506</c:v>
                </c:pt>
                <c:pt idx="20">
                  <c:v>483.50073124126294</c:v>
                </c:pt>
                <c:pt idx="21">
                  <c:v>523.94791897377274</c:v>
                </c:pt>
                <c:pt idx="22">
                  <c:v>567.92517929272958</c:v>
                </c:pt>
                <c:pt idx="23">
                  <c:v>614.83634907806095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A-4D38-AEA2-73E5037EE7B1}"/>
            </c:ext>
          </c:extLst>
        </c:ser>
        <c:ser>
          <c:idx val="5"/>
          <c:order val="4"/>
          <c:tx>
            <c:strRef>
              <c:f>Kitchen!$AH$47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Kitchen!$AU$15:$BR$15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Kitchen!$AU$47:$BR$47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294.97234411200003</c:v>
                </c:pt>
                <c:pt idx="19">
                  <c:v>448.6407287032506</c:v>
                </c:pt>
                <c:pt idx="20">
                  <c:v>483.50073124126294</c:v>
                </c:pt>
                <c:pt idx="21">
                  <c:v>523.94791897377274</c:v>
                </c:pt>
                <c:pt idx="22">
                  <c:v>567.92517929272958</c:v>
                </c:pt>
                <c:pt idx="23">
                  <c:v>614.83634907806095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A-4D38-AEA2-73E5037EE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39440"/>
        <c:axId val="536740224"/>
      </c:lineChart>
      <c:catAx>
        <c:axId val="536739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6740224"/>
        <c:crosses val="autoZero"/>
        <c:auto val="1"/>
        <c:lblAlgn val="ctr"/>
        <c:lblOffset val="100"/>
        <c:noMultiLvlLbl val="1"/>
      </c:catAx>
      <c:valAx>
        <c:axId val="5367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6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038646464923593E-2"/>
          <c:y val="0.10986371648551373"/>
          <c:w val="0.94601240774781203"/>
          <c:h val="0.72316486950826064"/>
        </c:manualLayout>
      </c:layout>
      <c:lineChart>
        <c:grouping val="standard"/>
        <c:varyColors val="0"/>
        <c:ser>
          <c:idx val="0"/>
          <c:order val="0"/>
          <c:tx>
            <c:strRef>
              <c:f>Kitchen!$AH$25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50B47F"/>
              </a:solidFill>
              <a:round/>
            </a:ln>
            <a:effectLst/>
          </c:spPr>
          <c:marker>
            <c:symbol val="none"/>
          </c:marker>
          <c:cat>
            <c:strRef>
              <c:f>Kitchen!$AU$15:$BR$15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Kitchen!$AU$25:$BR$25</c:f>
              <c:numCache>
                <c:formatCode>_(* #,##0_);_(* \(#,##0\);_(* "-"??_);_(@_)</c:formatCode>
                <c:ptCount val="24"/>
                <c:pt idx="0">
                  <c:v>128</c:v>
                </c:pt>
                <c:pt idx="1">
                  <c:v>74</c:v>
                </c:pt>
                <c:pt idx="2">
                  <c:v>108</c:v>
                </c:pt>
                <c:pt idx="3">
                  <c:v>92</c:v>
                </c:pt>
                <c:pt idx="4">
                  <c:v>104</c:v>
                </c:pt>
                <c:pt idx="5">
                  <c:v>206</c:v>
                </c:pt>
                <c:pt idx="6">
                  <c:v>232</c:v>
                </c:pt>
                <c:pt idx="7">
                  <c:v>234</c:v>
                </c:pt>
                <c:pt idx="8">
                  <c:v>270</c:v>
                </c:pt>
                <c:pt idx="9">
                  <c:v>320</c:v>
                </c:pt>
                <c:pt idx="10">
                  <c:v>378</c:v>
                </c:pt>
                <c:pt idx="11">
                  <c:v>426</c:v>
                </c:pt>
                <c:pt idx="12">
                  <c:v>336</c:v>
                </c:pt>
                <c:pt idx="13">
                  <c:v>356</c:v>
                </c:pt>
                <c:pt idx="14">
                  <c:v>498</c:v>
                </c:pt>
                <c:pt idx="15">
                  <c:v>316</c:v>
                </c:pt>
                <c:pt idx="16">
                  <c:v>384</c:v>
                </c:pt>
                <c:pt idx="17">
                  <c:v>404</c:v>
                </c:pt>
                <c:pt idx="18">
                  <c:v>490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3-4A2A-8D98-684926F4B954}"/>
            </c:ext>
          </c:extLst>
        </c:ser>
        <c:ser>
          <c:idx val="1"/>
          <c:order val="1"/>
          <c:tx>
            <c:strRef>
              <c:f>Kitchen!$AH$27</c:f>
              <c:strCache>
                <c:ptCount val="1"/>
                <c:pt idx="0">
                  <c:v>Trend 6m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Kitchen!$AU$15:$BR$15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Kitchen!$AU$27:$BR$27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455.96363636363634</c:v>
                </c:pt>
                <c:pt idx="20">
                  <c:v>468.65454545454543</c:v>
                </c:pt>
                <c:pt idx="21">
                  <c:v>481.34545454545457</c:v>
                </c:pt>
                <c:pt idx="22">
                  <c:v>494.0363636363636</c:v>
                </c:pt>
                <c:pt idx="23">
                  <c:v>506.72727272727275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3-4A2A-8D98-684926F4B954}"/>
            </c:ext>
          </c:extLst>
        </c:ser>
        <c:ser>
          <c:idx val="2"/>
          <c:order val="2"/>
          <c:tx>
            <c:strRef>
              <c:f>Kitchen!$AH$28</c:f>
              <c:strCache>
                <c:ptCount val="1"/>
                <c:pt idx="0">
                  <c:v>Trend 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Kitchen!$AU$15:$BR$15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Kitchen!$AU$28:$BR$28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504.75</c:v>
                </c:pt>
                <c:pt idx="20">
                  <c:v>527.14705882352939</c:v>
                </c:pt>
                <c:pt idx="21">
                  <c:v>549.5441176470589</c:v>
                </c:pt>
                <c:pt idx="22">
                  <c:v>571.94117647058829</c:v>
                </c:pt>
                <c:pt idx="23">
                  <c:v>594.33823529411768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3-4A2A-8D98-684926F4B954}"/>
            </c:ext>
          </c:extLst>
        </c:ser>
        <c:ser>
          <c:idx val="4"/>
          <c:order val="3"/>
          <c:tx>
            <c:strRef>
              <c:f>Kitchen!$AH$26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8FCFAD"/>
              </a:solidFill>
              <a:round/>
            </a:ln>
            <a:effectLst/>
          </c:spPr>
          <c:marker>
            <c:symbol val="none"/>
          </c:marker>
          <c:cat>
            <c:strRef>
              <c:f>Kitchen!$AU$15:$BR$15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Kitchen!$AU$26:$BR$26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739.48349380000002</c:v>
                </c:pt>
                <c:pt idx="19">
                  <c:v>786.80442240000002</c:v>
                </c:pt>
                <c:pt idx="20">
                  <c:v>842.37312420000001</c:v>
                </c:pt>
                <c:pt idx="21">
                  <c:v>907.37609739999994</c:v>
                </c:pt>
                <c:pt idx="22">
                  <c:v>972.86586119999993</c:v>
                </c:pt>
                <c:pt idx="23">
                  <c:v>1044.5206582000001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33-4A2A-8D98-684926F4B954}"/>
            </c:ext>
          </c:extLst>
        </c:ser>
        <c:ser>
          <c:idx val="5"/>
          <c:order val="4"/>
          <c:tx>
            <c:strRef>
              <c:f>Kitchen!$AH$29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Kitchen!$AU$15:$BR$15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Kitchen!$AU$29:$BR$29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490</c:v>
                </c:pt>
                <c:pt idx="19">
                  <c:v>721.23834733884996</c:v>
                </c:pt>
                <c:pt idx="20">
                  <c:v>777.27956029652228</c:v>
                </c:pt>
                <c:pt idx="21">
                  <c:v>842.30277590830678</c:v>
                </c:pt>
                <c:pt idx="22">
                  <c:v>913.00096384280994</c:v>
                </c:pt>
                <c:pt idx="23">
                  <c:v>988.41572760154975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33-4A2A-8D98-684926F4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39440"/>
        <c:axId val="536740224"/>
      </c:lineChart>
      <c:catAx>
        <c:axId val="53673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40224"/>
        <c:crosses val="autoZero"/>
        <c:auto val="1"/>
        <c:lblAlgn val="ctr"/>
        <c:lblOffset val="100"/>
        <c:noMultiLvlLbl val="1"/>
      </c:catAx>
      <c:valAx>
        <c:axId val="5367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6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80739183516693"/>
          <c:y val="0.91660403245048905"/>
          <c:w val="0.72723489009322406"/>
          <c:h val="8.3395967549510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417040569376299E-2"/>
          <c:y val="0.12413966829997646"/>
          <c:w val="0.95027864000244588"/>
          <c:h val="0.70690935849615288"/>
        </c:manualLayout>
      </c:layout>
      <c:lineChart>
        <c:grouping val="standard"/>
        <c:varyColors val="0"/>
        <c:ser>
          <c:idx val="0"/>
          <c:order val="0"/>
          <c:tx>
            <c:strRef>
              <c:f>Accessories!$AH$43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50B47F"/>
              </a:solidFill>
              <a:round/>
            </a:ln>
            <a:effectLst/>
          </c:spPr>
          <c:marker>
            <c:symbol val="none"/>
          </c:marker>
          <c:cat>
            <c:strRef>
              <c:f>Accessories!$AU$15:$BR$15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Accessories!$AU$43:$BR$43</c:f>
              <c:numCache>
                <c:formatCode>_(* #,##0_);_(* \(#,##0\);_(* "-"??_);_(@_)</c:formatCode>
                <c:ptCount val="24"/>
                <c:pt idx="0">
                  <c:v>1690.3867757865562</c:v>
                </c:pt>
                <c:pt idx="1">
                  <c:v>2011.3839385243195</c:v>
                </c:pt>
                <c:pt idx="2">
                  <c:v>1545.1562668286288</c:v>
                </c:pt>
                <c:pt idx="3">
                  <c:v>2250.1060861155411</c:v>
                </c:pt>
                <c:pt idx="4">
                  <c:v>1970.3038874724662</c:v>
                </c:pt>
                <c:pt idx="5">
                  <c:v>1761.9690553753344</c:v>
                </c:pt>
                <c:pt idx="6">
                  <c:v>2447.2910734761708</c:v>
                </c:pt>
                <c:pt idx="7">
                  <c:v>1799.0383362456187</c:v>
                </c:pt>
                <c:pt idx="8">
                  <c:v>1950.4351278270096</c:v>
                </c:pt>
                <c:pt idx="9">
                  <c:v>2097.4438525737464</c:v>
                </c:pt>
                <c:pt idx="10">
                  <c:v>1940.7240471902387</c:v>
                </c:pt>
                <c:pt idx="11">
                  <c:v>2176.6650417491296</c:v>
                </c:pt>
                <c:pt idx="12">
                  <c:v>2374.8096808109999</c:v>
                </c:pt>
                <c:pt idx="13">
                  <c:v>1899.9102903480002</c:v>
                </c:pt>
                <c:pt idx="14">
                  <c:v>2876.2979462190001</c:v>
                </c:pt>
                <c:pt idx="15">
                  <c:v>1927.7196770369999</c:v>
                </c:pt>
                <c:pt idx="16">
                  <c:v>2047.5976440450002</c:v>
                </c:pt>
                <c:pt idx="17">
                  <c:v>2388.1333070249998</c:v>
                </c:pt>
                <c:pt idx="18">
                  <c:v>2230.7593678140001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E-49D4-BEB7-FDC0424E85AF}"/>
            </c:ext>
          </c:extLst>
        </c:ser>
        <c:ser>
          <c:idx val="1"/>
          <c:order val="1"/>
          <c:tx>
            <c:strRef>
              <c:f>Accessories!$AH$45</c:f>
              <c:strCache>
                <c:ptCount val="1"/>
                <c:pt idx="0">
                  <c:v>Trend 6m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Accessories!$AU$15:$BR$15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Accessories!$AU$45:$BR$45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2331.2413081101745</c:v>
                </c:pt>
                <c:pt idx="20">
                  <c:v>2357.5012839673382</c:v>
                </c:pt>
                <c:pt idx="21">
                  <c:v>2383.7612598245014</c:v>
                </c:pt>
                <c:pt idx="22">
                  <c:v>2410.0212356816651</c:v>
                </c:pt>
                <c:pt idx="23">
                  <c:v>2436.2812115388288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E-49D4-BEB7-FDC0424E85AF}"/>
            </c:ext>
          </c:extLst>
        </c:ser>
        <c:ser>
          <c:idx val="2"/>
          <c:order val="2"/>
          <c:tx>
            <c:strRef>
              <c:f>Accessories!$AH$46</c:f>
              <c:strCache>
                <c:ptCount val="1"/>
                <c:pt idx="0">
                  <c:v>Trend 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Accessories!$AU$15:$BR$15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Accessories!$AU$46:$BR$46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2334.8920548269607</c:v>
                </c:pt>
                <c:pt idx="20">
                  <c:v>2361.0933897544473</c:v>
                </c:pt>
                <c:pt idx="21">
                  <c:v>2387.294724681934</c:v>
                </c:pt>
                <c:pt idx="22">
                  <c:v>2413.4960596094206</c:v>
                </c:pt>
                <c:pt idx="23">
                  <c:v>2439.6973945369073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E-49D4-BEB7-FDC0424E85AF}"/>
            </c:ext>
          </c:extLst>
        </c:ser>
        <c:ser>
          <c:idx val="4"/>
          <c:order val="3"/>
          <c:tx>
            <c:strRef>
              <c:f>Accessories!$AH$44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8FCFAD"/>
              </a:solidFill>
              <a:round/>
            </a:ln>
            <a:effectLst/>
          </c:spPr>
          <c:marker>
            <c:symbol val="none"/>
          </c:marker>
          <c:cat>
            <c:strRef>
              <c:f>Accessories!$AU$15:$BR$15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Accessories!$AU$44:$BR$44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2295.1582137395931</c:v>
                </c:pt>
                <c:pt idx="19">
                  <c:v>1964.3289439132727</c:v>
                </c:pt>
                <c:pt idx="20">
                  <c:v>2108.2431813156572</c:v>
                </c:pt>
                <c:pt idx="21">
                  <c:v>2301.332711682433</c:v>
                </c:pt>
                <c:pt idx="22">
                  <c:v>1961.6283494952713</c:v>
                </c:pt>
                <c:pt idx="23">
                  <c:v>2054.8871073274777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E-49D4-BEB7-FDC0424E85AF}"/>
            </c:ext>
          </c:extLst>
        </c:ser>
        <c:ser>
          <c:idx val="5"/>
          <c:order val="4"/>
          <c:tx>
            <c:strRef>
              <c:f>Accessories!$AH$47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Accessories!$AU$15:$BR$15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Accessories!$AU$47:$BR$47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2230.7593678140001</c:v>
                </c:pt>
                <c:pt idx="19">
                  <c:v>1964.3289439132727</c:v>
                </c:pt>
                <c:pt idx="20">
                  <c:v>2108.2431813156572</c:v>
                </c:pt>
                <c:pt idx="21">
                  <c:v>2301.332711682433</c:v>
                </c:pt>
                <c:pt idx="22">
                  <c:v>1961.6283494952713</c:v>
                </c:pt>
                <c:pt idx="23">
                  <c:v>2054.8871073274777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E-49D4-BEB7-FDC0424E8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39440"/>
        <c:axId val="536740224"/>
      </c:lineChart>
      <c:catAx>
        <c:axId val="536739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6740224"/>
        <c:crosses val="autoZero"/>
        <c:auto val="1"/>
        <c:lblAlgn val="ctr"/>
        <c:lblOffset val="100"/>
        <c:noMultiLvlLbl val="1"/>
      </c:catAx>
      <c:valAx>
        <c:axId val="5367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6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038646464923593E-2"/>
          <c:y val="0.10986371648551373"/>
          <c:w val="0.94601240774781203"/>
          <c:h val="0.72316486950826064"/>
        </c:manualLayout>
      </c:layout>
      <c:lineChart>
        <c:grouping val="standard"/>
        <c:varyColors val="0"/>
        <c:ser>
          <c:idx val="0"/>
          <c:order val="0"/>
          <c:tx>
            <c:strRef>
              <c:f>Accessories!$AH$25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50B47F"/>
              </a:solidFill>
              <a:round/>
            </a:ln>
            <a:effectLst/>
          </c:spPr>
          <c:marker>
            <c:symbol val="none"/>
          </c:marker>
          <c:cat>
            <c:strRef>
              <c:f>Accessories!$AU$15:$BR$15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Accessories!$AU$25:$BR$25</c:f>
              <c:numCache>
                <c:formatCode>_(* #,##0_);_(* \(#,##0\);_(* "-"??_);_(@_)</c:formatCode>
                <c:ptCount val="24"/>
                <c:pt idx="0">
                  <c:v>1252</c:v>
                </c:pt>
                <c:pt idx="1">
                  <c:v>1444</c:v>
                </c:pt>
                <c:pt idx="2">
                  <c:v>1136</c:v>
                </c:pt>
                <c:pt idx="3">
                  <c:v>1582</c:v>
                </c:pt>
                <c:pt idx="4">
                  <c:v>1440</c:v>
                </c:pt>
                <c:pt idx="5">
                  <c:v>1258</c:v>
                </c:pt>
                <c:pt idx="6">
                  <c:v>1734</c:v>
                </c:pt>
                <c:pt idx="7">
                  <c:v>1292</c:v>
                </c:pt>
                <c:pt idx="8">
                  <c:v>1418</c:v>
                </c:pt>
                <c:pt idx="9">
                  <c:v>1532</c:v>
                </c:pt>
                <c:pt idx="10">
                  <c:v>1394</c:v>
                </c:pt>
                <c:pt idx="11">
                  <c:v>1544</c:v>
                </c:pt>
                <c:pt idx="12">
                  <c:v>1714</c:v>
                </c:pt>
                <c:pt idx="13">
                  <c:v>1358</c:v>
                </c:pt>
                <c:pt idx="14">
                  <c:v>2066</c:v>
                </c:pt>
                <c:pt idx="15">
                  <c:v>1398</c:v>
                </c:pt>
                <c:pt idx="16">
                  <c:v>1510</c:v>
                </c:pt>
                <c:pt idx="17">
                  <c:v>1652</c:v>
                </c:pt>
                <c:pt idx="18">
                  <c:v>1852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1-4C1E-B91F-556A82CBAE15}"/>
            </c:ext>
          </c:extLst>
        </c:ser>
        <c:ser>
          <c:idx val="1"/>
          <c:order val="1"/>
          <c:tx>
            <c:strRef>
              <c:f>Accessories!$AH$27</c:f>
              <c:strCache>
                <c:ptCount val="1"/>
                <c:pt idx="0">
                  <c:v>Trend 6m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Accessories!$AU$15:$BR$15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Accessories!$AU$27:$BR$27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1752.0727272727272</c:v>
                </c:pt>
                <c:pt idx="20">
                  <c:v>1779.8727272727274</c:v>
                </c:pt>
                <c:pt idx="21">
                  <c:v>1807.6727272727273</c:v>
                </c:pt>
                <c:pt idx="22">
                  <c:v>1835.4727272727273</c:v>
                </c:pt>
                <c:pt idx="23">
                  <c:v>1863.2727272727273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1-4C1E-B91F-556A82CBAE15}"/>
            </c:ext>
          </c:extLst>
        </c:ser>
        <c:ser>
          <c:idx val="2"/>
          <c:order val="2"/>
          <c:tx>
            <c:strRef>
              <c:f>Accessories!$AH$28</c:f>
              <c:strCache>
                <c:ptCount val="1"/>
                <c:pt idx="0">
                  <c:v>Trend 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Accessories!$AU$15:$BR$15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Accessories!$AU$28:$BR$28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1731.205882352941</c:v>
                </c:pt>
                <c:pt idx="20">
                  <c:v>1754.4117647058822</c:v>
                </c:pt>
                <c:pt idx="21">
                  <c:v>1777.6176470588234</c:v>
                </c:pt>
                <c:pt idx="22">
                  <c:v>1800.8235294117646</c:v>
                </c:pt>
                <c:pt idx="23">
                  <c:v>1824.0294117647059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1-4C1E-B91F-556A82CBAE15}"/>
            </c:ext>
          </c:extLst>
        </c:ser>
        <c:ser>
          <c:idx val="4"/>
          <c:order val="3"/>
          <c:tx>
            <c:strRef>
              <c:f>Accessories!$AH$26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8FCFAD"/>
              </a:solidFill>
              <a:round/>
            </a:ln>
            <a:effectLst/>
          </c:spPr>
          <c:marker>
            <c:symbol val="none"/>
          </c:marker>
          <c:cat>
            <c:strRef>
              <c:f>Accessories!$AU$15:$BR$15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Accessories!$AU$26:$BR$26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1826.1332344</c:v>
                </c:pt>
                <c:pt idx="19">
                  <c:v>1531.091353</c:v>
                </c:pt>
                <c:pt idx="20">
                  <c:v>1688.4721591999999</c:v>
                </c:pt>
                <c:pt idx="21">
                  <c:v>1783.2480271999998</c:v>
                </c:pt>
                <c:pt idx="22">
                  <c:v>1709.0544464</c:v>
                </c:pt>
                <c:pt idx="23">
                  <c:v>1815.9627645999999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1-4C1E-B91F-556A82CBAE15}"/>
            </c:ext>
          </c:extLst>
        </c:ser>
        <c:ser>
          <c:idx val="5"/>
          <c:order val="4"/>
          <c:tx>
            <c:strRef>
              <c:f>Accessories!$AH$29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Accessories!$AU$15:$BR$15</c:f>
              <c:strCache>
                <c:ptCount val="24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  <c:pt idx="8">
                  <c:v>Sep 2019</c:v>
                </c:pt>
                <c:pt idx="9">
                  <c:v>Oct 2019</c:v>
                </c:pt>
                <c:pt idx="10">
                  <c:v>Nov 2019</c:v>
                </c:pt>
                <c:pt idx="11">
                  <c:v>Dec 2019</c:v>
                </c:pt>
                <c:pt idx="12">
                  <c:v>Jan 2020</c:v>
                </c:pt>
                <c:pt idx="13">
                  <c:v>Feb 2020</c:v>
                </c:pt>
                <c:pt idx="14">
                  <c:v>Mar 2020</c:v>
                </c:pt>
                <c:pt idx="15">
                  <c:v>Apr 2020</c:v>
                </c:pt>
                <c:pt idx="16">
                  <c:v>May 2020</c:v>
                </c:pt>
                <c:pt idx="17">
                  <c:v>Jun 2020</c:v>
                </c:pt>
                <c:pt idx="18">
                  <c:v>Jul 2020</c:v>
                </c:pt>
                <c:pt idx="19">
                  <c:v>Aug 2020</c:v>
                </c:pt>
                <c:pt idx="20">
                  <c:v>Sep 2020</c:v>
                </c:pt>
                <c:pt idx="21">
                  <c:v>Oct 2020</c:v>
                </c:pt>
                <c:pt idx="22">
                  <c:v>Nov 2020</c:v>
                </c:pt>
                <c:pt idx="23">
                  <c:v>Dec 2020</c:v>
                </c:pt>
              </c:strCache>
            </c:strRef>
          </c:cat>
          <c:val>
            <c:numRef>
              <c:f>Accessories!$AU$29:$BR$29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1852</c:v>
                </c:pt>
                <c:pt idx="19">
                  <c:v>1440.9444834415629</c:v>
                </c:pt>
                <c:pt idx="20">
                  <c:v>1546.5135772108297</c:v>
                </c:pt>
                <c:pt idx="21">
                  <c:v>1688.155482175099</c:v>
                </c:pt>
                <c:pt idx="22">
                  <c:v>1438.9634473016176</c:v>
                </c:pt>
                <c:pt idx="23">
                  <c:v>1507.3739307124163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61-4C1E-B91F-556A82CB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39440"/>
        <c:axId val="536740224"/>
      </c:lineChart>
      <c:catAx>
        <c:axId val="53673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40224"/>
        <c:crosses val="autoZero"/>
        <c:auto val="1"/>
        <c:lblAlgn val="ctr"/>
        <c:lblOffset val="100"/>
        <c:noMultiLvlLbl val="1"/>
      </c:catAx>
      <c:valAx>
        <c:axId val="5367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6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80739183516693"/>
          <c:y val="0.91660403245048905"/>
          <c:w val="0.72723489009322406"/>
          <c:h val="8.3395967549510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4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Relationship Id="rId4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4" Type="http://schemas.openxmlformats.org/officeDocument/2006/relationships/image" Target="../media/image14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4" Type="http://schemas.openxmlformats.org/officeDocument/2006/relationships/image" Target="../media/image18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21.emf"/><Relationship Id="rId1" Type="http://schemas.openxmlformats.org/officeDocument/2006/relationships/image" Target="../media/image22.emf"/><Relationship Id="rId4" Type="http://schemas.openxmlformats.org/officeDocument/2006/relationships/image" Target="../media/image19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5.emf"/><Relationship Id="rId2" Type="http://schemas.openxmlformats.org/officeDocument/2006/relationships/image" Target="../media/image24.emf"/><Relationship Id="rId1" Type="http://schemas.openxmlformats.org/officeDocument/2006/relationships/image" Target="../media/image23.emf"/><Relationship Id="rId4" Type="http://schemas.openxmlformats.org/officeDocument/2006/relationships/image" Target="../media/image26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2" Type="http://schemas.openxmlformats.org/officeDocument/2006/relationships/image" Target="../media/image28.emf"/><Relationship Id="rId1" Type="http://schemas.openxmlformats.org/officeDocument/2006/relationships/image" Target="../media/image27.emf"/><Relationship Id="rId4" Type="http://schemas.openxmlformats.org/officeDocument/2006/relationships/image" Target="../media/image3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33</xdr:row>
      <xdr:rowOff>19050</xdr:rowOff>
    </xdr:from>
    <xdr:to>
      <xdr:col>12</xdr:col>
      <xdr:colOff>437029</xdr:colOff>
      <xdr:row>37</xdr:row>
      <xdr:rowOff>38100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0C58C5E-D903-4727-ACA8-8FF0D5D70C5F}"/>
            </a:ext>
          </a:extLst>
        </xdr:cNvPr>
        <xdr:cNvGrpSpPr/>
      </xdr:nvGrpSpPr>
      <xdr:grpSpPr>
        <a:xfrm>
          <a:off x="4524374" y="5962650"/>
          <a:ext cx="6390155" cy="819150"/>
          <a:chOff x="4257674" y="8324850"/>
          <a:chExt cx="7353301" cy="66675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38966BB-F6FD-43EB-B957-B43CFBF5E0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57674" y="8324850"/>
            <a:ext cx="7353301" cy="666750"/>
          </a:xfrm>
          <a:prstGeom prst="rect">
            <a:avLst/>
          </a:prstGeom>
        </xdr:spPr>
      </xdr:pic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9C840813-B044-48C0-AF52-E37BBA701802}"/>
              </a:ext>
            </a:extLst>
          </xdr:cNvPr>
          <xdr:cNvSpPr/>
        </xdr:nvSpPr>
        <xdr:spPr>
          <a:xfrm>
            <a:off x="4333875" y="8572500"/>
            <a:ext cx="819150" cy="2095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8E405BCF-8981-413D-B82D-B0A8AC29ED66}"/>
              </a:ext>
            </a:extLst>
          </xdr:cNvPr>
          <xdr:cNvSpPr/>
        </xdr:nvSpPr>
        <xdr:spPr>
          <a:xfrm>
            <a:off x="7248525" y="8429625"/>
            <a:ext cx="361950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66674</xdr:colOff>
      <xdr:row>41</xdr:row>
      <xdr:rowOff>95250</xdr:rowOff>
    </xdr:from>
    <xdr:to>
      <xdr:col>12</xdr:col>
      <xdr:colOff>456079</xdr:colOff>
      <xdr:row>45</xdr:row>
      <xdr:rowOff>114300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F2121B06-B60B-4625-B324-70BAFC36852C}"/>
            </a:ext>
          </a:extLst>
        </xdr:cNvPr>
        <xdr:cNvGrpSpPr/>
      </xdr:nvGrpSpPr>
      <xdr:grpSpPr>
        <a:xfrm>
          <a:off x="4543424" y="7639050"/>
          <a:ext cx="6390155" cy="819150"/>
          <a:chOff x="4276724" y="9696450"/>
          <a:chExt cx="7353301" cy="666750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DAF40161-0014-41BB-ABDC-13B4AED6B3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76724" y="9696450"/>
            <a:ext cx="7353301" cy="666750"/>
          </a:xfrm>
          <a:prstGeom prst="rect">
            <a:avLst/>
          </a:prstGeom>
        </xdr:spPr>
      </xdr:pic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443F9AE6-57D8-4B4A-AD4E-BA19189162EE}"/>
              </a:ext>
            </a:extLst>
          </xdr:cNvPr>
          <xdr:cNvSpPr/>
        </xdr:nvSpPr>
        <xdr:spPr>
          <a:xfrm>
            <a:off x="9782174" y="9791700"/>
            <a:ext cx="923926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85725</xdr:colOff>
      <xdr:row>47</xdr:row>
      <xdr:rowOff>47625</xdr:rowOff>
    </xdr:from>
    <xdr:to>
      <xdr:col>12</xdr:col>
      <xdr:colOff>420024</xdr:colOff>
      <xdr:row>51</xdr:row>
      <xdr:rowOff>133350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55DB817-4DDF-4A4A-8991-81EBFF3430EA}"/>
            </a:ext>
          </a:extLst>
        </xdr:cNvPr>
        <xdr:cNvGrpSpPr/>
      </xdr:nvGrpSpPr>
      <xdr:grpSpPr>
        <a:xfrm>
          <a:off x="4562475" y="8791575"/>
          <a:ext cx="6335049" cy="885825"/>
          <a:chOff x="4295775" y="10620375"/>
          <a:chExt cx="7334250" cy="733425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C63CDB09-CB8F-44B7-BB32-F60AC6C10AD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8333"/>
          <a:stretch/>
        </xdr:blipFill>
        <xdr:spPr>
          <a:xfrm>
            <a:off x="4295775" y="10620375"/>
            <a:ext cx="7334250" cy="733425"/>
          </a:xfrm>
          <a:prstGeom prst="rect">
            <a:avLst/>
          </a:prstGeom>
        </xdr:spPr>
      </xdr:pic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148BC535-D39D-4D09-A7C4-AB55D8DE00CD}"/>
              </a:ext>
            </a:extLst>
          </xdr:cNvPr>
          <xdr:cNvSpPr/>
        </xdr:nvSpPr>
        <xdr:spPr>
          <a:xfrm>
            <a:off x="10848975" y="10648949"/>
            <a:ext cx="762000" cy="2381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0.43787</cdr:x>
      <cdr:y>0.02064</cdr:y>
    </cdr:from>
    <cdr:to>
      <cdr:x>0.56507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40960" y="60960"/>
          <a:ext cx="1493520" cy="284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Sales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41</xdr:row>
      <xdr:rowOff>106233</xdr:rowOff>
    </xdr:from>
    <xdr:to>
      <xdr:col>17</xdr:col>
      <xdr:colOff>629285</xdr:colOff>
      <xdr:row>57</xdr:row>
      <xdr:rowOff>139253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577537" name="FPMExcelClientSheetOptionstb1" hidden="1">
              <a:extLst>
                <a:ext uri="{63B3BB69-23CF-44E3-9099-C40C66FF867C}">
                  <a14:compatExt spid="_x0000_s577537"/>
                </a:ext>
                <a:ext uri="{FF2B5EF4-FFF2-40B4-BE49-F238E27FC236}">
                  <a16:creationId xmlns:a16="http://schemas.microsoft.com/office/drawing/2014/main" id="{00000000-0008-0000-0900-000001D0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73041</xdr:colOff>
      <xdr:row>24</xdr:row>
      <xdr:rowOff>136077</xdr:rowOff>
    </xdr:from>
    <xdr:to>
      <xdr:col>17</xdr:col>
      <xdr:colOff>616585</xdr:colOff>
      <xdr:row>40</xdr:row>
      <xdr:rowOff>160970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7</xdr:col>
          <xdr:colOff>333375</xdr:colOff>
          <xdr:row>0</xdr:row>
          <xdr:rowOff>0</xdr:rowOff>
        </xdr:to>
        <xdr:sp macro="" textlink="">
          <xdr:nvSpPr>
            <xdr:cNvPr id="577538" name="ConnectionDescriptorsInfotb1" hidden="1">
              <a:extLst>
                <a:ext uri="{63B3BB69-23CF-44E3-9099-C40C66FF867C}">
                  <a14:compatExt spid="_x0000_s577538"/>
                </a:ext>
                <a:ext uri="{FF2B5EF4-FFF2-40B4-BE49-F238E27FC236}">
                  <a16:creationId xmlns:a16="http://schemas.microsoft.com/office/drawing/2014/main" id="{00000000-0008-0000-0900-000002D0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7</xdr:col>
          <xdr:colOff>333375</xdr:colOff>
          <xdr:row>0</xdr:row>
          <xdr:rowOff>0</xdr:rowOff>
        </xdr:to>
        <xdr:sp macro="" textlink="">
          <xdr:nvSpPr>
            <xdr:cNvPr id="577539" name="MultipleReportManagerInfotb1" hidden="1">
              <a:extLst>
                <a:ext uri="{63B3BB69-23CF-44E3-9099-C40C66FF867C}">
                  <a14:compatExt spid="_x0000_s577539"/>
                </a:ext>
                <a:ext uri="{FF2B5EF4-FFF2-40B4-BE49-F238E27FC236}">
                  <a16:creationId xmlns:a16="http://schemas.microsoft.com/office/drawing/2014/main" id="{00000000-0008-0000-0900-000003D0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7</xdr:col>
          <xdr:colOff>333375</xdr:colOff>
          <xdr:row>0</xdr:row>
          <xdr:rowOff>0</xdr:rowOff>
        </xdr:to>
        <xdr:sp macro="" textlink="">
          <xdr:nvSpPr>
            <xdr:cNvPr id="577540" name="AnalyzerDynReport000tb1" hidden="1">
              <a:extLst>
                <a:ext uri="{63B3BB69-23CF-44E3-9099-C40C66FF867C}">
                  <a14:compatExt spid="_x0000_s577540"/>
                </a:ext>
                <a:ext uri="{FF2B5EF4-FFF2-40B4-BE49-F238E27FC236}">
                  <a16:creationId xmlns:a16="http://schemas.microsoft.com/office/drawing/2014/main" id="{00000000-0008-0000-0900-000004D0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0.43787</cdr:x>
      <cdr:y>0.02064</cdr:y>
    </cdr:from>
    <cdr:to>
      <cdr:x>0.56507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40960" y="60960"/>
          <a:ext cx="1493520" cy="284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Sales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1228725</xdr:colOff>
          <xdr:row>0</xdr:row>
          <xdr:rowOff>0</xdr:rowOff>
        </xdr:to>
        <xdr:sp macro="" textlink="">
          <xdr:nvSpPr>
            <xdr:cNvPr id="558081" name="FPMExcelClientSheetOptionstb1" hidden="1">
              <a:extLst>
                <a:ext uri="{63B3BB69-23CF-44E3-9099-C40C66FF867C}">
                  <a14:compatExt spid="_x0000_s558081"/>
                </a:ext>
                <a:ext uri="{FF2B5EF4-FFF2-40B4-BE49-F238E27FC236}">
                  <a16:creationId xmlns:a16="http://schemas.microsoft.com/office/drawing/2014/main" id="{00000000-0008-0000-0300-00000184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1228725</xdr:colOff>
          <xdr:row>0</xdr:row>
          <xdr:rowOff>0</xdr:rowOff>
        </xdr:to>
        <xdr:sp macro="" textlink="">
          <xdr:nvSpPr>
            <xdr:cNvPr id="558082" name="ConnectionDescriptorsInfotb1" hidden="1">
              <a:extLst>
                <a:ext uri="{63B3BB69-23CF-44E3-9099-C40C66FF867C}">
                  <a14:compatExt spid="_x0000_s558082"/>
                </a:ext>
                <a:ext uri="{FF2B5EF4-FFF2-40B4-BE49-F238E27FC236}">
                  <a16:creationId xmlns:a16="http://schemas.microsoft.com/office/drawing/2014/main" id="{00000000-0008-0000-0300-00000284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1228725</xdr:colOff>
          <xdr:row>0</xdr:row>
          <xdr:rowOff>0</xdr:rowOff>
        </xdr:to>
        <xdr:sp macro="" textlink="">
          <xdr:nvSpPr>
            <xdr:cNvPr id="558083" name="MultipleReportManagerInfotb1" hidden="1">
              <a:extLst>
                <a:ext uri="{63B3BB69-23CF-44E3-9099-C40C66FF867C}">
                  <a14:compatExt spid="_x0000_s558083"/>
                </a:ext>
                <a:ext uri="{FF2B5EF4-FFF2-40B4-BE49-F238E27FC236}">
                  <a16:creationId xmlns:a16="http://schemas.microsoft.com/office/drawing/2014/main" id="{00000000-0008-0000-0300-00000384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1228725</xdr:colOff>
          <xdr:row>0</xdr:row>
          <xdr:rowOff>0</xdr:rowOff>
        </xdr:to>
        <xdr:sp macro="" textlink="">
          <xdr:nvSpPr>
            <xdr:cNvPr id="558084" name="AnalyzerDynReport000tb1" hidden="1">
              <a:extLst>
                <a:ext uri="{63B3BB69-23CF-44E3-9099-C40C66FF867C}">
                  <a14:compatExt spid="_x0000_s558084"/>
                </a:ext>
                <a:ext uri="{FF2B5EF4-FFF2-40B4-BE49-F238E27FC236}">
                  <a16:creationId xmlns:a16="http://schemas.microsoft.com/office/drawing/2014/main" id="{00000000-0008-0000-0300-00000484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1219200</xdr:colOff>
          <xdr:row>0</xdr:row>
          <xdr:rowOff>0</xdr:rowOff>
        </xdr:to>
        <xdr:sp macro="" textlink="">
          <xdr:nvSpPr>
            <xdr:cNvPr id="563201" name="FPMExcelClientSheetOptionstb1" hidden="1">
              <a:extLst>
                <a:ext uri="{63B3BB69-23CF-44E3-9099-C40C66FF867C}">
                  <a14:compatExt spid="_x0000_s563201"/>
                </a:ext>
                <a:ext uri="{FF2B5EF4-FFF2-40B4-BE49-F238E27FC236}">
                  <a16:creationId xmlns:a16="http://schemas.microsoft.com/office/drawing/2014/main" id="{00000000-0008-0000-0400-00000198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1219200</xdr:colOff>
          <xdr:row>0</xdr:row>
          <xdr:rowOff>0</xdr:rowOff>
        </xdr:to>
        <xdr:sp macro="" textlink="">
          <xdr:nvSpPr>
            <xdr:cNvPr id="563202" name="ConnectionDescriptorsInfotb1" hidden="1">
              <a:extLst>
                <a:ext uri="{63B3BB69-23CF-44E3-9099-C40C66FF867C}">
                  <a14:compatExt spid="_x0000_s563202"/>
                </a:ext>
                <a:ext uri="{FF2B5EF4-FFF2-40B4-BE49-F238E27FC236}">
                  <a16:creationId xmlns:a16="http://schemas.microsoft.com/office/drawing/2014/main" id="{00000000-0008-0000-0400-00000298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1219200</xdr:colOff>
          <xdr:row>0</xdr:row>
          <xdr:rowOff>0</xdr:rowOff>
        </xdr:to>
        <xdr:sp macro="" textlink="">
          <xdr:nvSpPr>
            <xdr:cNvPr id="563203" name="MultipleReportManagerInfotb1" hidden="1">
              <a:extLst>
                <a:ext uri="{63B3BB69-23CF-44E3-9099-C40C66FF867C}">
                  <a14:compatExt spid="_x0000_s563203"/>
                </a:ext>
                <a:ext uri="{FF2B5EF4-FFF2-40B4-BE49-F238E27FC236}">
                  <a16:creationId xmlns:a16="http://schemas.microsoft.com/office/drawing/2014/main" id="{00000000-0008-0000-0400-00000398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1219200</xdr:colOff>
          <xdr:row>0</xdr:row>
          <xdr:rowOff>0</xdr:rowOff>
        </xdr:to>
        <xdr:sp macro="" textlink="">
          <xdr:nvSpPr>
            <xdr:cNvPr id="563204" name="AnalyzerDynReport000tb1" hidden="1">
              <a:extLst>
                <a:ext uri="{63B3BB69-23CF-44E3-9099-C40C66FF867C}">
                  <a14:compatExt spid="_x0000_s563204"/>
                </a:ext>
                <a:ext uri="{FF2B5EF4-FFF2-40B4-BE49-F238E27FC236}">
                  <a16:creationId xmlns:a16="http://schemas.microsoft.com/office/drawing/2014/main" id="{00000000-0008-0000-0400-00000498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885825</xdr:colOff>
          <xdr:row>0</xdr:row>
          <xdr:rowOff>0</xdr:rowOff>
        </xdr:to>
        <xdr:sp macro="" textlink="">
          <xdr:nvSpPr>
            <xdr:cNvPr id="485377" name="FPMExcelClientSheetOptionstb1" hidden="1">
              <a:extLst>
                <a:ext uri="{63B3BB69-23CF-44E3-9099-C40C66FF867C}">
                  <a14:compatExt spid="_x0000_s485377"/>
                </a:ext>
                <a:ext uri="{FF2B5EF4-FFF2-40B4-BE49-F238E27FC236}">
                  <a16:creationId xmlns:a16="http://schemas.microsoft.com/office/drawing/2014/main" id="{00000000-0008-0000-0500-000001680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885825</xdr:colOff>
          <xdr:row>0</xdr:row>
          <xdr:rowOff>0</xdr:rowOff>
        </xdr:to>
        <xdr:sp macro="" textlink="">
          <xdr:nvSpPr>
            <xdr:cNvPr id="485378" name="MultipleReportManagerInfotb1" hidden="1">
              <a:extLst>
                <a:ext uri="{63B3BB69-23CF-44E3-9099-C40C66FF867C}">
                  <a14:compatExt spid="_x0000_s485378"/>
                </a:ext>
                <a:ext uri="{FF2B5EF4-FFF2-40B4-BE49-F238E27FC236}">
                  <a16:creationId xmlns:a16="http://schemas.microsoft.com/office/drawing/2014/main" id="{00000000-0008-0000-0500-000002680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885825</xdr:colOff>
          <xdr:row>0</xdr:row>
          <xdr:rowOff>0</xdr:rowOff>
        </xdr:to>
        <xdr:sp macro="" textlink="">
          <xdr:nvSpPr>
            <xdr:cNvPr id="485379" name="ConnectionDescriptorsInfotb1" hidden="1">
              <a:extLst>
                <a:ext uri="{63B3BB69-23CF-44E3-9099-C40C66FF867C}">
                  <a14:compatExt spid="_x0000_s485379"/>
                </a:ext>
                <a:ext uri="{FF2B5EF4-FFF2-40B4-BE49-F238E27FC236}">
                  <a16:creationId xmlns:a16="http://schemas.microsoft.com/office/drawing/2014/main" id="{00000000-0008-0000-0500-000003680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885825</xdr:colOff>
          <xdr:row>0</xdr:row>
          <xdr:rowOff>0</xdr:rowOff>
        </xdr:to>
        <xdr:sp macro="" textlink="">
          <xdr:nvSpPr>
            <xdr:cNvPr id="485380" name="AnalyzerDynReport000tb1" hidden="1">
              <a:extLst>
                <a:ext uri="{63B3BB69-23CF-44E3-9099-C40C66FF867C}">
                  <a14:compatExt spid="_x0000_s485380"/>
                </a:ext>
                <a:ext uri="{FF2B5EF4-FFF2-40B4-BE49-F238E27FC236}">
                  <a16:creationId xmlns:a16="http://schemas.microsoft.com/office/drawing/2014/main" id="{00000000-0008-0000-0500-000004680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41</xdr:row>
      <xdr:rowOff>106233</xdr:rowOff>
    </xdr:from>
    <xdr:to>
      <xdr:col>17</xdr:col>
      <xdr:colOff>629285</xdr:colOff>
      <xdr:row>57</xdr:row>
      <xdr:rowOff>139253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575489" name="FPMExcelClientSheetOptionstb1" hidden="1">
              <a:extLst>
                <a:ext uri="{63B3BB69-23CF-44E3-9099-C40C66FF867C}">
                  <a14:compatExt spid="_x0000_s575489"/>
                </a:ext>
                <a:ext uri="{FF2B5EF4-FFF2-40B4-BE49-F238E27FC236}">
                  <a16:creationId xmlns:a16="http://schemas.microsoft.com/office/drawing/2014/main" id="{00000000-0008-0000-0600-000001C8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73041</xdr:colOff>
      <xdr:row>24</xdr:row>
      <xdr:rowOff>136077</xdr:rowOff>
    </xdr:from>
    <xdr:to>
      <xdr:col>17</xdr:col>
      <xdr:colOff>616585</xdr:colOff>
      <xdr:row>40</xdr:row>
      <xdr:rowOff>160970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7</xdr:col>
          <xdr:colOff>304800</xdr:colOff>
          <xdr:row>0</xdr:row>
          <xdr:rowOff>0</xdr:rowOff>
        </xdr:to>
        <xdr:sp macro="" textlink="">
          <xdr:nvSpPr>
            <xdr:cNvPr id="575490" name="ConnectionDescriptorsInfotb1" hidden="1">
              <a:extLst>
                <a:ext uri="{63B3BB69-23CF-44E3-9099-C40C66FF867C}">
                  <a14:compatExt spid="_x0000_s575490"/>
                </a:ext>
                <a:ext uri="{FF2B5EF4-FFF2-40B4-BE49-F238E27FC236}">
                  <a16:creationId xmlns:a16="http://schemas.microsoft.com/office/drawing/2014/main" id="{00000000-0008-0000-0600-000002C8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7</xdr:col>
          <xdr:colOff>304800</xdr:colOff>
          <xdr:row>0</xdr:row>
          <xdr:rowOff>0</xdr:rowOff>
        </xdr:to>
        <xdr:sp macro="" textlink="">
          <xdr:nvSpPr>
            <xdr:cNvPr id="575491" name="MultipleReportManagerInfotb1" hidden="1">
              <a:extLst>
                <a:ext uri="{63B3BB69-23CF-44E3-9099-C40C66FF867C}">
                  <a14:compatExt spid="_x0000_s575491"/>
                </a:ext>
                <a:ext uri="{FF2B5EF4-FFF2-40B4-BE49-F238E27FC236}">
                  <a16:creationId xmlns:a16="http://schemas.microsoft.com/office/drawing/2014/main" id="{00000000-0008-0000-0600-000003C8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7</xdr:col>
          <xdr:colOff>304800</xdr:colOff>
          <xdr:row>0</xdr:row>
          <xdr:rowOff>0</xdr:rowOff>
        </xdr:to>
        <xdr:sp macro="" textlink="">
          <xdr:nvSpPr>
            <xdr:cNvPr id="575492" name="AnalyzerDynReport000tb1" hidden="1">
              <a:extLst>
                <a:ext uri="{63B3BB69-23CF-44E3-9099-C40C66FF867C}">
                  <a14:compatExt spid="_x0000_s575492"/>
                </a:ext>
                <a:ext uri="{FF2B5EF4-FFF2-40B4-BE49-F238E27FC236}">
                  <a16:creationId xmlns:a16="http://schemas.microsoft.com/office/drawing/2014/main" id="{00000000-0008-0000-0600-000004C8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0.43787</cdr:x>
      <cdr:y>0.02064</cdr:y>
    </cdr:from>
    <cdr:to>
      <cdr:x>0.56507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40960" y="60960"/>
          <a:ext cx="1493520" cy="284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Sales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41</xdr:row>
      <xdr:rowOff>106233</xdr:rowOff>
    </xdr:from>
    <xdr:to>
      <xdr:col>17</xdr:col>
      <xdr:colOff>629285</xdr:colOff>
      <xdr:row>57</xdr:row>
      <xdr:rowOff>139253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570369" name="FPMExcelClientSheetOptionstb1" hidden="1">
              <a:extLst>
                <a:ext uri="{63B3BB69-23CF-44E3-9099-C40C66FF867C}">
                  <a14:compatExt spid="_x0000_s570369"/>
                </a:ext>
                <a:ext uri="{FF2B5EF4-FFF2-40B4-BE49-F238E27FC236}">
                  <a16:creationId xmlns:a16="http://schemas.microsoft.com/office/drawing/2014/main" id="{00000000-0008-0000-0700-000001B4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73041</xdr:colOff>
      <xdr:row>24</xdr:row>
      <xdr:rowOff>136077</xdr:rowOff>
    </xdr:from>
    <xdr:to>
      <xdr:col>17</xdr:col>
      <xdr:colOff>616585</xdr:colOff>
      <xdr:row>40</xdr:row>
      <xdr:rowOff>160970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7</xdr:col>
          <xdr:colOff>314325</xdr:colOff>
          <xdr:row>0</xdr:row>
          <xdr:rowOff>0</xdr:rowOff>
        </xdr:to>
        <xdr:sp macro="" textlink="">
          <xdr:nvSpPr>
            <xdr:cNvPr id="570370" name="ConnectionDescriptorsInfotb1" hidden="1">
              <a:extLst>
                <a:ext uri="{63B3BB69-23CF-44E3-9099-C40C66FF867C}">
                  <a14:compatExt spid="_x0000_s570370"/>
                </a:ext>
                <a:ext uri="{FF2B5EF4-FFF2-40B4-BE49-F238E27FC236}">
                  <a16:creationId xmlns:a16="http://schemas.microsoft.com/office/drawing/2014/main" id="{00000000-0008-0000-0700-000002B4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7</xdr:col>
          <xdr:colOff>314325</xdr:colOff>
          <xdr:row>0</xdr:row>
          <xdr:rowOff>0</xdr:rowOff>
        </xdr:to>
        <xdr:sp macro="" textlink="">
          <xdr:nvSpPr>
            <xdr:cNvPr id="570371" name="MultipleReportManagerInfotb1" hidden="1">
              <a:extLst>
                <a:ext uri="{63B3BB69-23CF-44E3-9099-C40C66FF867C}">
                  <a14:compatExt spid="_x0000_s570371"/>
                </a:ext>
                <a:ext uri="{FF2B5EF4-FFF2-40B4-BE49-F238E27FC236}">
                  <a16:creationId xmlns:a16="http://schemas.microsoft.com/office/drawing/2014/main" id="{00000000-0008-0000-0700-000003B4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7</xdr:col>
          <xdr:colOff>314325</xdr:colOff>
          <xdr:row>0</xdr:row>
          <xdr:rowOff>0</xdr:rowOff>
        </xdr:to>
        <xdr:sp macro="" textlink="">
          <xdr:nvSpPr>
            <xdr:cNvPr id="570372" name="AnalyzerDynReport000tb1" hidden="1">
              <a:extLst>
                <a:ext uri="{63B3BB69-23CF-44E3-9099-C40C66FF867C}">
                  <a14:compatExt spid="_x0000_s570372"/>
                </a:ext>
                <a:ext uri="{FF2B5EF4-FFF2-40B4-BE49-F238E27FC236}">
                  <a16:creationId xmlns:a16="http://schemas.microsoft.com/office/drawing/2014/main" id="{00000000-0008-0000-0700-000004B4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0.43787</cdr:x>
      <cdr:y>0.02064</cdr:y>
    </cdr:from>
    <cdr:to>
      <cdr:x>0.56507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40960" y="60960"/>
          <a:ext cx="1493520" cy="284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Sales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41</xdr:row>
      <xdr:rowOff>106233</xdr:rowOff>
    </xdr:from>
    <xdr:to>
      <xdr:col>17</xdr:col>
      <xdr:colOff>629285</xdr:colOff>
      <xdr:row>57</xdr:row>
      <xdr:rowOff>139253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576513" name="FPMExcelClientSheetOptionstb1" hidden="1">
              <a:extLst>
                <a:ext uri="{63B3BB69-23CF-44E3-9099-C40C66FF867C}">
                  <a14:compatExt spid="_x0000_s576513"/>
                </a:ext>
                <a:ext uri="{FF2B5EF4-FFF2-40B4-BE49-F238E27FC236}">
                  <a16:creationId xmlns:a16="http://schemas.microsoft.com/office/drawing/2014/main" id="{00000000-0008-0000-0800-000001CC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73041</xdr:colOff>
      <xdr:row>24</xdr:row>
      <xdr:rowOff>136077</xdr:rowOff>
    </xdr:from>
    <xdr:to>
      <xdr:col>17</xdr:col>
      <xdr:colOff>616585</xdr:colOff>
      <xdr:row>40</xdr:row>
      <xdr:rowOff>160970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7</xdr:col>
          <xdr:colOff>314325</xdr:colOff>
          <xdr:row>0</xdr:row>
          <xdr:rowOff>0</xdr:rowOff>
        </xdr:to>
        <xdr:sp macro="" textlink="">
          <xdr:nvSpPr>
            <xdr:cNvPr id="576514" name="ConnectionDescriptorsInfotb1" hidden="1">
              <a:extLst>
                <a:ext uri="{63B3BB69-23CF-44E3-9099-C40C66FF867C}">
                  <a14:compatExt spid="_x0000_s576514"/>
                </a:ext>
                <a:ext uri="{FF2B5EF4-FFF2-40B4-BE49-F238E27FC236}">
                  <a16:creationId xmlns:a16="http://schemas.microsoft.com/office/drawing/2014/main" id="{00000000-0008-0000-0800-000002CC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7</xdr:col>
          <xdr:colOff>314325</xdr:colOff>
          <xdr:row>0</xdr:row>
          <xdr:rowOff>0</xdr:rowOff>
        </xdr:to>
        <xdr:sp macro="" textlink="">
          <xdr:nvSpPr>
            <xdr:cNvPr id="576515" name="MultipleReportManagerInfotb1" hidden="1">
              <a:extLst>
                <a:ext uri="{63B3BB69-23CF-44E3-9099-C40C66FF867C}">
                  <a14:compatExt spid="_x0000_s576515"/>
                </a:ext>
                <a:ext uri="{FF2B5EF4-FFF2-40B4-BE49-F238E27FC236}">
                  <a16:creationId xmlns:a16="http://schemas.microsoft.com/office/drawing/2014/main" id="{00000000-0008-0000-0800-000003CC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7</xdr:col>
          <xdr:colOff>314325</xdr:colOff>
          <xdr:row>0</xdr:row>
          <xdr:rowOff>0</xdr:rowOff>
        </xdr:to>
        <xdr:sp macro="" textlink="">
          <xdr:nvSpPr>
            <xdr:cNvPr id="576516" name="AnalyzerDynReport000tb1" hidden="1">
              <a:extLst>
                <a:ext uri="{63B3BB69-23CF-44E3-9099-C40C66FF867C}">
                  <a14:compatExt spid="_x0000_s576516"/>
                </a:ext>
                <a:ext uri="{FF2B5EF4-FFF2-40B4-BE49-F238E27FC236}">
                  <a16:creationId xmlns:a16="http://schemas.microsoft.com/office/drawing/2014/main" id="{00000000-0008-0000-0800-000004CC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01_Novartis">
      <a:dk1>
        <a:srgbClr val="000000"/>
      </a:dk1>
      <a:lt1>
        <a:srgbClr val="FFFFFF"/>
      </a:lt1>
      <a:dk2>
        <a:srgbClr val="404040"/>
      </a:dk2>
      <a:lt2>
        <a:srgbClr val="CCCCCC"/>
      </a:lt2>
      <a:accent1>
        <a:srgbClr val="0460A9"/>
      </a:accent1>
      <a:accent2>
        <a:srgbClr val="E74A21"/>
      </a:accent2>
      <a:accent3>
        <a:srgbClr val="EC9A1E"/>
      </a:accent3>
      <a:accent4>
        <a:srgbClr val="8D1F1B"/>
      </a:accent4>
      <a:accent5>
        <a:srgbClr val="7F7F7F"/>
      </a:accent5>
      <a:accent6>
        <a:srgbClr val="404040"/>
      </a:accent6>
      <a:hlink>
        <a:srgbClr val="0460A9"/>
      </a:hlink>
      <a:folHlink>
        <a:srgbClr val="0460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28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6.xml"/><Relationship Id="rId11" Type="http://schemas.openxmlformats.org/officeDocument/2006/relationships/image" Target="../media/image30.emf"/><Relationship Id="rId5" Type="http://schemas.openxmlformats.org/officeDocument/2006/relationships/image" Target="../media/image27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9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.xml"/><Relationship Id="rId13" Type="http://schemas.openxmlformats.org/officeDocument/2006/relationships/image" Target="../media/image6.emf"/><Relationship Id="rId3" Type="http://schemas.openxmlformats.org/officeDocument/2006/relationships/customProperty" Target="../customProperty6.bin"/><Relationship Id="rId7" Type="http://schemas.openxmlformats.org/officeDocument/2006/relationships/image" Target="../media/image3.emf"/><Relationship Id="rId12" Type="http://schemas.openxmlformats.org/officeDocument/2006/relationships/control" Target="../activeX/activeX4.xml"/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Relationship Id="rId6" Type="http://schemas.openxmlformats.org/officeDocument/2006/relationships/control" Target="../activeX/activeX1.xml"/><Relationship Id="rId11" Type="http://schemas.openxmlformats.org/officeDocument/2006/relationships/image" Target="../media/image5.emf"/><Relationship Id="rId5" Type="http://schemas.openxmlformats.org/officeDocument/2006/relationships/vmlDrawing" Target="../drawings/vmlDrawing1.vml"/><Relationship Id="rId10" Type="http://schemas.openxmlformats.org/officeDocument/2006/relationships/control" Target="../activeX/activeX3.xml"/><Relationship Id="rId4" Type="http://schemas.openxmlformats.org/officeDocument/2006/relationships/drawing" Target="../drawings/drawing2.xml"/><Relationship Id="rId9" Type="http://schemas.openxmlformats.org/officeDocument/2006/relationships/image" Target="../media/image4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10.emf"/><Relationship Id="rId3" Type="http://schemas.openxmlformats.org/officeDocument/2006/relationships/customProperty" Target="../customProperty9.bin"/><Relationship Id="rId7" Type="http://schemas.openxmlformats.org/officeDocument/2006/relationships/image" Target="../media/image7.emf"/><Relationship Id="rId12" Type="http://schemas.openxmlformats.org/officeDocument/2006/relationships/control" Target="../activeX/activeX8.xml"/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Relationship Id="rId6" Type="http://schemas.openxmlformats.org/officeDocument/2006/relationships/control" Target="../activeX/activeX5.xml"/><Relationship Id="rId11" Type="http://schemas.openxmlformats.org/officeDocument/2006/relationships/image" Target="../media/image9.emf"/><Relationship Id="rId5" Type="http://schemas.openxmlformats.org/officeDocument/2006/relationships/vmlDrawing" Target="../drawings/vmlDrawing2.vml"/><Relationship Id="rId10" Type="http://schemas.openxmlformats.org/officeDocument/2006/relationships/control" Target="../activeX/activeX7.xml"/><Relationship Id="rId4" Type="http://schemas.openxmlformats.org/officeDocument/2006/relationships/drawing" Target="../drawings/drawing3.xml"/><Relationship Id="rId9" Type="http://schemas.openxmlformats.org/officeDocument/2006/relationships/image" Target="../media/image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control" Target="../activeX/activeX12.xml"/><Relationship Id="rId3" Type="http://schemas.openxmlformats.org/officeDocument/2006/relationships/customProperty" Target="../customProperty11.bin"/><Relationship Id="rId7" Type="http://schemas.openxmlformats.org/officeDocument/2006/relationships/control" Target="../activeX/activeX9.xml"/><Relationship Id="rId12" Type="http://schemas.openxmlformats.org/officeDocument/2006/relationships/image" Target="../media/image13.emf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3.vml"/><Relationship Id="rId11" Type="http://schemas.openxmlformats.org/officeDocument/2006/relationships/control" Target="../activeX/activeX11.xml"/><Relationship Id="rId5" Type="http://schemas.openxmlformats.org/officeDocument/2006/relationships/drawing" Target="../drawings/drawing4.xml"/><Relationship Id="rId10" Type="http://schemas.openxmlformats.org/officeDocument/2006/relationships/image" Target="../media/image12.emf"/><Relationship Id="rId4" Type="http://schemas.openxmlformats.org/officeDocument/2006/relationships/customProperty" Target="../customProperty12.bin"/><Relationship Id="rId9" Type="http://schemas.openxmlformats.org/officeDocument/2006/relationships/control" Target="../activeX/activeX10.xml"/><Relationship Id="rId14" Type="http://schemas.openxmlformats.org/officeDocument/2006/relationships/image" Target="../media/image14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6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4.xml"/><Relationship Id="rId11" Type="http://schemas.openxmlformats.org/officeDocument/2006/relationships/image" Target="../media/image18.emf"/><Relationship Id="rId5" Type="http://schemas.openxmlformats.org/officeDocument/2006/relationships/image" Target="../media/image15.emf"/><Relationship Id="rId10" Type="http://schemas.openxmlformats.org/officeDocument/2006/relationships/control" Target="../activeX/activeX16.xml"/><Relationship Id="rId4" Type="http://schemas.openxmlformats.org/officeDocument/2006/relationships/control" Target="../activeX/activeX13.xml"/><Relationship Id="rId9" Type="http://schemas.openxmlformats.org/officeDocument/2006/relationships/image" Target="../media/image17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emf"/><Relationship Id="rId3" Type="http://schemas.openxmlformats.org/officeDocument/2006/relationships/drawing" Target="../drawings/drawing7.xml"/><Relationship Id="rId7" Type="http://schemas.openxmlformats.org/officeDocument/2006/relationships/control" Target="../activeX/activeX18.xml"/><Relationship Id="rId12" Type="http://schemas.openxmlformats.org/officeDocument/2006/relationships/image" Target="../media/image22.emf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4.bin"/><Relationship Id="rId6" Type="http://schemas.openxmlformats.org/officeDocument/2006/relationships/image" Target="../media/image19.emf"/><Relationship Id="rId11" Type="http://schemas.openxmlformats.org/officeDocument/2006/relationships/control" Target="../activeX/activeX20.xml"/><Relationship Id="rId5" Type="http://schemas.openxmlformats.org/officeDocument/2006/relationships/control" Target="../activeX/activeX17.xml"/><Relationship Id="rId10" Type="http://schemas.openxmlformats.org/officeDocument/2006/relationships/image" Target="../media/image21.emf"/><Relationship Id="rId4" Type="http://schemas.openxmlformats.org/officeDocument/2006/relationships/vmlDrawing" Target="../drawings/vmlDrawing5.vml"/><Relationship Id="rId9" Type="http://schemas.openxmlformats.org/officeDocument/2006/relationships/control" Target="../activeX/activeX1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3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24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2.xml"/><Relationship Id="rId11" Type="http://schemas.openxmlformats.org/officeDocument/2006/relationships/image" Target="../media/image26.emf"/><Relationship Id="rId5" Type="http://schemas.openxmlformats.org/officeDocument/2006/relationships/image" Target="../media/image23.emf"/><Relationship Id="rId10" Type="http://schemas.openxmlformats.org/officeDocument/2006/relationships/control" Target="../activeX/activeX24.xml"/><Relationship Id="rId4" Type="http://schemas.openxmlformats.org/officeDocument/2006/relationships/control" Target="../activeX/activeX21.xml"/><Relationship Id="rId9" Type="http://schemas.openxmlformats.org/officeDocument/2006/relationships/image" Target="../media/image25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076B-CFEA-49DC-8B02-3D45B5D0AD9D}">
  <sheetPr>
    <tabColor rgb="FFC00000"/>
  </sheetPr>
  <dimension ref="A1:N59"/>
  <sheetViews>
    <sheetView showGridLines="0" showRowColHeaders="0" tabSelected="1" topLeftCell="A34" zoomScaleNormal="100" workbookViewId="0">
      <selection activeCell="C54" sqref="C54:H63"/>
    </sheetView>
  </sheetViews>
  <sheetFormatPr defaultColWidth="10" defaultRowHeight="15.75" x14ac:dyDescent="0.25"/>
  <cols>
    <col min="1" max="1" width="19.140625" style="193" customWidth="1"/>
    <col min="2" max="2" width="22.85546875" style="192" customWidth="1"/>
    <col min="3" max="3" width="25.140625" style="192" customWidth="1"/>
    <col min="4" max="16384" width="10" style="192"/>
  </cols>
  <sheetData>
    <row r="1" spans="1:4" x14ac:dyDescent="0.25">
      <c r="A1" s="191"/>
    </row>
    <row r="2" spans="1:4" x14ac:dyDescent="0.25">
      <c r="A2" s="191"/>
    </row>
    <row r="3" spans="1:4" x14ac:dyDescent="0.25">
      <c r="A3" s="191"/>
    </row>
    <row r="4" spans="1:4" ht="3.4" customHeight="1" x14ac:dyDescent="0.25">
      <c r="A4" s="191"/>
    </row>
    <row r="5" spans="1:4" x14ac:dyDescent="0.25">
      <c r="B5" s="194" t="s">
        <v>132</v>
      </c>
      <c r="D5" s="194" t="s">
        <v>150</v>
      </c>
    </row>
    <row r="7" spans="1:4" ht="12.75" x14ac:dyDescent="0.2">
      <c r="A7" s="195" t="s">
        <v>133</v>
      </c>
      <c r="B7" s="194" t="s">
        <v>134</v>
      </c>
      <c r="D7" s="192" t="s">
        <v>151</v>
      </c>
    </row>
    <row r="8" spans="1:4" ht="12.75" x14ac:dyDescent="0.2">
      <c r="A8" s="196" t="s">
        <v>135</v>
      </c>
      <c r="D8" s="192" t="s">
        <v>152</v>
      </c>
    </row>
    <row r="9" spans="1:4" ht="12.75" x14ac:dyDescent="0.2">
      <c r="A9" s="196" t="s">
        <v>170</v>
      </c>
      <c r="D9" s="192" t="s">
        <v>153</v>
      </c>
    </row>
    <row r="10" spans="1:4" ht="12.75" x14ac:dyDescent="0.2">
      <c r="A10" s="196"/>
      <c r="D10" s="192" t="s">
        <v>136</v>
      </c>
    </row>
    <row r="11" spans="1:4" ht="12.75" x14ac:dyDescent="0.2">
      <c r="A11" s="196" t="s">
        <v>168</v>
      </c>
    </row>
    <row r="12" spans="1:4" ht="12.75" x14ac:dyDescent="0.2">
      <c r="A12" s="196" t="s">
        <v>169</v>
      </c>
      <c r="D12" s="192" t="s">
        <v>137</v>
      </c>
    </row>
    <row r="13" spans="1:4" ht="12.75" x14ac:dyDescent="0.2">
      <c r="A13" s="196"/>
      <c r="D13" s="192" t="s">
        <v>138</v>
      </c>
    </row>
    <row r="14" spans="1:4" ht="12.75" x14ac:dyDescent="0.2">
      <c r="A14" s="196" t="s">
        <v>171</v>
      </c>
    </row>
    <row r="15" spans="1:4" ht="12.75" x14ac:dyDescent="0.2">
      <c r="A15" s="196"/>
      <c r="B15" s="194" t="s">
        <v>139</v>
      </c>
      <c r="D15" s="194">
        <v>2</v>
      </c>
    </row>
    <row r="16" spans="1:4" ht="12.75" x14ac:dyDescent="0.2">
      <c r="A16" s="196" t="s">
        <v>93</v>
      </c>
    </row>
    <row r="17" spans="1:14" ht="12.75" x14ac:dyDescent="0.2">
      <c r="A17" s="196" t="s">
        <v>96</v>
      </c>
      <c r="B17" s="194" t="s">
        <v>140</v>
      </c>
      <c r="C17" s="197" t="s">
        <v>141</v>
      </c>
      <c r="D17" s="192" t="s">
        <v>155</v>
      </c>
    </row>
    <row r="18" spans="1:14" ht="12.75" x14ac:dyDescent="0.2">
      <c r="A18" s="196" t="s">
        <v>94</v>
      </c>
      <c r="C18" s="198" t="s">
        <v>154</v>
      </c>
      <c r="D18" s="192" t="s">
        <v>159</v>
      </c>
    </row>
    <row r="19" spans="1:14" ht="12.75" x14ac:dyDescent="0.2">
      <c r="A19" s="196" t="s">
        <v>95</v>
      </c>
      <c r="C19" s="198" t="s">
        <v>156</v>
      </c>
      <c r="D19" s="192" t="s">
        <v>157</v>
      </c>
    </row>
    <row r="20" spans="1:14" x14ac:dyDescent="0.25">
      <c r="C20" s="198" t="s">
        <v>158</v>
      </c>
      <c r="D20" s="192" t="s">
        <v>160</v>
      </c>
    </row>
    <row r="21" spans="1:14" x14ac:dyDescent="0.25">
      <c r="C21" s="198" t="s">
        <v>161</v>
      </c>
      <c r="D21" s="192" t="s">
        <v>162</v>
      </c>
    </row>
    <row r="23" spans="1:14" x14ac:dyDescent="0.25">
      <c r="B23" s="194" t="s">
        <v>142</v>
      </c>
      <c r="C23" s="199" t="s">
        <v>143</v>
      </c>
      <c r="D23" s="192" t="s">
        <v>163</v>
      </c>
    </row>
    <row r="24" spans="1:14" x14ac:dyDescent="0.25">
      <c r="C24" s="199" t="s">
        <v>144</v>
      </c>
      <c r="D24" s="192" t="s">
        <v>164</v>
      </c>
    </row>
    <row r="25" spans="1:14" x14ac:dyDescent="0.25">
      <c r="C25" s="199" t="s">
        <v>145</v>
      </c>
      <c r="D25" s="192" t="s">
        <v>165</v>
      </c>
    </row>
    <row r="26" spans="1:14" x14ac:dyDescent="0.25">
      <c r="C26" s="199" t="s">
        <v>146</v>
      </c>
      <c r="D26" s="192" t="s">
        <v>149</v>
      </c>
    </row>
    <row r="27" spans="1:14" x14ac:dyDescent="0.25">
      <c r="C27" s="199" t="s">
        <v>147</v>
      </c>
      <c r="D27" s="192" t="s">
        <v>166</v>
      </c>
    </row>
    <row r="28" spans="1:14" x14ac:dyDescent="0.25">
      <c r="C28" s="199" t="s">
        <v>148</v>
      </c>
      <c r="D28" s="192" t="s">
        <v>167</v>
      </c>
    </row>
    <row r="30" spans="1:14" x14ac:dyDescent="0.25">
      <c r="B30" s="201" t="s">
        <v>174</v>
      </c>
      <c r="C30" s="202"/>
      <c r="D30" s="203" t="s">
        <v>175</v>
      </c>
      <c r="E30" s="204"/>
      <c r="F30" s="204"/>
      <c r="G30" s="204"/>
      <c r="H30" s="205"/>
      <c r="I30" s="205"/>
      <c r="J30" s="205"/>
      <c r="K30" s="205"/>
      <c r="L30" s="205"/>
      <c r="M30" s="205"/>
      <c r="N30" s="205"/>
    </row>
    <row r="31" spans="1:14" x14ac:dyDescent="0.25">
      <c r="B31" s="204"/>
      <c r="C31" s="204"/>
      <c r="D31" s="203" t="s">
        <v>176</v>
      </c>
      <c r="E31" s="204"/>
      <c r="F31" s="204"/>
      <c r="G31" s="204"/>
      <c r="H31" s="205"/>
      <c r="I31" s="205"/>
      <c r="J31" s="205"/>
      <c r="K31" s="205"/>
      <c r="L31" s="205"/>
      <c r="M31" s="205"/>
      <c r="N31" s="205"/>
    </row>
    <row r="32" spans="1:14" x14ac:dyDescent="0.25">
      <c r="B32" s="204"/>
      <c r="C32" s="204"/>
      <c r="D32" s="204"/>
      <c r="E32" s="204"/>
      <c r="F32" s="204"/>
      <c r="G32" s="204"/>
      <c r="H32" s="205"/>
      <c r="I32" s="205"/>
      <c r="J32" s="205"/>
      <c r="K32" s="205"/>
      <c r="L32" s="205"/>
      <c r="M32" s="205"/>
      <c r="N32" s="205"/>
    </row>
    <row r="33" spans="2:14" x14ac:dyDescent="0.25">
      <c r="B33" s="204"/>
      <c r="C33" s="206" t="s">
        <v>177</v>
      </c>
      <c r="D33" s="204" t="s">
        <v>178</v>
      </c>
      <c r="E33" s="204"/>
      <c r="F33" s="204"/>
      <c r="G33" s="204"/>
      <c r="H33" s="205"/>
      <c r="I33" s="205"/>
      <c r="J33" s="205"/>
      <c r="K33" s="205"/>
      <c r="L33" s="205"/>
      <c r="M33" s="205"/>
      <c r="N33" s="205"/>
    </row>
    <row r="34" spans="2:14" x14ac:dyDescent="0.25">
      <c r="B34" s="204"/>
      <c r="C34" s="204"/>
      <c r="D34" s="202"/>
      <c r="E34" s="204"/>
      <c r="F34" s="204"/>
      <c r="G34" s="204"/>
      <c r="H34" s="205"/>
      <c r="I34" s="205"/>
      <c r="J34" s="205"/>
      <c r="K34" s="205"/>
      <c r="L34" s="205"/>
      <c r="M34" s="205"/>
      <c r="N34" s="205"/>
    </row>
    <row r="35" spans="2:14" x14ac:dyDescent="0.25">
      <c r="B35" s="204"/>
      <c r="C35" s="204"/>
      <c r="D35" s="202"/>
      <c r="E35" s="204"/>
      <c r="F35" s="204"/>
      <c r="G35" s="204"/>
      <c r="H35" s="205"/>
      <c r="I35" s="205"/>
      <c r="J35" s="205"/>
      <c r="K35" s="205"/>
      <c r="L35" s="205"/>
      <c r="M35" s="205"/>
      <c r="N35" s="205"/>
    </row>
    <row r="36" spans="2:14" x14ac:dyDescent="0.25">
      <c r="B36" s="204"/>
      <c r="C36" s="204"/>
      <c r="D36" s="202"/>
      <c r="E36" s="204"/>
      <c r="F36" s="204"/>
      <c r="G36" s="204"/>
      <c r="H36" s="205"/>
      <c r="I36" s="205"/>
      <c r="J36" s="205"/>
      <c r="K36" s="205"/>
      <c r="L36" s="205"/>
      <c r="M36" s="205"/>
      <c r="N36" s="205"/>
    </row>
    <row r="37" spans="2:14" x14ac:dyDescent="0.25">
      <c r="B37" s="204"/>
      <c r="C37" s="204"/>
      <c r="D37" s="202"/>
      <c r="E37" s="204"/>
      <c r="F37" s="204"/>
      <c r="G37" s="204"/>
      <c r="H37" s="205"/>
      <c r="I37" s="205"/>
      <c r="J37" s="205"/>
      <c r="K37" s="205"/>
      <c r="L37" s="205"/>
      <c r="M37" s="205"/>
      <c r="N37" s="205"/>
    </row>
    <row r="38" spans="2:14" x14ac:dyDescent="0.25">
      <c r="B38" s="204"/>
      <c r="C38" s="204"/>
      <c r="D38" s="202"/>
      <c r="E38" s="204"/>
      <c r="F38" s="204"/>
      <c r="G38" s="204"/>
      <c r="H38" s="205"/>
      <c r="I38" s="205"/>
      <c r="J38" s="205"/>
      <c r="K38" s="205"/>
      <c r="L38" s="205"/>
      <c r="M38" s="205"/>
      <c r="N38" s="205"/>
    </row>
    <row r="39" spans="2:14" x14ac:dyDescent="0.25">
      <c r="B39" s="204"/>
      <c r="C39" s="206" t="s">
        <v>179</v>
      </c>
      <c r="D39" s="204" t="s">
        <v>180</v>
      </c>
      <c r="E39" s="204"/>
      <c r="F39" s="204"/>
      <c r="G39" s="204"/>
      <c r="H39" s="205"/>
      <c r="I39" s="205"/>
      <c r="J39" s="205"/>
      <c r="K39" s="205"/>
      <c r="L39" s="205"/>
      <c r="M39" s="205"/>
      <c r="N39" s="205"/>
    </row>
    <row r="40" spans="2:14" x14ac:dyDescent="0.25">
      <c r="B40" s="204"/>
      <c r="C40" s="204"/>
      <c r="D40" s="204"/>
      <c r="E40" s="204"/>
      <c r="F40" s="204"/>
      <c r="G40" s="204"/>
      <c r="H40" s="205"/>
      <c r="I40" s="205"/>
      <c r="J40" s="205"/>
      <c r="K40" s="205"/>
      <c r="L40" s="205"/>
      <c r="M40" s="205"/>
      <c r="N40" s="205"/>
    </row>
    <row r="41" spans="2:14" x14ac:dyDescent="0.25">
      <c r="B41" s="204"/>
      <c r="C41" s="206" t="s">
        <v>181</v>
      </c>
      <c r="D41" s="204" t="s">
        <v>182</v>
      </c>
      <c r="E41" s="204"/>
      <c r="F41" s="204"/>
      <c r="G41" s="204"/>
      <c r="H41" s="205"/>
      <c r="I41" s="205"/>
      <c r="J41" s="205"/>
      <c r="K41" s="205"/>
      <c r="L41" s="205"/>
      <c r="M41" s="205"/>
      <c r="N41" s="205"/>
    </row>
    <row r="42" spans="2:14" x14ac:dyDescent="0.25">
      <c r="B42" s="204"/>
      <c r="C42" s="204"/>
      <c r="D42" s="204"/>
      <c r="E42" s="204"/>
      <c r="F42" s="204"/>
      <c r="G42" s="204"/>
      <c r="H42" s="205"/>
      <c r="I42" s="205"/>
      <c r="J42" s="205"/>
      <c r="K42" s="205"/>
      <c r="L42" s="205"/>
      <c r="M42" s="205"/>
      <c r="N42" s="205"/>
    </row>
    <row r="43" spans="2:14" x14ac:dyDescent="0.25">
      <c r="B43" s="204"/>
      <c r="C43" s="204"/>
      <c r="D43" s="204"/>
      <c r="E43" s="204"/>
      <c r="F43" s="204"/>
      <c r="G43" s="204"/>
      <c r="H43" s="205"/>
      <c r="I43" s="205"/>
      <c r="J43" s="205"/>
      <c r="K43" s="205"/>
      <c r="L43" s="205"/>
      <c r="M43" s="205"/>
      <c r="N43" s="205"/>
    </row>
    <row r="44" spans="2:14" x14ac:dyDescent="0.25">
      <c r="B44" s="204"/>
      <c r="C44" s="204"/>
      <c r="D44" s="204"/>
      <c r="E44" s="204"/>
      <c r="F44" s="204"/>
      <c r="G44" s="204"/>
      <c r="H44" s="205"/>
      <c r="I44" s="205"/>
      <c r="J44" s="205"/>
      <c r="K44" s="205"/>
      <c r="L44" s="205"/>
      <c r="M44" s="205"/>
      <c r="N44" s="205"/>
    </row>
    <row r="45" spans="2:14" x14ac:dyDescent="0.25">
      <c r="B45" s="204"/>
      <c r="C45" s="204"/>
      <c r="D45" s="204"/>
      <c r="E45" s="204"/>
      <c r="F45" s="204"/>
      <c r="G45" s="204"/>
      <c r="H45" s="205"/>
      <c r="I45" s="205"/>
      <c r="J45" s="205"/>
      <c r="K45" s="205"/>
      <c r="L45" s="205"/>
      <c r="M45" s="205"/>
      <c r="N45" s="205"/>
    </row>
    <row r="46" spans="2:14" x14ac:dyDescent="0.25">
      <c r="B46" s="204"/>
      <c r="C46" s="204"/>
      <c r="D46" s="204"/>
      <c r="E46" s="204"/>
      <c r="F46" s="204"/>
      <c r="G46" s="204"/>
      <c r="H46" s="205"/>
      <c r="I46" s="205"/>
      <c r="J46" s="205"/>
      <c r="K46" s="205"/>
      <c r="L46" s="205"/>
      <c r="M46" s="205"/>
      <c r="N46" s="205"/>
    </row>
    <row r="47" spans="2:14" x14ac:dyDescent="0.25">
      <c r="B47" s="204"/>
      <c r="C47" s="206" t="s">
        <v>183</v>
      </c>
      <c r="D47" s="204" t="s">
        <v>184</v>
      </c>
      <c r="E47" s="204"/>
      <c r="F47" s="204"/>
      <c r="G47" s="204"/>
      <c r="H47" s="205"/>
      <c r="I47" s="205"/>
      <c r="J47" s="205"/>
      <c r="K47" s="205"/>
      <c r="L47" s="205"/>
      <c r="M47" s="205"/>
      <c r="N47" s="205"/>
    </row>
    <row r="48" spans="2:14" x14ac:dyDescent="0.25">
      <c r="B48" s="204"/>
      <c r="C48" s="204"/>
      <c r="D48" s="204"/>
      <c r="E48" s="204"/>
      <c r="F48" s="204"/>
      <c r="G48" s="204"/>
      <c r="H48" s="205"/>
      <c r="I48" s="205"/>
      <c r="J48" s="205"/>
      <c r="K48" s="205"/>
      <c r="L48" s="205"/>
      <c r="M48" s="205"/>
      <c r="N48" s="205"/>
    </row>
    <row r="49" spans="2:14" x14ac:dyDescent="0.25">
      <c r="B49" s="204"/>
      <c r="C49" s="204"/>
      <c r="D49" s="204"/>
      <c r="E49" s="204"/>
      <c r="F49" s="204"/>
      <c r="G49" s="204"/>
      <c r="H49" s="205"/>
      <c r="I49" s="205"/>
      <c r="J49" s="205"/>
      <c r="K49" s="205"/>
      <c r="L49" s="205"/>
      <c r="M49" s="205"/>
      <c r="N49" s="205"/>
    </row>
    <row r="50" spans="2:14" x14ac:dyDescent="0.25">
      <c r="B50" s="204"/>
      <c r="C50" s="204"/>
      <c r="D50" s="204"/>
      <c r="E50" s="204"/>
      <c r="F50" s="204"/>
      <c r="G50" s="204"/>
      <c r="H50" s="205"/>
      <c r="I50" s="205"/>
      <c r="J50" s="205"/>
      <c r="K50" s="205"/>
      <c r="L50" s="205"/>
      <c r="M50" s="205"/>
      <c r="N50" s="205"/>
    </row>
    <row r="51" spans="2:14" x14ac:dyDescent="0.25">
      <c r="B51" s="204"/>
      <c r="C51" s="204"/>
      <c r="D51" s="204"/>
      <c r="E51" s="204"/>
      <c r="F51" s="204"/>
      <c r="G51" s="204"/>
      <c r="H51" s="205"/>
      <c r="I51" s="205"/>
      <c r="J51" s="205"/>
      <c r="K51" s="205"/>
      <c r="L51" s="205"/>
      <c r="M51" s="205"/>
      <c r="N51" s="205"/>
    </row>
    <row r="52" spans="2:14" x14ac:dyDescent="0.25">
      <c r="B52" s="204"/>
      <c r="C52" s="204"/>
      <c r="D52" s="204"/>
      <c r="E52" s="204"/>
      <c r="F52" s="204"/>
      <c r="G52" s="204"/>
      <c r="H52" s="205"/>
      <c r="I52" s="205"/>
      <c r="J52" s="205"/>
      <c r="K52" s="205"/>
      <c r="L52" s="205"/>
      <c r="M52" s="205"/>
      <c r="N52" s="205"/>
    </row>
    <row r="53" spans="2:14" x14ac:dyDescent="0.25">
      <c r="B53" s="204"/>
      <c r="C53" s="204"/>
      <c r="D53" s="203"/>
      <c r="E53" s="204"/>
      <c r="F53" s="204"/>
      <c r="G53" s="204"/>
      <c r="H53" s="205"/>
      <c r="I53" s="205"/>
      <c r="J53" s="205"/>
      <c r="K53" s="205"/>
      <c r="L53" s="205"/>
      <c r="M53" s="205"/>
      <c r="N53" s="205"/>
    </row>
    <row r="54" spans="2:14" x14ac:dyDescent="0.25">
      <c r="B54" s="204"/>
      <c r="C54" s="204"/>
      <c r="D54" s="205"/>
      <c r="E54" s="204"/>
      <c r="F54" s="204"/>
      <c r="G54" s="204"/>
      <c r="H54" s="205"/>
      <c r="I54" s="205"/>
      <c r="J54" s="205"/>
      <c r="K54" s="205"/>
      <c r="L54" s="205"/>
      <c r="M54" s="205"/>
      <c r="N54" s="205"/>
    </row>
    <row r="55" spans="2:14" x14ac:dyDescent="0.25">
      <c r="B55" s="204"/>
      <c r="C55" s="204"/>
      <c r="D55" s="207"/>
      <c r="E55" s="204"/>
      <c r="F55" s="204"/>
      <c r="G55" s="204"/>
      <c r="H55" s="205"/>
      <c r="I55" s="205"/>
      <c r="J55" s="205"/>
      <c r="K55" s="205"/>
      <c r="L55" s="205"/>
      <c r="M55" s="205"/>
      <c r="N55" s="205"/>
    </row>
    <row r="56" spans="2:14" x14ac:dyDescent="0.25">
      <c r="B56" s="204"/>
      <c r="C56" s="204"/>
      <c r="D56" s="205"/>
      <c r="E56" s="204"/>
      <c r="F56" s="204"/>
      <c r="G56" s="204"/>
      <c r="H56" s="205"/>
      <c r="I56" s="205"/>
      <c r="J56" s="205"/>
      <c r="K56" s="205"/>
      <c r="L56" s="205"/>
      <c r="M56" s="205"/>
      <c r="N56" s="205"/>
    </row>
    <row r="57" spans="2:14" x14ac:dyDescent="0.25">
      <c r="B57" s="204"/>
      <c r="C57" s="204"/>
      <c r="D57" s="205"/>
      <c r="E57" s="204"/>
      <c r="F57" s="204"/>
      <c r="G57" s="204"/>
      <c r="H57" s="205"/>
      <c r="I57" s="205"/>
      <c r="J57" s="205"/>
      <c r="K57" s="205"/>
      <c r="L57" s="205"/>
      <c r="M57" s="205"/>
      <c r="N57" s="205"/>
    </row>
    <row r="58" spans="2:14" x14ac:dyDescent="0.25">
      <c r="B58" s="204"/>
      <c r="C58" s="204"/>
      <c r="D58" s="205"/>
      <c r="E58" s="204"/>
      <c r="F58" s="204"/>
      <c r="G58" s="204"/>
      <c r="H58" s="205"/>
      <c r="I58" s="205"/>
      <c r="J58" s="205"/>
      <c r="K58" s="205"/>
      <c r="L58" s="205"/>
      <c r="M58" s="205"/>
      <c r="N58" s="205"/>
    </row>
    <row r="59" spans="2:14" x14ac:dyDescent="0.25"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</row>
  </sheetData>
  <conditionalFormatting sqref="D15">
    <cfRule type="iconSet" priority="1">
      <iconSet reverse="1">
        <cfvo type="percent" val="0"/>
        <cfvo type="num" val="1" gte="0"/>
        <cfvo type="num" val="2" gte="0"/>
      </iconSet>
    </cfRule>
  </conditionalFormatting>
  <hyperlinks>
    <hyperlink ref="A8" location="Mapping!A1" display="Mapping" xr:uid="{1D0E9443-E806-43A0-8290-8769E76BE855}"/>
    <hyperlink ref="A11" location="'Sales Data'!A1" display="Sales Data" xr:uid="{7D66AF0E-9AAF-4AFA-B629-B229DC70B1C7}"/>
    <hyperlink ref="A14" location="Summary!A1" display="Summary" xr:uid="{307E623C-EDF8-47FB-AD6C-715656A89BD3}"/>
    <hyperlink ref="A16" location="Chairs!A1" display="Chairs" xr:uid="{75ED57E3-11EC-46D7-86E6-D0807D839B2B}"/>
    <hyperlink ref="A17" location="Tables!A1" display="Tables" xr:uid="{E294D6DF-794A-4B85-9B12-36AF190F194F}"/>
    <hyperlink ref="A12" location="'Units sold'!A1" display="Units sold" xr:uid="{8EABB13D-476E-4D3B-999E-5A250DA75C1C}"/>
    <hyperlink ref="A9" location="'Bridges for Trends'!A1" display="Bridges for Trends" xr:uid="{03B4C693-F9A6-46F6-AF44-FD5F3D2BAD6A}"/>
    <hyperlink ref="A18" location="Kitchen!A1" display="Kitchen" xr:uid="{C534A09C-90BD-4A5F-940E-B85B1D43644E}"/>
    <hyperlink ref="A19" location="Accessories!A1" display="Accessories" xr:uid="{490AE4F6-ADCC-4FE8-BBB1-2B425420CA75}"/>
  </hyperlinks>
  <pageMargins left="0.7" right="0.7" top="0.75" bottom="0.75" header="0.3" footer="0.3"/>
  <pageSetup paperSize="9" orientation="portrait" horizontalDpi="200" verticalDpi="200" r:id="rId1"/>
  <customProperties>
    <customPr name="EpmWorksheetKeyString_GUID" r:id="rId2"/>
  </customPropertie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A04BB-A3D7-496B-B6D5-720DB67DD505}">
  <sheetPr codeName="Sheet97">
    <tabColor rgb="FF50B47F"/>
  </sheetPr>
  <dimension ref="A1:CE116"/>
  <sheetViews>
    <sheetView showGridLines="0" topLeftCell="D10" zoomScale="70" zoomScaleNormal="70" workbookViewId="0">
      <selection activeCell="O20" sqref="O20"/>
    </sheetView>
  </sheetViews>
  <sheetFormatPr defaultColWidth="8.7109375" defaultRowHeight="12.75" outlineLevelCol="1" x14ac:dyDescent="0.2"/>
  <cols>
    <col min="1" max="1" width="26.42578125" style="1" hidden="1" customWidth="1" outlineLevel="1"/>
    <col min="2" max="2" width="19.140625" style="1" hidden="1" customWidth="1" outlineLevel="1"/>
    <col min="3" max="3" width="8.7109375" style="1" hidden="1" customWidth="1" outlineLevel="1"/>
    <col min="4" max="4" width="2.7109375" style="1" customWidth="1" collapsed="1"/>
    <col min="5" max="5" width="28.85546875" style="1" customWidth="1"/>
    <col min="6" max="17" width="11.7109375" style="1" customWidth="1"/>
    <col min="18" max="18" width="10.28515625" style="1" customWidth="1"/>
    <col min="19" max="19" width="2.28515625" style="1" customWidth="1"/>
    <col min="20" max="20" width="19" style="1" customWidth="1"/>
    <col min="21" max="24" width="8.7109375" style="1" customWidth="1"/>
    <col min="25" max="25" width="3" style="1" customWidth="1"/>
    <col min="26" max="26" width="19" style="1" customWidth="1"/>
    <col min="27" max="27" width="11" style="1" customWidth="1"/>
    <col min="28" max="30" width="8.7109375" style="1" customWidth="1"/>
    <col min="31" max="32" width="12.7109375" style="1" customWidth="1"/>
    <col min="33" max="33" width="28.42578125" style="1" hidden="1" customWidth="1" outlineLevel="1"/>
    <col min="34" max="34" width="15.5703125" style="1" hidden="1" customWidth="1" outlineLevel="1"/>
    <col min="35" max="35" width="9.85546875" style="1" hidden="1" customWidth="1" outlineLevel="1"/>
    <col min="36" max="36" width="9.42578125" style="1" hidden="1" customWidth="1" outlineLevel="1"/>
    <col min="37" max="37" width="10.140625" style="69" hidden="1" customWidth="1" outlineLevel="1"/>
    <col min="38" max="38" width="9.85546875" style="69" hidden="1" customWidth="1" outlineLevel="1"/>
    <col min="39" max="39" width="10.140625" style="69" hidden="1" customWidth="1" outlineLevel="1"/>
    <col min="40" max="41" width="9.42578125" style="69" hidden="1" customWidth="1" outlineLevel="1"/>
    <col min="42" max="42" width="10.140625" style="69" hidden="1" customWidth="1" outlineLevel="1"/>
    <col min="43" max="43" width="9.85546875" style="69" hidden="1" customWidth="1" outlineLevel="1"/>
    <col min="44" max="44" width="10.140625" style="69" hidden="1" customWidth="1" outlineLevel="1"/>
    <col min="45" max="46" width="9.85546875" style="69" hidden="1" customWidth="1" outlineLevel="1"/>
    <col min="47" max="47" width="11.28515625" style="69" hidden="1" customWidth="1" outlineLevel="1"/>
    <col min="48" max="48" width="9.42578125" style="69" hidden="1" customWidth="1" outlineLevel="1"/>
    <col min="49" max="49" width="10.140625" style="69" hidden="1" customWidth="1" outlineLevel="1"/>
    <col min="50" max="50" width="9.85546875" style="69" hidden="1" customWidth="1" outlineLevel="1"/>
    <col min="51" max="51" width="10.140625" style="69" hidden="1" customWidth="1" outlineLevel="1"/>
    <col min="52" max="52" width="9.42578125" style="69" hidden="1" customWidth="1" outlineLevel="1"/>
    <col min="53" max="53" width="9.140625" style="69" hidden="1" customWidth="1" outlineLevel="1"/>
    <col min="54" max="54" width="9.85546875" style="69" hidden="1" customWidth="1" outlineLevel="1"/>
    <col min="55" max="56" width="9.42578125" style="69" hidden="1" customWidth="1" outlineLevel="1"/>
    <col min="57" max="57" width="9.85546875" style="69" hidden="1" customWidth="1" outlineLevel="1"/>
    <col min="58" max="58" width="18.140625" style="69" hidden="1" customWidth="1" outlineLevel="1"/>
    <col min="59" max="59" width="17.7109375" style="69" hidden="1" customWidth="1" outlineLevel="1"/>
    <col min="60" max="71" width="10.7109375" style="69" hidden="1" customWidth="1" outlineLevel="1"/>
    <col min="72" max="72" width="17.42578125" style="69" customWidth="1" collapsed="1"/>
    <col min="73" max="73" width="12.7109375" style="69" customWidth="1"/>
    <col min="74" max="74" width="15.42578125" style="69" customWidth="1"/>
    <col min="75" max="208" width="9.7109375" style="1" customWidth="1"/>
    <col min="209" max="16384" width="8.7109375" style="1"/>
  </cols>
  <sheetData>
    <row r="1" spans="1:83" x14ac:dyDescent="0.2">
      <c r="J1" s="67"/>
      <c r="U1" s="29"/>
      <c r="AG1" s="68"/>
      <c r="AH1" s="68"/>
      <c r="AI1" s="68"/>
      <c r="AJ1" s="69"/>
      <c r="BW1" s="69"/>
      <c r="BX1" s="70"/>
      <c r="BY1" s="70"/>
      <c r="BZ1" s="70"/>
      <c r="CA1" s="70"/>
    </row>
    <row r="2" spans="1:83" ht="16.899999999999999" customHeight="1" x14ac:dyDescent="0.2">
      <c r="E2" s="71" t="s">
        <v>95</v>
      </c>
      <c r="I2" s="67"/>
      <c r="J2" s="67"/>
      <c r="K2" s="67"/>
      <c r="L2" s="67"/>
      <c r="M2" s="67"/>
      <c r="N2" s="72"/>
      <c r="O2" s="72"/>
      <c r="P2" s="67"/>
      <c r="Q2" s="67"/>
      <c r="R2" s="73"/>
      <c r="S2" s="74"/>
      <c r="AG2" s="68"/>
      <c r="AH2" s="68"/>
      <c r="AI2" s="68"/>
      <c r="AJ2" s="69"/>
    </row>
    <row r="3" spans="1:83" ht="10.15" customHeight="1" x14ac:dyDescent="0.35">
      <c r="E3" s="75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6"/>
      <c r="S3" s="74"/>
      <c r="AG3" s="68"/>
      <c r="AH3" s="68"/>
      <c r="AI3" s="68"/>
      <c r="AJ3" s="69"/>
    </row>
    <row r="4" spans="1:83" ht="17.25" customHeight="1" x14ac:dyDescent="0.25">
      <c r="E4" s="77"/>
      <c r="T4" s="78" t="s">
        <v>54</v>
      </c>
      <c r="Z4" s="78" t="s">
        <v>98</v>
      </c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BF4" s="6" t="s">
        <v>85</v>
      </c>
      <c r="BG4" s="6" t="s">
        <v>84</v>
      </c>
    </row>
    <row r="5" spans="1:83" ht="15.75" x14ac:dyDescent="0.25">
      <c r="E5" s="71" t="s">
        <v>54</v>
      </c>
      <c r="F5" s="79" t="str">
        <f>Mapping!$D$2</f>
        <v>Jan</v>
      </c>
      <c r="G5" s="79" t="str">
        <f>Mapping!$D$3</f>
        <v>Feb</v>
      </c>
      <c r="H5" s="79" t="str">
        <f>Mapping!$D$4</f>
        <v>Mar</v>
      </c>
      <c r="I5" s="79" t="str">
        <f>Mapping!$D$5</f>
        <v>Apr</v>
      </c>
      <c r="J5" s="79" t="str">
        <f>Mapping!$D$6</f>
        <v>May</v>
      </c>
      <c r="K5" s="79" t="str">
        <f>Mapping!$D$7</f>
        <v>Jun</v>
      </c>
      <c r="L5" s="79" t="str">
        <f>Mapping!$D$8</f>
        <v>Jul</v>
      </c>
      <c r="M5" s="79" t="str">
        <f>Mapping!$D$9</f>
        <v>Aug</v>
      </c>
      <c r="N5" s="79" t="str">
        <f>Mapping!$D$10</f>
        <v>Sep</v>
      </c>
      <c r="O5" s="79" t="str">
        <f>Mapping!$D$11</f>
        <v>Oct</v>
      </c>
      <c r="P5" s="79" t="str">
        <f>Mapping!$D$12</f>
        <v>Nov</v>
      </c>
      <c r="Q5" s="79" t="str">
        <f>Mapping!$D$13</f>
        <v>Dec</v>
      </c>
      <c r="R5" s="80" t="s">
        <v>14</v>
      </c>
      <c r="S5" s="81"/>
      <c r="T5" s="82" t="str">
        <f>Z5</f>
        <v>Forecast based on:</v>
      </c>
      <c r="U5" s="83"/>
      <c r="V5" s="84"/>
      <c r="W5" s="85" t="str">
        <f>AC5</f>
        <v>FY</v>
      </c>
      <c r="X5" s="85" t="str">
        <f>AD5</f>
        <v>vs. LO</v>
      </c>
      <c r="Y5" s="68"/>
      <c r="Z5" s="82" t="s">
        <v>19</v>
      </c>
      <c r="AA5" s="83"/>
      <c r="AB5" s="84"/>
      <c r="AC5" s="85" t="s">
        <v>14</v>
      </c>
      <c r="AD5" s="86" t="s">
        <v>20</v>
      </c>
      <c r="AE5" s="68"/>
      <c r="AF5" s="68"/>
      <c r="AG5" s="87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BF5" s="88">
        <f>Summary!$D$3</f>
        <v>7</v>
      </c>
      <c r="BG5" s="88">
        <f>BF5-1</f>
        <v>6</v>
      </c>
    </row>
    <row r="6" spans="1:83" ht="15" x14ac:dyDescent="0.25">
      <c r="A6" s="89">
        <f>Summary!$C$2-2</f>
        <v>2018</v>
      </c>
      <c r="B6" s="90" t="str">
        <f>Mapping!$B$2</f>
        <v>Actual</v>
      </c>
      <c r="E6" s="91" t="str">
        <f>A6&amp;" "&amp;B6</f>
        <v>2018 Actual</v>
      </c>
      <c r="F6" s="92">
        <f>SUMIFS('Units sold'!$E:$E,'Units sold'!$A:$A,$E$2,'Units sold'!$B:$B,F$5&amp;" "&amp;$A6,'Units sold'!$C:$C,"Periodic")</f>
        <v>992</v>
      </c>
      <c r="G6" s="92">
        <f>SUMIFS('Units sold'!$E:$E,'Units sold'!$A:$A,$E$2,'Units sold'!$B:$B,G$5&amp;" "&amp;$A6,'Units sold'!$C:$C,"Periodic")</f>
        <v>1040</v>
      </c>
      <c r="H6" s="92">
        <f>SUMIFS('Units sold'!$E:$E,'Units sold'!$A:$A,$E$2,'Units sold'!$B:$B,H$5&amp;" "&amp;$A6,'Units sold'!$C:$C,"Periodic")</f>
        <v>1152</v>
      </c>
      <c r="I6" s="92">
        <f>SUMIFS('Units sold'!$E:$E,'Units sold'!$A:$A,$E$2,'Units sold'!$B:$B,I$5&amp;" "&amp;$A6,'Units sold'!$C:$C,"Periodic")</f>
        <v>1104</v>
      </c>
      <c r="J6" s="92">
        <f>SUMIFS('Units sold'!$E:$E,'Units sold'!$A:$A,$E$2,'Units sold'!$B:$B,J$5&amp;" "&amp;$A6,'Units sold'!$C:$C,"Periodic")</f>
        <v>1330</v>
      </c>
      <c r="K6" s="92">
        <f>SUMIFS('Units sold'!$E:$E,'Units sold'!$A:$A,$E$2,'Units sold'!$B:$B,K$5&amp;" "&amp;$A6,'Units sold'!$C:$C,"Periodic")</f>
        <v>1158</v>
      </c>
      <c r="L6" s="92">
        <f>SUMIFS('Units sold'!$E:$E,'Units sold'!$A:$A,$E$2,'Units sold'!$B:$B,L$5&amp;" "&amp;$A6,'Units sold'!$C:$C,"Periodic")</f>
        <v>1196</v>
      </c>
      <c r="M6" s="92">
        <f>SUMIFS('Units sold'!$E:$E,'Units sold'!$A:$A,$E$2,'Units sold'!$B:$B,M$5&amp;" "&amp;$A6,'Units sold'!$C:$C,"Periodic")</f>
        <v>1310</v>
      </c>
      <c r="N6" s="92">
        <f>SUMIFS('Units sold'!$E:$E,'Units sold'!$A:$A,$E$2,'Units sold'!$B:$B,N$5&amp;" "&amp;$A6,'Units sold'!$C:$C,"Periodic")</f>
        <v>1196</v>
      </c>
      <c r="O6" s="92">
        <f>SUMIFS('Units sold'!$E:$E,'Units sold'!$A:$A,$E$2,'Units sold'!$B:$B,O$5&amp;" "&amp;$A6,'Units sold'!$C:$C,"Periodic")</f>
        <v>1192</v>
      </c>
      <c r="P6" s="92">
        <f>SUMIFS('Units sold'!$E:$E,'Units sold'!$A:$A,$E$2,'Units sold'!$B:$B,P$5&amp;" "&amp;$A6,'Units sold'!$C:$C,"Periodic")</f>
        <v>1366</v>
      </c>
      <c r="Q6" s="92">
        <f>SUMIFS('Units sold'!$E:$E,'Units sold'!$A:$A,$E$2,'Units sold'!$B:$B,Q$5&amp;" "&amp;$A6,'Units sold'!$C:$C,"Periodic")</f>
        <v>1310</v>
      </c>
      <c r="R6" s="93">
        <f t="shared" ref="R6:R10" si="0">SUM(F6:Q6)</f>
        <v>14346</v>
      </c>
      <c r="S6" s="94"/>
      <c r="T6" s="95" t="str">
        <f t="shared" ref="T6:T9" si="1">Z6</f>
        <v>3-month Rolling Rate</v>
      </c>
      <c r="U6" s="96"/>
      <c r="V6" s="97"/>
      <c r="W6" s="98">
        <f>(SUM(AR8:AT8)/3*Summary!$E$3)+R9</f>
        <v>11550</v>
      </c>
      <c r="X6" s="99">
        <f>$W$6-$R$8</f>
        <v>-8591.3593376000026</v>
      </c>
      <c r="Y6" s="68"/>
      <c r="Z6" s="95" t="s">
        <v>129</v>
      </c>
      <c r="AA6" s="96"/>
      <c r="AB6" s="97"/>
      <c r="AC6" s="98">
        <f>(SUM(AR9:AT9)/3*Summary!$E$3)+R16</f>
        <v>15745.227913298999</v>
      </c>
      <c r="AD6" s="99">
        <f>$AC$6-$R$15</f>
        <v>-9314.8820157745449</v>
      </c>
      <c r="AE6" s="27"/>
      <c r="AF6" s="68"/>
      <c r="AG6" s="87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BF6" s="6" t="s">
        <v>27</v>
      </c>
      <c r="BG6" s="100">
        <v>1</v>
      </c>
      <c r="BH6" s="100">
        <v>2</v>
      </c>
      <c r="BI6" s="100">
        <v>3</v>
      </c>
      <c r="BJ6" s="100">
        <v>4</v>
      </c>
      <c r="BK6" s="100">
        <v>5</v>
      </c>
      <c r="BL6" s="100">
        <v>6</v>
      </c>
      <c r="BM6" s="100">
        <v>7</v>
      </c>
      <c r="BN6" s="100">
        <v>8</v>
      </c>
      <c r="BO6" s="100">
        <v>9</v>
      </c>
      <c r="BP6" s="100">
        <v>10</v>
      </c>
      <c r="BQ6" s="100">
        <v>11</v>
      </c>
      <c r="BR6" s="100">
        <v>12</v>
      </c>
    </row>
    <row r="7" spans="1:83" ht="15" x14ac:dyDescent="0.25">
      <c r="A7" s="89">
        <f>Summary!$C$2-1</f>
        <v>2019</v>
      </c>
      <c r="B7" s="90" t="str">
        <f>Mapping!$B$2</f>
        <v>Actual</v>
      </c>
      <c r="E7" s="91" t="str">
        <f>A7&amp;" "&amp;B7</f>
        <v>2019 Actual</v>
      </c>
      <c r="F7" s="92">
        <f>SUMIFS('Units sold'!$E:$E,'Units sold'!$A:$A,$E$2,'Units sold'!$B:$B,F$5&amp;" "&amp;$A7,'Units sold'!$C:$C,"Periodic")</f>
        <v>1252</v>
      </c>
      <c r="G7" s="92">
        <f>SUMIFS('Units sold'!$E:$E,'Units sold'!$A:$A,$E$2,'Units sold'!$B:$B,G$5&amp;" "&amp;$A7,'Units sold'!$C:$C,"Periodic")</f>
        <v>1444</v>
      </c>
      <c r="H7" s="92">
        <f>SUMIFS('Units sold'!$E:$E,'Units sold'!$A:$A,$E$2,'Units sold'!$B:$B,H$5&amp;" "&amp;$A7,'Units sold'!$C:$C,"Periodic")</f>
        <v>1136</v>
      </c>
      <c r="I7" s="92">
        <f>SUMIFS('Units sold'!$E:$E,'Units sold'!$A:$A,$E$2,'Units sold'!$B:$B,I$5&amp;" "&amp;$A7,'Units sold'!$C:$C,"Periodic")</f>
        <v>1582</v>
      </c>
      <c r="J7" s="92">
        <f>SUMIFS('Units sold'!$E:$E,'Units sold'!$A:$A,$E$2,'Units sold'!$B:$B,J$5&amp;" "&amp;$A7,'Units sold'!$C:$C,"Periodic")</f>
        <v>1440</v>
      </c>
      <c r="K7" s="92">
        <f>SUMIFS('Units sold'!$E:$E,'Units sold'!$A:$A,$E$2,'Units sold'!$B:$B,K$5&amp;" "&amp;$A7,'Units sold'!$C:$C,"Periodic")</f>
        <v>1258</v>
      </c>
      <c r="L7" s="92">
        <f>SUMIFS('Units sold'!$E:$E,'Units sold'!$A:$A,$E$2,'Units sold'!$B:$B,L$5&amp;" "&amp;$A7,'Units sold'!$C:$C,"Periodic")</f>
        <v>1734</v>
      </c>
      <c r="M7" s="92">
        <f>SUMIFS('Units sold'!$E:$E,'Units sold'!$A:$A,$E$2,'Units sold'!$B:$B,M$5&amp;" "&amp;$A7,'Units sold'!$C:$C,"Periodic")</f>
        <v>1292</v>
      </c>
      <c r="N7" s="92">
        <f>SUMIFS('Units sold'!$E:$E,'Units sold'!$A:$A,$E$2,'Units sold'!$B:$B,N$5&amp;" "&amp;$A7,'Units sold'!$C:$C,"Periodic")</f>
        <v>1418</v>
      </c>
      <c r="O7" s="92">
        <f>SUMIFS('Units sold'!$E:$E,'Units sold'!$A:$A,$E$2,'Units sold'!$B:$B,O$5&amp;" "&amp;$A7,'Units sold'!$C:$C,"Periodic")</f>
        <v>1532</v>
      </c>
      <c r="P7" s="92">
        <f>SUMIFS('Units sold'!$E:$E,'Units sold'!$A:$A,$E$2,'Units sold'!$B:$B,P$5&amp;" "&amp;$A7,'Units sold'!$C:$C,"Periodic")</f>
        <v>1394</v>
      </c>
      <c r="Q7" s="92">
        <f>SUMIFS('Units sold'!$E:$E,'Units sold'!$A:$A,$E$2,'Units sold'!$B:$B,Q$5&amp;" "&amp;$A7,'Units sold'!$C:$C,"Periodic")</f>
        <v>1544</v>
      </c>
      <c r="R7" s="93">
        <f t="shared" si="0"/>
        <v>17026</v>
      </c>
      <c r="S7" s="94"/>
      <c r="T7" s="101" t="str">
        <f t="shared" si="1"/>
        <v>2020 Trend 6 months</v>
      </c>
      <c r="V7" s="102"/>
      <c r="W7" s="103">
        <f>BS22</f>
        <v>20651.894223563635</v>
      </c>
      <c r="X7" s="99">
        <f>$W$7-$R$8</f>
        <v>510.53488596363241</v>
      </c>
      <c r="Y7" s="68"/>
      <c r="Z7" s="101" t="str">
        <f>A9&amp;" Trend 6 months"</f>
        <v>2020 Trend 6 months</v>
      </c>
      <c r="AB7" s="102"/>
      <c r="AC7" s="103">
        <f>BS40</f>
        <v>26588.495934461938</v>
      </c>
      <c r="AD7" s="99">
        <f>$AC$7-$R$15</f>
        <v>1528.3860053883946</v>
      </c>
      <c r="AE7" s="68"/>
      <c r="AF7" s="68"/>
      <c r="AG7" s="27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</row>
    <row r="8" spans="1:83" ht="15" x14ac:dyDescent="0.25">
      <c r="A8" s="89">
        <f>Summary!$C$2</f>
        <v>2020</v>
      </c>
      <c r="B8" s="90" t="str">
        <f>Mapping!$B$3</f>
        <v>Budget</v>
      </c>
      <c r="E8" s="105" t="str">
        <f>A8&amp;" "&amp;B8</f>
        <v>2020 Budget</v>
      </c>
      <c r="F8" s="106">
        <f>SUMIFS('Units sold'!$D:$D,'Units sold'!$A:$A,$E$2,'Units sold'!$B:$B,F$5&amp;" "&amp;$A8,'Units sold'!$C:$C,"Periodic")</f>
        <v>1517.0348428</v>
      </c>
      <c r="G8" s="106">
        <f>SUMIFS('Units sold'!$D:$D,'Units sold'!$A:$A,$E$2,'Units sold'!$B:$B,G$5&amp;" "&amp;$A8,'Units sold'!$C:$C,"Periodic")</f>
        <v>1738.5623352</v>
      </c>
      <c r="H8" s="106">
        <f>SUMIFS('Units sold'!$D:$D,'Units sold'!$A:$A,$E$2,'Units sold'!$B:$B,H$5&amp;" "&amp;$A8,'Units sold'!$C:$C,"Periodic")</f>
        <v>1500.2340976</v>
      </c>
      <c r="I8" s="106">
        <f>SUMIFS('Units sold'!$D:$D,'Units sold'!$A:$A,$E$2,'Units sold'!$B:$B,I$5&amp;" "&amp;$A8,'Units sold'!$C:$C,"Periodic")</f>
        <v>1771.7410027999999</v>
      </c>
      <c r="J8" s="106">
        <f>SUMIFS('Units sold'!$D:$D,'Units sold'!$A:$A,$E$2,'Units sold'!$B:$B,J$5&amp;" "&amp;$A8,'Units sold'!$C:$C,"Periodic")</f>
        <v>1745.200938</v>
      </c>
      <c r="K8" s="106">
        <f>SUMIFS('Units sold'!$D:$D,'Units sold'!$A:$A,$E$2,'Units sold'!$B:$B,K$5&amp;" "&amp;$A8,'Units sold'!$C:$C,"Periodic")</f>
        <v>1514.6241364</v>
      </c>
      <c r="L8" s="106">
        <f>SUMIFS('Units sold'!$D:$D,'Units sold'!$A:$A,$E$2,'Units sold'!$B:$B,L$5&amp;" "&amp;$A8,'Units sold'!$C:$C,"Periodic")</f>
        <v>1826.1332344</v>
      </c>
      <c r="M8" s="106">
        <f>SUMIFS('Units sold'!$D:$D,'Units sold'!$A:$A,$E$2,'Units sold'!$B:$B,M$5&amp;" "&amp;$A8,'Units sold'!$C:$C,"Periodic")</f>
        <v>1531.091353</v>
      </c>
      <c r="N8" s="106">
        <f>SUMIFS('Units sold'!$D:$D,'Units sold'!$A:$A,$E$2,'Units sold'!$B:$B,N$5&amp;" "&amp;$A8,'Units sold'!$C:$C,"Periodic")</f>
        <v>1688.4721591999999</v>
      </c>
      <c r="O8" s="106">
        <f>SUMIFS('Units sold'!$D:$D,'Units sold'!$A:$A,$E$2,'Units sold'!$B:$B,O$5&amp;" "&amp;$A8,'Units sold'!$C:$C,"Periodic")</f>
        <v>1783.2480271999998</v>
      </c>
      <c r="P8" s="106">
        <f>SUMIFS('Units sold'!$D:$D,'Units sold'!$A:$A,$E$2,'Units sold'!$B:$B,P$5&amp;" "&amp;$A8,'Units sold'!$C:$C,"Periodic")</f>
        <v>1709.0544464</v>
      </c>
      <c r="Q8" s="106">
        <f>SUMIFS('Units sold'!$D:$D,'Units sold'!$A:$A,$E$2,'Units sold'!$B:$B,Q$5&amp;" "&amp;$A8,'Units sold'!$C:$C,"Periodic")</f>
        <v>1815.9627645999999</v>
      </c>
      <c r="R8" s="107">
        <f t="shared" si="0"/>
        <v>20141.359337600003</v>
      </c>
      <c r="S8" s="94"/>
      <c r="T8" s="101" t="str">
        <f t="shared" si="1"/>
        <v>2020 Trend 12 months</v>
      </c>
      <c r="V8" s="102"/>
      <c r="W8" s="103">
        <f>BS23</f>
        <v>20501.618822494118</v>
      </c>
      <c r="X8" s="99">
        <f>$W$8-$R$8</f>
        <v>360.2594848941153</v>
      </c>
      <c r="Y8" s="68"/>
      <c r="Z8" s="101" t="str">
        <f>A9&amp;" Trend 12 months"</f>
        <v>2020 Trend 12 months</v>
      </c>
      <c r="AB8" s="102"/>
      <c r="AC8" s="103">
        <f>BS41</f>
        <v>26606.1632587491</v>
      </c>
      <c r="AD8" s="99">
        <f>$AC$8-$R$15</f>
        <v>1546.0533296755566</v>
      </c>
      <c r="AE8" s="68"/>
      <c r="AF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BF8" s="6" t="s">
        <v>28</v>
      </c>
      <c r="BG8" s="11">
        <f t="shared" ref="BG8:BL8" si="2">IF($BF$5=BG6,1,0)</f>
        <v>0</v>
      </c>
      <c r="BH8" s="11">
        <f t="shared" si="2"/>
        <v>0</v>
      </c>
      <c r="BI8" s="11">
        <f t="shared" si="2"/>
        <v>0</v>
      </c>
      <c r="BJ8" s="11">
        <f t="shared" si="2"/>
        <v>0</v>
      </c>
      <c r="BK8" s="11">
        <f t="shared" si="2"/>
        <v>0</v>
      </c>
      <c r="BL8" s="11">
        <f t="shared" si="2"/>
        <v>0</v>
      </c>
      <c r="BM8" s="11">
        <f>IF($BF$5=BM6,1,0)</f>
        <v>1</v>
      </c>
      <c r="BN8" s="11">
        <f t="shared" ref="BN8:BR8" si="3">IF($BF$5=BN6,1,0)</f>
        <v>0</v>
      </c>
      <c r="BO8" s="11">
        <f t="shared" si="3"/>
        <v>0</v>
      </c>
      <c r="BP8" s="11">
        <f t="shared" si="3"/>
        <v>0</v>
      </c>
      <c r="BQ8" s="11">
        <f t="shared" si="3"/>
        <v>0</v>
      </c>
      <c r="BR8" s="11">
        <f t="shared" si="3"/>
        <v>0</v>
      </c>
    </row>
    <row r="9" spans="1:83" ht="15" x14ac:dyDescent="0.25">
      <c r="A9" s="89">
        <f>Summary!$C$2</f>
        <v>2020</v>
      </c>
      <c r="B9" s="90" t="str">
        <f>Mapping!$B$2</f>
        <v>Actual</v>
      </c>
      <c r="E9" s="91" t="str">
        <f>A9&amp;" "&amp;B9</f>
        <v>2020 Actual</v>
      </c>
      <c r="F9" s="108">
        <f>SUMIFS('Units sold'!$E:$E,'Units sold'!$A:$A,$E$2,'Units sold'!$B:$B,F$5&amp;" "&amp;$A9,'Units sold'!$C:$C,"Periodic")</f>
        <v>1714</v>
      </c>
      <c r="G9" s="108">
        <f>SUMIFS('Units sold'!$E:$E,'Units sold'!$A:$A,$E$2,'Units sold'!$B:$B,G$5&amp;" "&amp;$A9,'Units sold'!$C:$C,"Periodic")</f>
        <v>1358</v>
      </c>
      <c r="H9" s="108">
        <f>SUMIFS('Units sold'!$E:$E,'Units sold'!$A:$A,$E$2,'Units sold'!$B:$B,H$5&amp;" "&amp;$A9,'Units sold'!$C:$C,"Periodic")</f>
        <v>2066</v>
      </c>
      <c r="I9" s="108">
        <f>SUMIFS('Units sold'!$E:$E,'Units sold'!$A:$A,$E$2,'Units sold'!$B:$B,I$5&amp;" "&amp;$A9,'Units sold'!$C:$C,"Periodic")</f>
        <v>1398</v>
      </c>
      <c r="J9" s="108">
        <f>SUMIFS('Units sold'!$E:$E,'Units sold'!$A:$A,$E$2,'Units sold'!$B:$B,J$5&amp;" "&amp;$A9,'Units sold'!$C:$C,"Periodic")</f>
        <v>1510</v>
      </c>
      <c r="K9" s="108">
        <f>SUMIFS('Units sold'!$E:$E,'Units sold'!$A:$A,$E$2,'Units sold'!$B:$B,K$5&amp;" "&amp;$A9,'Units sold'!$C:$C,"Periodic")</f>
        <v>1652</v>
      </c>
      <c r="L9" s="108">
        <f>SUMIFS('Units sold'!$E:$E,'Units sold'!$A:$A,$E$2,'Units sold'!$B:$B,L$5&amp;" "&amp;$A9,'Units sold'!$C:$C,"Periodic")</f>
        <v>1852</v>
      </c>
      <c r="M9" s="108">
        <f>SUMIFS('Units sold'!$E:$E,'Units sold'!$A:$A,$E$2,'Units sold'!$B:$B,M$5&amp;" "&amp;$A9,'Units sold'!$C:$C,"Periodic")</f>
        <v>0</v>
      </c>
      <c r="N9" s="108">
        <f>SUMIFS('Units sold'!$E:$E,'Units sold'!$A:$A,$E$2,'Units sold'!$B:$B,N$5&amp;" "&amp;$A9,'Units sold'!$C:$C,"Periodic")</f>
        <v>0</v>
      </c>
      <c r="O9" s="108">
        <f>SUMIFS('Units sold'!$E:$E,'Units sold'!$A:$A,$E$2,'Units sold'!$B:$B,O$5&amp;" "&amp;$A9,'Units sold'!$C:$C,"Periodic")</f>
        <v>0</v>
      </c>
      <c r="P9" s="108">
        <f>SUMIFS('Units sold'!$E:$E,'Units sold'!$A:$A,$E$2,'Units sold'!$B:$B,P$5&amp;" "&amp;$A9,'Units sold'!$C:$C,"Periodic")</f>
        <v>0</v>
      </c>
      <c r="Q9" s="108">
        <f>SUMIFS('Units sold'!$E:$E,'Units sold'!$A:$A,$E$2,'Units sold'!$B:$B,Q$5&amp;" "&amp;$A9,'Units sold'!$C:$C,"Periodic")</f>
        <v>0</v>
      </c>
      <c r="R9" s="109">
        <f t="shared" si="0"/>
        <v>11550</v>
      </c>
      <c r="S9" s="94"/>
      <c r="T9" s="110" t="str">
        <f t="shared" si="1"/>
        <v>Prior Year exit rate (Q4 x 4)</v>
      </c>
      <c r="U9" s="111"/>
      <c r="V9" s="112"/>
      <c r="W9" s="113">
        <f>SUM($O$7:$Q$7)*4</f>
        <v>17880</v>
      </c>
      <c r="X9" s="114">
        <f>$W$9-$R$8</f>
        <v>-2261.3593376000026</v>
      </c>
      <c r="Y9" s="68"/>
      <c r="Z9" s="110" t="s">
        <v>130</v>
      </c>
      <c r="AA9" s="111"/>
      <c r="AB9" s="112"/>
      <c r="AC9" s="113">
        <f>SUM($O$14:$Q$14)*4</f>
        <v>24859.331766052459</v>
      </c>
      <c r="AD9" s="114">
        <f>$AC$9-$R$15</f>
        <v>-200.77816302108477</v>
      </c>
      <c r="AE9" s="87"/>
      <c r="AF9" s="87"/>
      <c r="AG9" s="115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BF9" s="6" t="s">
        <v>28</v>
      </c>
      <c r="BG9" s="100">
        <f>SUM($BG8:BG8)</f>
        <v>0</v>
      </c>
      <c r="BH9" s="11">
        <f>SUM($BG8:BG8)</f>
        <v>0</v>
      </c>
      <c r="BI9" s="11">
        <f>SUM($BG8:BH8)</f>
        <v>0</v>
      </c>
      <c r="BJ9" s="11">
        <f>SUM($BG8:BI8)</f>
        <v>0</v>
      </c>
      <c r="BK9" s="11">
        <f>SUM($BG8:BJ8)</f>
        <v>0</v>
      </c>
      <c r="BL9" s="11">
        <f>SUM($BG8:BK8)</f>
        <v>0</v>
      </c>
      <c r="BM9" s="11">
        <f>SUM($BG8:BL8)</f>
        <v>0</v>
      </c>
      <c r="BN9" s="11">
        <f>SUM($BG8:BM8)</f>
        <v>1</v>
      </c>
      <c r="BO9" s="11">
        <f>SUM($BG8:BN8)</f>
        <v>1</v>
      </c>
      <c r="BP9" s="11">
        <f>SUM($BG8:BO8)</f>
        <v>1</v>
      </c>
      <c r="BQ9" s="11">
        <f>SUM($BG8:BP8)</f>
        <v>1</v>
      </c>
      <c r="BR9" s="11">
        <f>SUM($BG8:BQ8)</f>
        <v>1</v>
      </c>
    </row>
    <row r="10" spans="1:83" x14ac:dyDescent="0.2">
      <c r="E10" s="91" t="s">
        <v>34</v>
      </c>
      <c r="F10" s="116">
        <f t="shared" ref="F10:Q10" si="4">IF(F9=0,F17/F24,F9)</f>
        <v>1714</v>
      </c>
      <c r="G10" s="116">
        <f t="shared" si="4"/>
        <v>1358</v>
      </c>
      <c r="H10" s="116">
        <f t="shared" si="4"/>
        <v>2066</v>
      </c>
      <c r="I10" s="116">
        <f t="shared" si="4"/>
        <v>1398</v>
      </c>
      <c r="J10" s="116">
        <f t="shared" si="4"/>
        <v>1510</v>
      </c>
      <c r="K10" s="116">
        <f t="shared" si="4"/>
        <v>1652</v>
      </c>
      <c r="L10" s="116">
        <f t="shared" si="4"/>
        <v>1852</v>
      </c>
      <c r="M10" s="116">
        <f t="shared" si="4"/>
        <v>1440.9444834415629</v>
      </c>
      <c r="N10" s="116">
        <f t="shared" si="4"/>
        <v>1546.5135772108297</v>
      </c>
      <c r="O10" s="116">
        <f t="shared" si="4"/>
        <v>1688.155482175099</v>
      </c>
      <c r="P10" s="116">
        <f t="shared" si="4"/>
        <v>1438.9634473016176</v>
      </c>
      <c r="Q10" s="116">
        <f t="shared" si="4"/>
        <v>1507.3739307124163</v>
      </c>
      <c r="R10" s="109">
        <f t="shared" si="0"/>
        <v>19171.950920841526</v>
      </c>
      <c r="S10" s="94"/>
      <c r="T10" s="94"/>
      <c r="U10" s="94"/>
      <c r="V10" s="117"/>
      <c r="W10" s="68"/>
      <c r="X10" s="68"/>
      <c r="Y10" s="68"/>
      <c r="Z10" s="94"/>
      <c r="AA10" s="94"/>
      <c r="AB10" s="117"/>
      <c r="AC10" s="68"/>
      <c r="AD10" s="68"/>
      <c r="AE10" s="87"/>
      <c r="AF10" s="87"/>
      <c r="AG10" s="118"/>
      <c r="AH10" s="118"/>
      <c r="AI10" s="118"/>
      <c r="AJ10" s="118"/>
      <c r="AK10" s="118"/>
      <c r="AL10" s="1"/>
      <c r="BG10" s="119">
        <v>1</v>
      </c>
      <c r="BH10" s="119">
        <v>2</v>
      </c>
      <c r="BI10" s="119">
        <v>3</v>
      </c>
      <c r="BJ10" s="119">
        <v>4</v>
      </c>
      <c r="BK10" s="119">
        <v>5</v>
      </c>
      <c r="BL10" s="119">
        <v>6</v>
      </c>
      <c r="BM10" s="119">
        <v>7</v>
      </c>
      <c r="BN10" s="119">
        <v>8</v>
      </c>
      <c r="BO10" s="119">
        <v>9</v>
      </c>
      <c r="BP10" s="119">
        <v>10</v>
      </c>
      <c r="BQ10" s="119">
        <v>11</v>
      </c>
      <c r="BR10" s="119">
        <v>12</v>
      </c>
    </row>
    <row r="11" spans="1:83" ht="15.75" x14ac:dyDescent="0.25">
      <c r="D11" s="87"/>
      <c r="E11" s="59"/>
      <c r="G11" s="120"/>
      <c r="S11" s="94"/>
      <c r="AE11" s="87"/>
      <c r="AF11" s="87"/>
      <c r="AG11" s="118"/>
      <c r="AH11" s="118"/>
      <c r="AI11" s="118"/>
      <c r="AJ11" s="118"/>
      <c r="AK11" s="118"/>
      <c r="AL11" s="1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</row>
    <row r="12" spans="1:83" ht="15.75" x14ac:dyDescent="0.25">
      <c r="E12" s="121" t="s">
        <v>98</v>
      </c>
      <c r="F12" s="79" t="str">
        <f>F$5</f>
        <v>Jan</v>
      </c>
      <c r="G12" s="79" t="str">
        <f t="shared" ref="G12:Q12" si="5">G$5</f>
        <v>Feb</v>
      </c>
      <c r="H12" s="79" t="str">
        <f t="shared" si="5"/>
        <v>Mar</v>
      </c>
      <c r="I12" s="79" t="str">
        <f t="shared" si="5"/>
        <v>Apr</v>
      </c>
      <c r="J12" s="79" t="str">
        <f t="shared" si="5"/>
        <v>May</v>
      </c>
      <c r="K12" s="79" t="str">
        <f t="shared" si="5"/>
        <v>Jun</v>
      </c>
      <c r="L12" s="79" t="str">
        <f t="shared" si="5"/>
        <v>Jul</v>
      </c>
      <c r="M12" s="79" t="str">
        <f t="shared" si="5"/>
        <v>Aug</v>
      </c>
      <c r="N12" s="79" t="str">
        <f t="shared" si="5"/>
        <v>Sep</v>
      </c>
      <c r="O12" s="79" t="str">
        <f t="shared" si="5"/>
        <v>Oct</v>
      </c>
      <c r="P12" s="79" t="str">
        <f t="shared" si="5"/>
        <v>Nov</v>
      </c>
      <c r="Q12" s="79" t="str">
        <f t="shared" si="5"/>
        <v>Dec</v>
      </c>
      <c r="R12" s="80" t="s">
        <v>14</v>
      </c>
      <c r="T12" s="122" t="s">
        <v>86</v>
      </c>
      <c r="U12" s="123"/>
      <c r="V12" s="124" t="str">
        <f>AB12</f>
        <v>YTD</v>
      </c>
      <c r="W12" s="123" t="str">
        <f>AC12</f>
        <v>YTG</v>
      </c>
      <c r="X12" s="123" t="str">
        <f>AD12</f>
        <v>Delta</v>
      </c>
      <c r="Y12" s="125"/>
      <c r="Z12" s="122" t="s">
        <v>86</v>
      </c>
      <c r="AA12" s="123"/>
      <c r="AB12" s="124" t="s">
        <v>15</v>
      </c>
      <c r="AC12" s="123" t="s">
        <v>16</v>
      </c>
      <c r="AD12" s="123" t="s">
        <v>33</v>
      </c>
      <c r="AE12" s="87"/>
      <c r="AF12" s="126"/>
      <c r="AG12" s="127"/>
      <c r="AH12" s="128" t="s">
        <v>25</v>
      </c>
      <c r="AI12" s="69"/>
      <c r="AJ12" s="69"/>
      <c r="BC12" s="11">
        <f t="shared" ref="BC12:BR12" si="6">BB12+1</f>
        <v>1</v>
      </c>
      <c r="BD12" s="11">
        <f t="shared" si="6"/>
        <v>2</v>
      </c>
      <c r="BE12" s="11">
        <f t="shared" si="6"/>
        <v>3</v>
      </c>
      <c r="BF12" s="11">
        <f t="shared" si="6"/>
        <v>4</v>
      </c>
      <c r="BG12" s="11">
        <f t="shared" si="6"/>
        <v>5</v>
      </c>
      <c r="BH12" s="11">
        <f t="shared" si="6"/>
        <v>6</v>
      </c>
      <c r="BI12" s="11">
        <f t="shared" si="6"/>
        <v>7</v>
      </c>
      <c r="BJ12" s="11">
        <f t="shared" si="6"/>
        <v>8</v>
      </c>
      <c r="BK12" s="11">
        <f t="shared" si="6"/>
        <v>9</v>
      </c>
      <c r="BL12" s="11">
        <f t="shared" si="6"/>
        <v>10</v>
      </c>
      <c r="BM12" s="11">
        <f t="shared" si="6"/>
        <v>11</v>
      </c>
      <c r="BN12" s="11">
        <f t="shared" si="6"/>
        <v>12</v>
      </c>
      <c r="BO12" s="11">
        <f t="shared" si="6"/>
        <v>13</v>
      </c>
      <c r="BP12" s="11">
        <f t="shared" si="6"/>
        <v>14</v>
      </c>
      <c r="BQ12" s="11">
        <f t="shared" si="6"/>
        <v>15</v>
      </c>
      <c r="BR12" s="11">
        <f t="shared" si="6"/>
        <v>16</v>
      </c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</row>
    <row r="13" spans="1:83" ht="13.5" customHeight="1" x14ac:dyDescent="0.25">
      <c r="A13" s="89">
        <f>Summary!$C$2-2</f>
        <v>2018</v>
      </c>
      <c r="B13" s="90" t="str">
        <f>Mapping!$B$2</f>
        <v>Actual</v>
      </c>
      <c r="E13" s="91" t="str">
        <f>A13&amp;" "&amp;B13</f>
        <v>2018 Actual</v>
      </c>
      <c r="F13" s="129">
        <f>SUMIFS('Sales Data'!$E:$E,'Sales Data'!$A:$A,$E$2,'Sales Data'!$B:$B,F$12&amp;" "&amp;$A13,'Sales Data'!$C:$C,"Periodic")/1000</f>
        <v>1391.144696028</v>
      </c>
      <c r="G13" s="129">
        <f>SUMIFS('Sales Data'!$E:$E,'Sales Data'!$A:$A,$E$2,'Sales Data'!$B:$B,G$12&amp;" "&amp;$A13,'Sales Data'!$C:$C,"Periodic")/1000</f>
        <v>1457.0786385059998</v>
      </c>
      <c r="H13" s="129">
        <f>SUMIFS('Sales Data'!$E:$E,'Sales Data'!$A:$A,$E$2,'Sales Data'!$B:$B,H$12&amp;" "&amp;$A13,'Sales Data'!$C:$C,"Periodic")/1000</f>
        <v>1641.1002447210001</v>
      </c>
      <c r="I13" s="129">
        <f>SUMIFS('Sales Data'!$E:$E,'Sales Data'!$A:$A,$E$2,'Sales Data'!$B:$B,I$12&amp;" "&amp;$A13,'Sales Data'!$C:$C,"Periodic")/1000</f>
        <v>1527.7163257320001</v>
      </c>
      <c r="J13" s="129">
        <f>SUMIFS('Sales Data'!$E:$E,'Sales Data'!$A:$A,$E$2,'Sales Data'!$B:$B,J$12&amp;" "&amp;$A13,'Sales Data'!$C:$C,"Periodic")/1000</f>
        <v>1852.828353681</v>
      </c>
      <c r="K13" s="129">
        <f>SUMIFS('Sales Data'!$E:$E,'Sales Data'!$A:$A,$E$2,'Sales Data'!$B:$B,K$12&amp;" "&amp;$A13,'Sales Data'!$C:$C,"Periodic")/1000</f>
        <v>1555.037151879</v>
      </c>
      <c r="L13" s="129">
        <f>SUMIFS('Sales Data'!$E:$E,'Sales Data'!$A:$A,$E$2,'Sales Data'!$B:$B,L$12&amp;" "&amp;$A13,'Sales Data'!$C:$C,"Periodic")/1000</f>
        <v>1666.624531683</v>
      </c>
      <c r="M13" s="129">
        <f>SUMIFS('Sales Data'!$E:$E,'Sales Data'!$A:$A,$E$2,'Sales Data'!$B:$B,M$12&amp;" "&amp;$A13,'Sales Data'!$C:$C,"Periodic")/1000</f>
        <v>1830.4396000140002</v>
      </c>
      <c r="N13" s="129">
        <f>SUMIFS('Sales Data'!$E:$E,'Sales Data'!$A:$A,$E$2,'Sales Data'!$B:$B,N$12&amp;" "&amp;$A13,'Sales Data'!$C:$C,"Periodic")/1000</f>
        <v>1674.938810178</v>
      </c>
      <c r="O13" s="129">
        <f>SUMIFS('Sales Data'!$E:$E,'Sales Data'!$A:$A,$E$2,'Sales Data'!$B:$B,O$12&amp;" "&amp;$A13,'Sales Data'!$C:$C,"Periodic")/1000</f>
        <v>1631.5077334110001</v>
      </c>
      <c r="P13" s="129">
        <f>SUMIFS('Sales Data'!$E:$E,'Sales Data'!$A:$A,$E$2,'Sales Data'!$B:$B,P$12&amp;" "&amp;$A13,'Sales Data'!$C:$C,"Periodic")/1000</f>
        <v>1864.4213582940001</v>
      </c>
      <c r="Q13" s="129">
        <f>SUMIFS('Sales Data'!$E:$E,'Sales Data'!$A:$A,$E$2,'Sales Data'!$B:$B,Q$12&amp;" "&amp;$A13,'Sales Data'!$C:$C,"Periodic")/1000</f>
        <v>1816.439048925</v>
      </c>
      <c r="R13" s="93">
        <f t="shared" ref="R13:R17" si="7">SUM(F13:Q13)</f>
        <v>19909.276493052002</v>
      </c>
      <c r="T13" s="101" t="str">
        <f>Z13</f>
        <v>GR%</v>
      </c>
      <c r="U13" s="130"/>
      <c r="V13" s="131">
        <f ca="1">IFERROR(($R$9/SUM(OFFSET(E7,,1,1,Summary!$D$3))-1),"")</f>
        <v>0.17306520414381477</v>
      </c>
      <c r="W13" s="132">
        <f ca="1">((R8-R9)/(R7-SUM(OFFSET(E7,0,1,1,Summary!$D$3))))-1</f>
        <v>0.19656815286908125</v>
      </c>
      <c r="X13" s="133">
        <f ca="1">IFERROR(W13-V13,"")</f>
        <v>2.3502948725266481E-2</v>
      </c>
      <c r="Y13" s="125"/>
      <c r="Z13" s="134" t="s">
        <v>17</v>
      </c>
      <c r="AA13" s="135"/>
      <c r="AB13" s="131">
        <f ca="1">IFERROR(R16/SUM(OFFSET(E14,0,1,1,Summary!$D$3))-1,"")</f>
        <v>0.15125332837389127</v>
      </c>
      <c r="AC13" s="133">
        <f ca="1">IFERROR((R15-R16)/(R14-SUM(OFFSET(E14,0,1,1,Summary!$D$3)))-1,"")</f>
        <v>-6.5175072240566956E-2</v>
      </c>
      <c r="AD13" s="136">
        <f ca="1">IFERROR(AC13-AB13,"")</f>
        <v>-0.21642840061445823</v>
      </c>
      <c r="AE13" s="87"/>
      <c r="AF13" s="87"/>
      <c r="AG13" s="137"/>
      <c r="AH13" s="128" t="s">
        <v>91</v>
      </c>
      <c r="AI13" s="69"/>
      <c r="AJ13" s="69"/>
      <c r="AW13" s="11">
        <f t="shared" ref="AW13:BR13" si="8">AV13+1</f>
        <v>1</v>
      </c>
      <c r="AX13" s="11">
        <f t="shared" si="8"/>
        <v>2</v>
      </c>
      <c r="AY13" s="11">
        <f t="shared" si="8"/>
        <v>3</v>
      </c>
      <c r="AZ13" s="11">
        <f t="shared" si="8"/>
        <v>4</v>
      </c>
      <c r="BA13" s="11">
        <f t="shared" si="8"/>
        <v>5</v>
      </c>
      <c r="BB13" s="11">
        <f t="shared" si="8"/>
        <v>6</v>
      </c>
      <c r="BC13" s="11">
        <f t="shared" si="8"/>
        <v>7</v>
      </c>
      <c r="BD13" s="11">
        <f t="shared" si="8"/>
        <v>8</v>
      </c>
      <c r="BE13" s="11">
        <f t="shared" si="8"/>
        <v>9</v>
      </c>
      <c r="BF13" s="11">
        <f t="shared" si="8"/>
        <v>10</v>
      </c>
      <c r="BG13" s="11">
        <f t="shared" si="8"/>
        <v>11</v>
      </c>
      <c r="BH13" s="11">
        <f t="shared" si="8"/>
        <v>12</v>
      </c>
      <c r="BI13" s="11">
        <f t="shared" si="8"/>
        <v>13</v>
      </c>
      <c r="BJ13" s="11">
        <f t="shared" si="8"/>
        <v>14</v>
      </c>
      <c r="BK13" s="11">
        <f t="shared" si="8"/>
        <v>15</v>
      </c>
      <c r="BL13" s="11">
        <f t="shared" si="8"/>
        <v>16</v>
      </c>
      <c r="BM13" s="11">
        <f t="shared" si="8"/>
        <v>17</v>
      </c>
      <c r="BN13" s="11">
        <f t="shared" si="8"/>
        <v>18</v>
      </c>
      <c r="BO13" s="11">
        <f t="shared" si="8"/>
        <v>19</v>
      </c>
      <c r="BP13" s="11">
        <f t="shared" si="8"/>
        <v>20</v>
      </c>
      <c r="BQ13" s="11">
        <f t="shared" si="8"/>
        <v>21</v>
      </c>
      <c r="BR13" s="11">
        <f t="shared" si="8"/>
        <v>22</v>
      </c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</row>
    <row r="14" spans="1:83" ht="13.5" customHeight="1" x14ac:dyDescent="0.2">
      <c r="A14" s="89">
        <f>Summary!$C$2-1</f>
        <v>2019</v>
      </c>
      <c r="B14" s="90" t="str">
        <f>Mapping!$B$2</f>
        <v>Actual</v>
      </c>
      <c r="E14" s="91" t="str">
        <f>A14&amp;" "&amp;B14</f>
        <v>2019 Actual</v>
      </c>
      <c r="F14" s="129">
        <f>SUMIFS('Sales Data'!$E:$E,'Sales Data'!$A:$A,$E$2,'Sales Data'!$B:$B,F$12&amp;" "&amp;$A14,'Sales Data'!$C:$C,"Periodic")/1000</f>
        <v>1690.3867757865562</v>
      </c>
      <c r="G14" s="129">
        <f>SUMIFS('Sales Data'!$E:$E,'Sales Data'!$A:$A,$E$2,'Sales Data'!$B:$B,G$12&amp;" "&amp;$A14,'Sales Data'!$C:$C,"Periodic")/1000</f>
        <v>2011.3839385243195</v>
      </c>
      <c r="H14" s="129">
        <f>SUMIFS('Sales Data'!$E:$E,'Sales Data'!$A:$A,$E$2,'Sales Data'!$B:$B,H$12&amp;" "&amp;$A14,'Sales Data'!$C:$C,"Periodic")/1000</f>
        <v>1545.1562668286288</v>
      </c>
      <c r="I14" s="129">
        <f>SUMIFS('Sales Data'!$E:$E,'Sales Data'!$A:$A,$E$2,'Sales Data'!$B:$B,I$12&amp;" "&amp;$A14,'Sales Data'!$C:$C,"Periodic")/1000</f>
        <v>2250.1060861155411</v>
      </c>
      <c r="J14" s="129">
        <f>SUMIFS('Sales Data'!$E:$E,'Sales Data'!$A:$A,$E$2,'Sales Data'!$B:$B,J$12&amp;" "&amp;$A14,'Sales Data'!$C:$C,"Periodic")/1000</f>
        <v>1970.3038874724662</v>
      </c>
      <c r="K14" s="129">
        <f>SUMIFS('Sales Data'!$E:$E,'Sales Data'!$A:$A,$E$2,'Sales Data'!$B:$B,K$12&amp;" "&amp;$A14,'Sales Data'!$C:$C,"Periodic")/1000</f>
        <v>1761.9690553753344</v>
      </c>
      <c r="L14" s="129">
        <f>SUMIFS('Sales Data'!$E:$E,'Sales Data'!$A:$A,$E$2,'Sales Data'!$B:$B,L$12&amp;" "&amp;$A14,'Sales Data'!$C:$C,"Periodic")/1000</f>
        <v>2447.2910734761708</v>
      </c>
      <c r="M14" s="129">
        <f>SUMIFS('Sales Data'!$E:$E,'Sales Data'!$A:$A,$E$2,'Sales Data'!$B:$B,M$12&amp;" "&amp;$A14,'Sales Data'!$C:$C,"Periodic")/1000</f>
        <v>1799.0383362456187</v>
      </c>
      <c r="N14" s="129">
        <f>SUMIFS('Sales Data'!$E:$E,'Sales Data'!$A:$A,$E$2,'Sales Data'!$B:$B,N$12&amp;" "&amp;$A14,'Sales Data'!$C:$C,"Periodic")/1000</f>
        <v>1950.4351278270096</v>
      </c>
      <c r="O14" s="129">
        <f>SUMIFS('Sales Data'!$E:$E,'Sales Data'!$A:$A,$E$2,'Sales Data'!$B:$B,O$12&amp;" "&amp;$A14,'Sales Data'!$C:$C,"Periodic")/1000</f>
        <v>2097.4438525737464</v>
      </c>
      <c r="P14" s="129">
        <f>SUMIFS('Sales Data'!$E:$E,'Sales Data'!$A:$A,$E$2,'Sales Data'!$B:$B,P$12&amp;" "&amp;$A14,'Sales Data'!$C:$C,"Periodic")/1000</f>
        <v>1940.7240471902387</v>
      </c>
      <c r="Q14" s="129">
        <f>SUMIFS('Sales Data'!$E:$E,'Sales Data'!$A:$A,$E$2,'Sales Data'!$B:$B,Q$12&amp;" "&amp;$A14,'Sales Data'!$C:$C,"Periodic")/1000</f>
        <v>2176.6650417491296</v>
      </c>
      <c r="R14" s="93">
        <f t="shared" si="7"/>
        <v>23640.903489164757</v>
      </c>
      <c r="T14" s="138" t="s">
        <v>87</v>
      </c>
      <c r="U14" s="139"/>
      <c r="V14" s="140">
        <f>IFERROR(R9/Summary!$D$3,"")</f>
        <v>1650</v>
      </c>
      <c r="W14" s="141">
        <f>IFERROR((R8-R9)/Summary!$E$3,"")</f>
        <v>1718.2718675200006</v>
      </c>
      <c r="X14" s="142">
        <f>IFERROR(W14-V14,"")</f>
        <v>68.271867520000569</v>
      </c>
      <c r="Y14" s="68"/>
      <c r="Z14" s="143" t="s">
        <v>18</v>
      </c>
      <c r="AA14" s="141"/>
      <c r="AB14" s="140">
        <f>R16/Summary!$D$3</f>
        <v>2249.3182733284284</v>
      </c>
      <c r="AC14" s="141">
        <f>IFERROR((R15-R16)/Summary!$E$3,"")</f>
        <v>1862.9764031549089</v>
      </c>
      <c r="AD14" s="144">
        <f>IFERROR(AC14-AB14,"")</f>
        <v>-386.34187017351951</v>
      </c>
      <c r="AE14" s="27"/>
      <c r="AF14" s="27"/>
      <c r="AG14" s="145" t="s">
        <v>54</v>
      </c>
      <c r="AH14" s="146"/>
      <c r="AI14" s="69"/>
      <c r="AJ14" s="69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</row>
    <row r="15" spans="1:83" ht="13.5" customHeight="1" x14ac:dyDescent="0.2">
      <c r="A15" s="89">
        <f>Summary!$C$2</f>
        <v>2020</v>
      </c>
      <c r="B15" s="90" t="str">
        <f>Mapping!$B$3</f>
        <v>Budget</v>
      </c>
      <c r="E15" s="105" t="str">
        <f>A15&amp;" "&amp;B15</f>
        <v>2020 Budget</v>
      </c>
      <c r="F15" s="106">
        <f>SUMIFS('Sales Data'!$D:$D,'Sales Data'!$A:$A,$E$2,'Sales Data'!$B:$B,F$12&amp;" "&amp;$A15,'Sales Data'!$C:$C,"Periodic")/1000</f>
        <v>1879.7722767438308</v>
      </c>
      <c r="G15" s="106">
        <f>SUMIFS('Sales Data'!$D:$D,'Sales Data'!$A:$A,$E$2,'Sales Data'!$B:$B,G$12&amp;" "&amp;$A15,'Sales Data'!$C:$C,"Periodic")/1000</f>
        <v>2223.6608376606791</v>
      </c>
      <c r="H15" s="106">
        <f>SUMIFS('Sales Data'!$D:$D,'Sales Data'!$A:$A,$E$2,'Sales Data'!$B:$B,H$12&amp;" "&amp;$A15,'Sales Data'!$C:$C,"Periodic")/1000</f>
        <v>1909.8568531001472</v>
      </c>
      <c r="I15" s="106">
        <f>SUMIFS('Sales Data'!$D:$D,'Sales Data'!$A:$A,$E$2,'Sales Data'!$B:$B,I$12&amp;" "&amp;$A15,'Sales Data'!$C:$C,"Periodic")/1000</f>
        <v>2263.1684271844379</v>
      </c>
      <c r="J15" s="106">
        <f>SUMIFS('Sales Data'!$D:$D,'Sales Data'!$A:$A,$E$2,'Sales Data'!$B:$B,J$12&amp;" "&amp;$A15,'Sales Data'!$C:$C,"Periodic")/1000</f>
        <v>2166.1436211155592</v>
      </c>
      <c r="K15" s="106">
        <f>SUMIFS('Sales Data'!$D:$D,'Sales Data'!$A:$A,$E$2,'Sales Data'!$B:$B,K$12&amp;" "&amp;$A15,'Sales Data'!$C:$C,"Periodic")/1000</f>
        <v>1931.9294057951809</v>
      </c>
      <c r="L15" s="106">
        <f>SUMIFS('Sales Data'!$D:$D,'Sales Data'!$A:$A,$E$2,'Sales Data'!$B:$B,L$12&amp;" "&amp;$A15,'Sales Data'!$C:$C,"Periodic")/1000</f>
        <v>2295.1582137395931</v>
      </c>
      <c r="M15" s="106">
        <f>SUMIFS('Sales Data'!$D:$D,'Sales Data'!$A:$A,$E$2,'Sales Data'!$B:$B,M$12&amp;" "&amp;$A15,'Sales Data'!$C:$C,"Periodic")/1000</f>
        <v>1964.3289439132727</v>
      </c>
      <c r="N15" s="106">
        <f>SUMIFS('Sales Data'!$D:$D,'Sales Data'!$A:$A,$E$2,'Sales Data'!$B:$B,N$12&amp;" "&amp;$A15,'Sales Data'!$C:$C,"Periodic")/1000</f>
        <v>2108.2431813156572</v>
      </c>
      <c r="O15" s="106">
        <f>SUMIFS('Sales Data'!$D:$D,'Sales Data'!$A:$A,$E$2,'Sales Data'!$B:$B,O$12&amp;" "&amp;$A15,'Sales Data'!$C:$C,"Periodic")/1000</f>
        <v>2301.332711682433</v>
      </c>
      <c r="P15" s="106">
        <f>SUMIFS('Sales Data'!$D:$D,'Sales Data'!$A:$A,$E$2,'Sales Data'!$B:$B,P$12&amp;" "&amp;$A15,'Sales Data'!$C:$C,"Periodic")/1000</f>
        <v>1961.6283494952713</v>
      </c>
      <c r="Q15" s="106">
        <f>SUMIFS('Sales Data'!$D:$D,'Sales Data'!$A:$A,$E$2,'Sales Data'!$B:$B,Q$12&amp;" "&amp;$A15,'Sales Data'!$C:$C,"Periodic")/1000</f>
        <v>2054.8871073274777</v>
      </c>
      <c r="R15" s="107">
        <f t="shared" si="7"/>
        <v>25060.109929073544</v>
      </c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G15" s="147" t="s">
        <v>29</v>
      </c>
      <c r="AI15" s="128" t="str">
        <f>'Bridges for Trends'!Y4</f>
        <v>Jan 2018</v>
      </c>
      <c r="AJ15" s="128" t="str">
        <f>'Bridges for Trends'!X4</f>
        <v>Feb 2018</v>
      </c>
      <c r="AK15" s="128" t="str">
        <f>'Bridges for Trends'!W4</f>
        <v>Mar 2018</v>
      </c>
      <c r="AL15" s="128" t="str">
        <f>'Bridges for Trends'!V4</f>
        <v>Apr 2018</v>
      </c>
      <c r="AM15" s="128" t="str">
        <f>'Bridges for Trends'!U4</f>
        <v>May 2018</v>
      </c>
      <c r="AN15" s="128" t="str">
        <f>'Bridges for Trends'!T4</f>
        <v>Jun 2018</v>
      </c>
      <c r="AO15" s="128" t="str">
        <f>'Bridges for Trends'!S4</f>
        <v>Jul 2018</v>
      </c>
      <c r="AP15" s="128" t="str">
        <f>'Bridges for Trends'!R4</f>
        <v>Aug 2018</v>
      </c>
      <c r="AQ15" s="128" t="str">
        <f>'Bridges for Trends'!Q4</f>
        <v>Sep 2018</v>
      </c>
      <c r="AR15" s="128" t="str">
        <f>'Bridges for Trends'!P4</f>
        <v>Oct 2018</v>
      </c>
      <c r="AS15" s="128" t="str">
        <f>'Bridges for Trends'!O4</f>
        <v>Nov 2018</v>
      </c>
      <c r="AT15" s="128" t="str">
        <f>'Bridges for Trends'!N4</f>
        <v>Dec 2018</v>
      </c>
      <c r="AU15" s="128" t="str">
        <f>'Bridges for Trends'!M4</f>
        <v>Jan 2019</v>
      </c>
      <c r="AV15" s="128" t="str">
        <f>'Bridges for Trends'!L4</f>
        <v>Feb 2019</v>
      </c>
      <c r="AW15" s="128" t="str">
        <f>'Bridges for Trends'!K4</f>
        <v>Mar 2019</v>
      </c>
      <c r="AX15" s="128" t="str">
        <f>'Bridges for Trends'!J4</f>
        <v>Apr 2019</v>
      </c>
      <c r="AY15" s="128" t="str">
        <f>'Bridges for Trends'!I4</f>
        <v>May 2019</v>
      </c>
      <c r="AZ15" s="128" t="str">
        <f>'Bridges for Trends'!H4</f>
        <v>Jun 2019</v>
      </c>
      <c r="BA15" s="128" t="str">
        <f>'Bridges for Trends'!G4</f>
        <v>Jul 2019</v>
      </c>
      <c r="BB15" s="128" t="str">
        <f>'Bridges for Trends'!F4</f>
        <v>Aug 2019</v>
      </c>
      <c r="BC15" s="128" t="str">
        <f>'Bridges for Trends'!E4</f>
        <v>Sep 2019</v>
      </c>
      <c r="BD15" s="128" t="str">
        <f>'Bridges for Trends'!D4</f>
        <v>Oct 2019</v>
      </c>
      <c r="BE15" s="128" t="str">
        <f>'Bridges for Trends'!C4</f>
        <v>Nov 2019</v>
      </c>
      <c r="BF15" s="128" t="str">
        <f>'Bridges for Trends'!B4</f>
        <v>Dec 2019</v>
      </c>
      <c r="BG15" s="128" t="str">
        <f>'Bridges for Trends'!A4</f>
        <v>Jan 2020</v>
      </c>
      <c r="BH15" s="128" t="str">
        <f>'Bridges for Trends'!A5</f>
        <v>Feb 2020</v>
      </c>
      <c r="BI15" s="128" t="str">
        <f>'Bridges for Trends'!A6</f>
        <v>Mar 2020</v>
      </c>
      <c r="BJ15" s="128" t="str">
        <f>'Bridges for Trends'!A7</f>
        <v>Apr 2020</v>
      </c>
      <c r="BK15" s="128" t="str">
        <f>'Bridges for Trends'!A8</f>
        <v>May 2020</v>
      </c>
      <c r="BL15" s="128" t="str">
        <f>'Bridges for Trends'!A9</f>
        <v>Jun 2020</v>
      </c>
      <c r="BM15" s="128" t="str">
        <f>'Bridges for Trends'!A10</f>
        <v>Jul 2020</v>
      </c>
      <c r="BN15" s="128" t="str">
        <f>'Bridges for Trends'!A11</f>
        <v>Aug 2020</v>
      </c>
      <c r="BO15" s="128" t="str">
        <f>'Bridges for Trends'!A12</f>
        <v>Sep 2020</v>
      </c>
      <c r="BP15" s="128" t="str">
        <f>'Bridges for Trends'!A13</f>
        <v>Oct 2020</v>
      </c>
      <c r="BQ15" s="128" t="str">
        <f>'Bridges for Trends'!A14</f>
        <v>Nov 2020</v>
      </c>
      <c r="BR15" s="128" t="str">
        <f>'Bridges for Trends'!A15</f>
        <v>Dec 2020</v>
      </c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</row>
    <row r="16" spans="1:83" ht="13.5" customHeight="1" x14ac:dyDescent="0.2">
      <c r="A16" s="89">
        <f>Summary!$C$2</f>
        <v>2020</v>
      </c>
      <c r="B16" s="90" t="str">
        <f>Mapping!$B$2</f>
        <v>Actual</v>
      </c>
      <c r="E16" s="91" t="str">
        <f>A16&amp;" "&amp;B16</f>
        <v>2020 Actual</v>
      </c>
      <c r="F16" s="148">
        <f>SUMIFS('Sales Data'!$E:$E,'Sales Data'!$A:$A,$E$2,'Sales Data'!$B:$B,F$12&amp;" "&amp;$A16,'Sales Data'!$C:$C,"Periodic")/1000</f>
        <v>2374.8096808109999</v>
      </c>
      <c r="G16" s="148">
        <f>SUMIFS('Sales Data'!$E:$E,'Sales Data'!$A:$A,$E$2,'Sales Data'!$B:$B,G$12&amp;" "&amp;$A16,'Sales Data'!$C:$C,"Periodic")/1000</f>
        <v>1899.9102903480002</v>
      </c>
      <c r="H16" s="148">
        <f>SUMIFS('Sales Data'!$E:$E,'Sales Data'!$A:$A,$E$2,'Sales Data'!$B:$B,H$12&amp;" "&amp;$A16,'Sales Data'!$C:$C,"Periodic")/1000</f>
        <v>2876.2979462190001</v>
      </c>
      <c r="I16" s="148">
        <f>SUMIFS('Sales Data'!$E:$E,'Sales Data'!$A:$A,$E$2,'Sales Data'!$B:$B,I$12&amp;" "&amp;$A16,'Sales Data'!$C:$C,"Periodic")/1000</f>
        <v>1927.7196770369999</v>
      </c>
      <c r="J16" s="148">
        <f>SUMIFS('Sales Data'!$E:$E,'Sales Data'!$A:$A,$E$2,'Sales Data'!$B:$B,J$12&amp;" "&amp;$A16,'Sales Data'!$C:$C,"Periodic")/1000</f>
        <v>2047.5976440450002</v>
      </c>
      <c r="K16" s="148">
        <f>SUMIFS('Sales Data'!$E:$E,'Sales Data'!$A:$A,$E$2,'Sales Data'!$B:$B,K$12&amp;" "&amp;$A16,'Sales Data'!$C:$C,"Periodic")/1000</f>
        <v>2388.1333070249998</v>
      </c>
      <c r="L16" s="148">
        <f>SUMIFS('Sales Data'!$E:$E,'Sales Data'!$A:$A,$E$2,'Sales Data'!$B:$B,L$12&amp;" "&amp;$A16,'Sales Data'!$C:$C,"Periodic")/1000</f>
        <v>2230.7593678140001</v>
      </c>
      <c r="M16" s="148">
        <f>SUMIFS('Sales Data'!$E:$E,'Sales Data'!$A:$A,$E$2,'Sales Data'!$B:$B,M$12&amp;" "&amp;$A16,'Sales Data'!$C:$C,"Periodic")/1000</f>
        <v>0</v>
      </c>
      <c r="N16" s="148">
        <f>SUMIFS('Sales Data'!$E:$E,'Sales Data'!$A:$A,$E$2,'Sales Data'!$B:$B,N$12&amp;" "&amp;$A16,'Sales Data'!$C:$C,"Periodic")/1000</f>
        <v>0</v>
      </c>
      <c r="O16" s="148">
        <f>SUMIFS('Sales Data'!$E:$E,'Sales Data'!$A:$A,$E$2,'Sales Data'!$B:$B,O$12&amp;" "&amp;$A16,'Sales Data'!$C:$C,"Periodic")/1000</f>
        <v>0</v>
      </c>
      <c r="P16" s="148">
        <f>SUMIFS('Sales Data'!$E:$E,'Sales Data'!$A:$A,$E$2,'Sales Data'!$B:$B,P$12&amp;" "&amp;$A16,'Sales Data'!$C:$C,"Periodic")/1000</f>
        <v>0</v>
      </c>
      <c r="Q16" s="148">
        <f>SUMIFS('Sales Data'!$E:$E,'Sales Data'!$A:$A,$E$2,'Sales Data'!$B:$B,Q$12&amp;" "&amp;$A16,'Sales Data'!$C:$C,"Periodic")/1000</f>
        <v>0</v>
      </c>
      <c r="R16" s="109">
        <f t="shared" si="7"/>
        <v>15745.227913298999</v>
      </c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115"/>
      <c r="AF16" s="115"/>
      <c r="AG16" s="118"/>
      <c r="AH16" s="149" t="s">
        <v>0</v>
      </c>
      <c r="AI16" s="150">
        <f>SUMIFS('Units sold'!$E:$E,'Units sold'!$A:$A,$E$2,'Units sold'!$B:$B,AI$15,'Units sold'!$C:$C,"Periodic")</f>
        <v>992</v>
      </c>
      <c r="AJ16" s="150">
        <f>SUMIFS('Units sold'!$E:$E,'Units sold'!$A:$A,$E$2,'Units sold'!$B:$B,AJ$15,'Units sold'!$C:$C,"Periodic")</f>
        <v>1040</v>
      </c>
      <c r="AK16" s="150">
        <f>SUMIFS('Units sold'!$E:$E,'Units sold'!$A:$A,$E$2,'Units sold'!$B:$B,AK$15,'Units sold'!$C:$C,"Periodic")</f>
        <v>1152</v>
      </c>
      <c r="AL16" s="150">
        <f>SUMIFS('Units sold'!$E:$E,'Units sold'!$A:$A,$E$2,'Units sold'!$B:$B,AL$15,'Units sold'!$C:$C,"Periodic")</f>
        <v>1104</v>
      </c>
      <c r="AM16" s="150">
        <f>SUMIFS('Units sold'!$E:$E,'Units sold'!$A:$A,$E$2,'Units sold'!$B:$B,AM$15,'Units sold'!$C:$C,"Periodic")</f>
        <v>1330</v>
      </c>
      <c r="AN16" s="150">
        <f>SUMIFS('Units sold'!$E:$E,'Units sold'!$A:$A,$E$2,'Units sold'!$B:$B,AN$15,'Units sold'!$C:$C,"Periodic")</f>
        <v>1158</v>
      </c>
      <c r="AO16" s="150">
        <f>SUMIFS('Units sold'!$E:$E,'Units sold'!$A:$A,$E$2,'Units sold'!$B:$B,AO$15,'Units sold'!$C:$C,"Periodic")</f>
        <v>1196</v>
      </c>
      <c r="AP16" s="150">
        <f>SUMIFS('Units sold'!$E:$E,'Units sold'!$A:$A,$E$2,'Units sold'!$B:$B,AP$15,'Units sold'!$C:$C,"Periodic")</f>
        <v>1310</v>
      </c>
      <c r="AQ16" s="150">
        <f>SUMIFS('Units sold'!$E:$E,'Units sold'!$A:$A,$E$2,'Units sold'!$B:$B,AQ$15,'Units sold'!$C:$C,"Periodic")</f>
        <v>1196</v>
      </c>
      <c r="AR16" s="150">
        <f>SUMIFS('Units sold'!$E:$E,'Units sold'!$A:$A,$E$2,'Units sold'!$B:$B,AR$15,'Units sold'!$C:$C,"Periodic")</f>
        <v>1192</v>
      </c>
      <c r="AS16" s="150">
        <f>SUMIFS('Units sold'!$E:$E,'Units sold'!$A:$A,$E$2,'Units sold'!$B:$B,AS$15,'Units sold'!$C:$C,"Periodic")</f>
        <v>1366</v>
      </c>
      <c r="AT16" s="150">
        <f>SUMIFS('Units sold'!$E:$E,'Units sold'!$A:$A,$E$2,'Units sold'!$B:$B,AT$15,'Units sold'!$C:$C,"Periodic")</f>
        <v>1310</v>
      </c>
      <c r="AU16" s="150">
        <f>SUMIFS('Units sold'!$E:$E,'Units sold'!$A:$A,$E$2,'Units sold'!$B:$B,AU$15,'Units sold'!$C:$C,"Periodic")</f>
        <v>1252</v>
      </c>
      <c r="AV16" s="150">
        <f>SUMIFS('Units sold'!$E:$E,'Units sold'!$A:$A,$E$2,'Units sold'!$B:$B,AV$15,'Units sold'!$C:$C,"Periodic")</f>
        <v>1444</v>
      </c>
      <c r="AW16" s="150">
        <f>SUMIFS('Units sold'!$E:$E,'Units sold'!$A:$A,$E$2,'Units sold'!$B:$B,AW$15,'Units sold'!$C:$C,"Periodic")</f>
        <v>1136</v>
      </c>
      <c r="AX16" s="150">
        <f>SUMIFS('Units sold'!$E:$E,'Units sold'!$A:$A,$E$2,'Units sold'!$B:$B,AX$15,'Units sold'!$C:$C,"Periodic")</f>
        <v>1582</v>
      </c>
      <c r="AY16" s="150">
        <f>SUMIFS('Units sold'!$E:$E,'Units sold'!$A:$A,$E$2,'Units sold'!$B:$B,AY$15,'Units sold'!$C:$C,"Periodic")</f>
        <v>1440</v>
      </c>
      <c r="AZ16" s="150">
        <f>SUMIFS('Units sold'!$E:$E,'Units sold'!$A:$A,$E$2,'Units sold'!$B:$B,AZ$15,'Units sold'!$C:$C,"Periodic")</f>
        <v>1258</v>
      </c>
      <c r="BA16" s="150">
        <f>SUMIFS('Units sold'!$E:$E,'Units sold'!$A:$A,$E$2,'Units sold'!$B:$B,BA$15,'Units sold'!$C:$C,"Periodic")</f>
        <v>1734</v>
      </c>
      <c r="BB16" s="150">
        <f>SUMIFS('Units sold'!$E:$E,'Units sold'!$A:$A,$E$2,'Units sold'!$B:$B,BB$15,'Units sold'!$C:$C,"Periodic")</f>
        <v>1292</v>
      </c>
      <c r="BC16" s="150">
        <f>SUMIFS('Units sold'!$E:$E,'Units sold'!$A:$A,$E$2,'Units sold'!$B:$B,BC$15,'Units sold'!$C:$C,"Periodic")</f>
        <v>1418</v>
      </c>
      <c r="BD16" s="150">
        <f>SUMIFS('Units sold'!$E:$E,'Units sold'!$A:$A,$E$2,'Units sold'!$B:$B,BD$15,'Units sold'!$C:$C,"Periodic")</f>
        <v>1532</v>
      </c>
      <c r="BE16" s="150">
        <f>SUMIFS('Units sold'!$E:$E,'Units sold'!$A:$A,$E$2,'Units sold'!$B:$B,BE$15,'Units sold'!$C:$C,"Periodic")</f>
        <v>1394</v>
      </c>
      <c r="BF16" s="150">
        <f>SUMIFS('Units sold'!$E:$E,'Units sold'!$A:$A,$E$2,'Units sold'!$B:$B,BF$15,'Units sold'!$C:$C,"Periodic")</f>
        <v>1544</v>
      </c>
      <c r="BG16" s="150">
        <f>IF(OR(BG$8=1,BG$9=0),SUMIFS('Units sold'!$E:$E,'Units sold'!$A:$A,$E$2,'Units sold'!$B:$B,BG$15,'Units sold'!$C:$C,"Periodic"),"")</f>
        <v>1714</v>
      </c>
      <c r="BH16" s="150">
        <f>IF(OR(BH$8=1,BH$9=0),SUMIFS('Units sold'!$E:$E,'Units sold'!$A:$A,$E$2,'Units sold'!$B:$B,BH$15,'Units sold'!$C:$C,"Periodic"),"")</f>
        <v>1358</v>
      </c>
      <c r="BI16" s="150">
        <f>IF(OR(BI$8=1,BI$9=0),SUMIFS('Units sold'!$E:$E,'Units sold'!$A:$A,$E$2,'Units sold'!$B:$B,BI$15,'Units sold'!$C:$C,"Periodic"),"")</f>
        <v>2066</v>
      </c>
      <c r="BJ16" s="150">
        <f>IF(OR(BJ$8=1,BJ$9=0),SUMIFS('Units sold'!$E:$E,'Units sold'!$A:$A,$E$2,'Units sold'!$B:$B,BJ$15,'Units sold'!$C:$C,"Periodic"),"")</f>
        <v>1398</v>
      </c>
      <c r="BK16" s="150">
        <f>IF(OR(BK$8=1,BK$9=0),SUMIFS('Units sold'!$E:$E,'Units sold'!$A:$A,$E$2,'Units sold'!$B:$B,BK$15,'Units sold'!$C:$C,"Periodic"),"")</f>
        <v>1510</v>
      </c>
      <c r="BL16" s="150">
        <f>IF(OR(BL$8=1,BL$9=0),SUMIFS('Units sold'!$E:$E,'Units sold'!$A:$A,$E$2,'Units sold'!$B:$B,BL$15,'Units sold'!$C:$C,"Periodic"),"")</f>
        <v>1652</v>
      </c>
      <c r="BM16" s="150">
        <f>IF(OR(BM$8=1,BM$9=0),SUMIFS('Units sold'!$E:$E,'Units sold'!$A:$A,$E$2,'Units sold'!$B:$B,BM$15,'Units sold'!$C:$C,"Periodic"),"")</f>
        <v>1852</v>
      </c>
      <c r="BN16" s="150" t="str">
        <f>IF(OR(BN$8=1,BN$9=0),SUMIFS('Units sold'!$E:$E,'Units sold'!$A:$A,$E$2,'Units sold'!$B:$B,BN$15,'Units sold'!$C:$C,"Periodic"),"")</f>
        <v/>
      </c>
      <c r="BO16" s="150" t="str">
        <f>IF(OR(BO$8=1,BO$9=0),SUMIFS('Units sold'!$E:$E,'Units sold'!$A:$A,$E$2,'Units sold'!$B:$B,BO$15,'Units sold'!$C:$C,"Periodic"),"")</f>
        <v/>
      </c>
      <c r="BP16" s="150" t="str">
        <f>IF(OR(BP$8=1,BP$9=0),SUMIFS('Units sold'!$E:$E,'Units sold'!$A:$A,$E$2,'Units sold'!$B:$B,BP$15,'Units sold'!$C:$C,"Periodic"),"")</f>
        <v/>
      </c>
      <c r="BQ16" s="150" t="str">
        <f>IF(OR(BQ$8=1,BQ$9=0),SUMIFS('Units sold'!$E:$E,'Units sold'!$A:$A,$E$2,'Units sold'!$B:$B,BQ$15,'Units sold'!$C:$C,"Periodic"),"")</f>
        <v/>
      </c>
      <c r="BR16" s="150" t="str">
        <f>IF(OR(BR$8=1,BR$9=0),SUMIFS('Units sold'!$E:$E,'Units sold'!$A:$A,$E$2,'Units sold'!$B:$B,BR$15,'Units sold'!$C:$C,"Periodic"),"")</f>
        <v/>
      </c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</row>
    <row r="17" spans="1:83" s="69" customFormat="1" x14ac:dyDescent="0.2">
      <c r="A17" s="1"/>
      <c r="B17" s="1"/>
      <c r="C17" s="1"/>
      <c r="D17" s="1"/>
      <c r="E17" s="91" t="s">
        <v>34</v>
      </c>
      <c r="F17" s="148">
        <f t="shared" ref="F17:Q17" si="9">IF(F16&lt;&gt;0,F16,F15)</f>
        <v>2374.8096808109999</v>
      </c>
      <c r="G17" s="148">
        <f t="shared" si="9"/>
        <v>1899.9102903480002</v>
      </c>
      <c r="H17" s="148">
        <f t="shared" si="9"/>
        <v>2876.2979462190001</v>
      </c>
      <c r="I17" s="148">
        <f t="shared" si="9"/>
        <v>1927.7196770369999</v>
      </c>
      <c r="J17" s="148">
        <f t="shared" si="9"/>
        <v>2047.5976440450002</v>
      </c>
      <c r="K17" s="148">
        <f t="shared" si="9"/>
        <v>2388.1333070249998</v>
      </c>
      <c r="L17" s="148">
        <f t="shared" si="9"/>
        <v>2230.7593678140001</v>
      </c>
      <c r="M17" s="148">
        <f t="shared" si="9"/>
        <v>1964.3289439132727</v>
      </c>
      <c r="N17" s="148">
        <f t="shared" si="9"/>
        <v>2108.2431813156572</v>
      </c>
      <c r="O17" s="148">
        <f t="shared" si="9"/>
        <v>2301.332711682433</v>
      </c>
      <c r="P17" s="148">
        <f t="shared" si="9"/>
        <v>1961.6283494952713</v>
      </c>
      <c r="Q17" s="148">
        <f t="shared" si="9"/>
        <v>2054.8871073274777</v>
      </c>
      <c r="R17" s="109">
        <f t="shared" si="7"/>
        <v>26135.648207033111</v>
      </c>
      <c r="T17" s="122" t="s">
        <v>54</v>
      </c>
      <c r="U17" s="151" t="str">
        <f>AA17</f>
        <v>Q1</v>
      </c>
      <c r="V17" s="151" t="str">
        <f t="shared" ref="V17:X17" si="10">AB17</f>
        <v>Q2</v>
      </c>
      <c r="W17" s="151" t="str">
        <f t="shared" si="10"/>
        <v>Q3</v>
      </c>
      <c r="X17" s="123" t="str">
        <f t="shared" si="10"/>
        <v>Q4</v>
      </c>
      <c r="Y17" s="68"/>
      <c r="Z17" s="122" t="s">
        <v>82</v>
      </c>
      <c r="AA17" s="151" t="s">
        <v>21</v>
      </c>
      <c r="AB17" s="151" t="s">
        <v>22</v>
      </c>
      <c r="AC17" s="151" t="s">
        <v>23</v>
      </c>
      <c r="AD17" s="123" t="s">
        <v>24</v>
      </c>
      <c r="AE17" s="152"/>
      <c r="AF17" s="152"/>
      <c r="AG17" s="118"/>
      <c r="AH17" s="153" t="s">
        <v>1</v>
      </c>
      <c r="BG17" s="150" t="str">
        <f>IF(OR(BG$8=1,BG$9=1),SUMIFS('Units sold'!$D:$D,'Units sold'!$A:$A,$E$2,'Units sold'!$B:$B,BG$15,'Units sold'!$C:$C,"Periodic"),"")</f>
        <v/>
      </c>
      <c r="BH17" s="150" t="str">
        <f>IF(OR(BH$8=1,BH$9=1),SUMIFS('Units sold'!$D:$D,'Units sold'!$A:$A,$E$2,'Units sold'!$B:$B,BH$15,'Units sold'!$C:$C,"Periodic"),"")</f>
        <v/>
      </c>
      <c r="BI17" s="150" t="str">
        <f>IF(OR(BI$8=1,BI$9=1),SUMIFS('Units sold'!$D:$D,'Units sold'!$A:$A,$E$2,'Units sold'!$B:$B,BI$15,'Units sold'!$C:$C,"Periodic"),"")</f>
        <v/>
      </c>
      <c r="BJ17" s="150" t="str">
        <f>IF(OR(BJ$8=1,BJ$9=1),SUMIFS('Units sold'!$D:$D,'Units sold'!$A:$A,$E$2,'Units sold'!$B:$B,BJ$15,'Units sold'!$C:$C,"Periodic"),"")</f>
        <v/>
      </c>
      <c r="BK17" s="150" t="str">
        <f>IF(OR(BK$8=1,BK$9=1),SUMIFS('Units sold'!$D:$D,'Units sold'!$A:$A,$E$2,'Units sold'!$B:$B,BK$15,'Units sold'!$C:$C,"Periodic"),"")</f>
        <v/>
      </c>
      <c r="BL17" s="150" t="str">
        <f>IF(OR(BL$8=1,BL$9=1),SUMIFS('Units sold'!$D:$D,'Units sold'!$A:$A,$E$2,'Units sold'!$B:$B,BL$15,'Units sold'!$C:$C,"Periodic"),"")</f>
        <v/>
      </c>
      <c r="BM17" s="150">
        <f>IF(OR(BM$8=1,BM$9=1),SUMIFS('Units sold'!$D:$D,'Units sold'!$A:$A,$E$2,'Units sold'!$B:$B,BM$15,'Units sold'!$C:$C,"Periodic"),"")</f>
        <v>1826.1332344</v>
      </c>
      <c r="BN17" s="150">
        <f>IF(OR(BN$8=1,BN$9=1),SUMIFS('Units sold'!$D:$D,'Units sold'!$A:$A,$E$2,'Units sold'!$B:$B,BN$15,'Units sold'!$C:$C,"Periodic"),"")</f>
        <v>1531.091353</v>
      </c>
      <c r="BO17" s="150">
        <f>IF(OR(BO$8=1,BO$9=1),SUMIFS('Units sold'!$D:$D,'Units sold'!$A:$A,$E$2,'Units sold'!$B:$B,BO$15,'Units sold'!$C:$C,"Periodic"),"")</f>
        <v>1688.4721591999999</v>
      </c>
      <c r="BP17" s="150">
        <f>IF(OR(BP$8=1,BP$9=1),SUMIFS('Units sold'!$D:$D,'Units sold'!$A:$A,$E$2,'Units sold'!$B:$B,BP$15,'Units sold'!$C:$C,"Periodic"),"")</f>
        <v>1783.2480271999998</v>
      </c>
      <c r="BQ17" s="150">
        <f>IF(OR(BQ$8=1,BQ$9=1),SUMIFS('Units sold'!$D:$D,'Units sold'!$A:$A,$E$2,'Units sold'!$B:$B,BQ$15,'Units sold'!$C:$C,"Periodic"),"")</f>
        <v>1709.0544464</v>
      </c>
      <c r="BR17" s="150">
        <f>IF(OR(BR$8=1,BR$9=1),SUMIFS('Units sold'!$D:$D,'Units sold'!$A:$A,$E$2,'Units sold'!$B:$B,BR$15,'Units sold'!$C:$C,"Periodic"),"")</f>
        <v>1815.9627645999999</v>
      </c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</row>
    <row r="18" spans="1:83" s="69" customFormat="1" x14ac:dyDescent="0.2">
      <c r="A18" s="1"/>
      <c r="B18" s="1"/>
      <c r="C18" s="1"/>
      <c r="D18" s="1"/>
      <c r="E18" s="118"/>
      <c r="T18" s="95" t="str">
        <f>E6</f>
        <v>2018 Actual</v>
      </c>
      <c r="U18" s="154">
        <f>SUM(F6:H6)</f>
        <v>3184</v>
      </c>
      <c r="V18" s="154">
        <f>SUM(I6:K6)</f>
        <v>3592</v>
      </c>
      <c r="W18" s="154">
        <f>SUM(L6:N6)</f>
        <v>3702</v>
      </c>
      <c r="X18" s="155">
        <f>SUM(O6:Q6)</f>
        <v>3868</v>
      </c>
      <c r="Y18" s="152"/>
      <c r="Z18" s="95" t="str">
        <f>+E13</f>
        <v>2018 Actual</v>
      </c>
      <c r="AA18" s="154">
        <f>SUM(F13:H13)</f>
        <v>4489.3235792550004</v>
      </c>
      <c r="AB18" s="154">
        <f>SUM(I13:K13)</f>
        <v>4935.5818312920001</v>
      </c>
      <c r="AC18" s="154">
        <f>SUM(L13:N13)</f>
        <v>5172.002941875</v>
      </c>
      <c r="AD18" s="155">
        <f>SUM(O13:Q13)</f>
        <v>5312.3681406300002</v>
      </c>
      <c r="AE18" s="152"/>
      <c r="AF18" s="152"/>
      <c r="AG18" s="9"/>
      <c r="AH18" s="156" t="s">
        <v>26</v>
      </c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8"/>
      <c r="BA18" s="158"/>
      <c r="BB18" s="158"/>
      <c r="BC18" s="158"/>
      <c r="BD18" s="158"/>
      <c r="BE18" s="158"/>
      <c r="BF18" s="158"/>
      <c r="BG18" s="159" t="str">
        <f>IF(BG$9,FORECAST(BG12,$AP16:BF16,$AP12:BF12), "")</f>
        <v/>
      </c>
      <c r="BH18" s="159" t="str">
        <f>IF(BH$9,FORECAST(BH12,$AP16:BG16,$AP12:BG12), "")</f>
        <v/>
      </c>
      <c r="BI18" s="159" t="str">
        <f>IF(BI$9,FORECAST(BI12,$AP16:BH16,$AP12:BH12), "")</f>
        <v/>
      </c>
      <c r="BJ18" s="159" t="str">
        <f>IF(BJ$9,FORECAST(BJ12,$AP16:BI16,$AP12:BI12), "")</f>
        <v/>
      </c>
      <c r="BK18" s="159" t="str">
        <f>IF(BK$9,FORECAST(BK12,$AP16:BJ16,$AP12:BJ12), "")</f>
        <v/>
      </c>
      <c r="BL18" s="159" t="str">
        <f>IF(BL$9,FORECAST(BL12,$AP16:BK16,$AP12:BK12), "")</f>
        <v/>
      </c>
      <c r="BM18" s="159" t="str">
        <f>IF(BM$9,FORECAST(BM12,$AP16:BL16,$AP12:BL12), "")</f>
        <v/>
      </c>
      <c r="BN18" s="159">
        <f>IF(BN$9,FORECAST(BN12,$AP16:BM16,$AP12:BM12), "")</f>
        <v>1752.0727272727272</v>
      </c>
      <c r="BO18" s="159">
        <f>IF(BO$9,FORECAST(BO12,$AP16:BN16,$AP12:BN12), "")</f>
        <v>1779.8727272727274</v>
      </c>
      <c r="BP18" s="159">
        <f>IF(BP$9,FORECAST(BP12,$AP16:BO16,$AP12:BO12), "")</f>
        <v>1807.6727272727273</v>
      </c>
      <c r="BQ18" s="159">
        <f>IF(BQ$9,FORECAST(BQ12,$AP16:BP16,$AP12:BP12), "")</f>
        <v>1835.4727272727273</v>
      </c>
      <c r="BR18" s="159">
        <f>IF(BR$9,FORECAST(BR12,$AP16:BQ16,$AP12:BQ12), "")</f>
        <v>1863.2727272727273</v>
      </c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</row>
    <row r="19" spans="1:83" s="69" customFormat="1" ht="15.75" x14ac:dyDescent="0.2">
      <c r="A19" s="1"/>
      <c r="B19" s="1"/>
      <c r="C19" s="1"/>
      <c r="D19" s="1"/>
      <c r="E19" s="80" t="s">
        <v>99</v>
      </c>
      <c r="F19" s="79" t="str">
        <f t="shared" ref="F19:Q19" si="11">F$5</f>
        <v>Jan</v>
      </c>
      <c r="G19" s="79" t="str">
        <f t="shared" si="11"/>
        <v>Feb</v>
      </c>
      <c r="H19" s="79" t="str">
        <f t="shared" si="11"/>
        <v>Mar</v>
      </c>
      <c r="I19" s="79" t="str">
        <f t="shared" si="11"/>
        <v>Apr</v>
      </c>
      <c r="J19" s="79" t="str">
        <f t="shared" si="11"/>
        <v>May</v>
      </c>
      <c r="K19" s="79" t="str">
        <f t="shared" si="11"/>
        <v>Jun</v>
      </c>
      <c r="L19" s="79" t="str">
        <f t="shared" si="11"/>
        <v>Jul</v>
      </c>
      <c r="M19" s="79" t="str">
        <f t="shared" si="11"/>
        <v>Aug</v>
      </c>
      <c r="N19" s="79" t="str">
        <f t="shared" si="11"/>
        <v>Sep</v>
      </c>
      <c r="O19" s="79" t="str">
        <f t="shared" si="11"/>
        <v>Oct</v>
      </c>
      <c r="P19" s="79" t="str">
        <f t="shared" si="11"/>
        <v>Nov</v>
      </c>
      <c r="Q19" s="79" t="str">
        <f t="shared" si="11"/>
        <v>Dec</v>
      </c>
      <c r="R19" s="80" t="s">
        <v>14</v>
      </c>
      <c r="T19" s="101" t="str">
        <f>E7</f>
        <v>2019 Actual</v>
      </c>
      <c r="U19" s="137">
        <f>SUM(F7:H7)</f>
        <v>3832</v>
      </c>
      <c r="V19" s="137">
        <f>SUM(I7:K7)</f>
        <v>4280</v>
      </c>
      <c r="W19" s="137">
        <f>SUM(L7:N7)</f>
        <v>4444</v>
      </c>
      <c r="X19" s="130">
        <f>SUM(O7:Q7)</f>
        <v>4470</v>
      </c>
      <c r="Y19" s="152"/>
      <c r="Z19" s="101" t="str">
        <f>+E14</f>
        <v>2019 Actual</v>
      </c>
      <c r="AA19" s="137">
        <f>SUM(F14:H14)</f>
        <v>5246.9269811395043</v>
      </c>
      <c r="AB19" s="137">
        <f>SUM(I14:K14)</f>
        <v>5982.3790289633416</v>
      </c>
      <c r="AC19" s="137">
        <f>SUM(L14:N14)</f>
        <v>6196.7645375487991</v>
      </c>
      <c r="AD19" s="130">
        <f>SUM(O14:Q14)</f>
        <v>6214.8329415131147</v>
      </c>
      <c r="AE19" s="152"/>
      <c r="AF19" s="152"/>
      <c r="AG19" s="160"/>
      <c r="AH19" s="156" t="s">
        <v>90</v>
      </c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8"/>
      <c r="AZ19" s="158"/>
      <c r="BA19" s="158"/>
      <c r="BB19" s="158"/>
      <c r="BC19" s="158"/>
      <c r="BD19" s="158"/>
      <c r="BE19" s="158"/>
      <c r="BF19" s="158"/>
      <c r="BG19" s="159" t="str">
        <f>IF(BG$9,FORECAST(BG13,$AP16:BF16,$AP13:BF13), "")</f>
        <v/>
      </c>
      <c r="BH19" s="159" t="str">
        <f>IF(BH$9,FORECAST(BH13,$AP16:BG16,$AP13:BG13), "")</f>
        <v/>
      </c>
      <c r="BI19" s="159" t="str">
        <f>IF(BI$9,FORECAST(BI13,$AP16:BH16,$AP13:BH13), "")</f>
        <v/>
      </c>
      <c r="BJ19" s="159" t="str">
        <f>IF(BJ$9,FORECAST(BJ13,$AP16:BI16,$AP13:BI13), "")</f>
        <v/>
      </c>
      <c r="BK19" s="159" t="str">
        <f>IF(BK$9,FORECAST(BK13,$AP16:BJ16,$AP13:BJ13), "")</f>
        <v/>
      </c>
      <c r="BL19" s="159" t="str">
        <f>IF(BL$9,FORECAST(BL13,$AP16:BK16,$AP13:BK13), "")</f>
        <v/>
      </c>
      <c r="BM19" s="159" t="str">
        <f>IF(BM$9,FORECAST(BM13,$AP16:BL16,$AP13:BL13), "")</f>
        <v/>
      </c>
      <c r="BN19" s="159">
        <f>IF(BN$9,FORECAST(BN13,$AP16:BM16,$AP13:BM13), "")</f>
        <v>1731.205882352941</v>
      </c>
      <c r="BO19" s="159">
        <f>IF(BO$9,FORECAST(BO13,$AP16:BN16,$AP13:BN13), "")</f>
        <v>1754.4117647058822</v>
      </c>
      <c r="BP19" s="159">
        <f>IF(BP$9,FORECAST(BP13,$AP16:BO16,$AP13:BO13), "")</f>
        <v>1777.6176470588234</v>
      </c>
      <c r="BQ19" s="159">
        <f>IF(BQ$9,FORECAST(BQ13,$AP16:BP16,$AP13:BP13), "")</f>
        <v>1800.8235294117646</v>
      </c>
      <c r="BR19" s="159">
        <f>IF(BR$9,FORECAST(BR13,$AP16:BQ16,$AP13:BQ13), "")</f>
        <v>1824.0294117647059</v>
      </c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</row>
    <row r="20" spans="1:83" s="69" customFormat="1" x14ac:dyDescent="0.2">
      <c r="A20" s="1"/>
      <c r="B20" s="1"/>
      <c r="C20" s="1"/>
      <c r="D20" s="1"/>
      <c r="E20" s="161" t="str">
        <f>+E13</f>
        <v>2018 Actual</v>
      </c>
      <c r="F20" s="162">
        <f t="shared" ref="F20:R20" si="12">IFERROR(F13/F6,"")</f>
        <v>1.4023636048669355</v>
      </c>
      <c r="G20" s="162">
        <f t="shared" si="12"/>
        <v>1.4010371524096152</v>
      </c>
      <c r="H20" s="162">
        <f t="shared" si="12"/>
        <v>1.4245661846536459</v>
      </c>
      <c r="I20" s="162">
        <f t="shared" si="12"/>
        <v>1.3838010196847828</v>
      </c>
      <c r="J20" s="162">
        <f t="shared" si="12"/>
        <v>1.3931040253240601</v>
      </c>
      <c r="K20" s="162">
        <f t="shared" si="12"/>
        <v>1.3428645525725389</v>
      </c>
      <c r="L20" s="162">
        <f t="shared" si="12"/>
        <v>1.3934987723102006</v>
      </c>
      <c r="M20" s="162">
        <f t="shared" si="12"/>
        <v>1.3972821374152673</v>
      </c>
      <c r="N20" s="162">
        <f t="shared" si="12"/>
        <v>1.4004505101822742</v>
      </c>
      <c r="O20" s="162">
        <f t="shared" si="12"/>
        <v>1.3687145414521813</v>
      </c>
      <c r="P20" s="162">
        <f t="shared" si="12"/>
        <v>1.364876543407028</v>
      </c>
      <c r="Q20" s="162">
        <f t="shared" si="12"/>
        <v>1.3865946938358777</v>
      </c>
      <c r="R20" s="163">
        <f t="shared" si="12"/>
        <v>1.387792868608114</v>
      </c>
      <c r="T20" s="101" t="str">
        <f>E8</f>
        <v>2020 Budget</v>
      </c>
      <c r="U20" s="137">
        <f>SUM(F8:H8)</f>
        <v>4755.8312755999996</v>
      </c>
      <c r="V20" s="137">
        <f>SUM(I8:K8)</f>
        <v>5031.5660772000001</v>
      </c>
      <c r="W20" s="137">
        <f>SUM(L8:N8)</f>
        <v>5045.6967465999996</v>
      </c>
      <c r="X20" s="130">
        <f>SUM(O8:Q8)</f>
        <v>5308.2652381999997</v>
      </c>
      <c r="Y20" s="152"/>
      <c r="Z20" s="101" t="str">
        <f>+E15</f>
        <v>2020 Budget</v>
      </c>
      <c r="AA20" s="137">
        <f>SUM(F15:H15)</f>
        <v>6013.2899675046574</v>
      </c>
      <c r="AB20" s="137">
        <f>SUM(I15:K15)</f>
        <v>6361.2414540951777</v>
      </c>
      <c r="AC20" s="137">
        <f>SUM(L15:N15)</f>
        <v>6367.730338968523</v>
      </c>
      <c r="AD20" s="130">
        <f>SUM(O15:Q15)</f>
        <v>6317.848168505182</v>
      </c>
      <c r="AE20" s="152"/>
      <c r="AF20" s="152"/>
      <c r="AG20" s="118"/>
      <c r="AH20" s="153" t="s">
        <v>1</v>
      </c>
      <c r="AI20" s="164"/>
      <c r="AJ20" s="164"/>
      <c r="AK20" s="164"/>
      <c r="AL20" s="1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65"/>
      <c r="BD20" s="165"/>
      <c r="BE20" s="165"/>
      <c r="BF20" s="165"/>
      <c r="BG20" s="150">
        <f>SUMIFS('Units sold'!$D:$D,'Units sold'!$A:$A,$E$2,'Units sold'!$B:$B,BG$15,'Units sold'!$C:$C,"Periodic")</f>
        <v>1517.0348428</v>
      </c>
      <c r="BH20" s="150">
        <f>SUMIFS('Units sold'!$D:$D,'Units sold'!$A:$A,$E$2,'Units sold'!$B:$B,BH$15,'Units sold'!$C:$C,"Periodic")</f>
        <v>1738.5623352</v>
      </c>
      <c r="BI20" s="150">
        <f>SUMIFS('Units sold'!$D:$D,'Units sold'!$A:$A,$E$2,'Units sold'!$B:$B,BI$15,'Units sold'!$C:$C,"Periodic")</f>
        <v>1500.2340976</v>
      </c>
      <c r="BJ20" s="150">
        <f>SUMIFS('Units sold'!$D:$D,'Units sold'!$A:$A,$E$2,'Units sold'!$B:$B,BJ$15,'Units sold'!$C:$C,"Periodic")</f>
        <v>1771.7410027999999</v>
      </c>
      <c r="BK20" s="150">
        <f>SUMIFS('Units sold'!$D:$D,'Units sold'!$A:$A,$E$2,'Units sold'!$B:$B,BK$15,'Units sold'!$C:$C,"Periodic")</f>
        <v>1745.200938</v>
      </c>
      <c r="BL20" s="150">
        <f>SUMIFS('Units sold'!$D:$D,'Units sold'!$A:$A,$E$2,'Units sold'!$B:$B,BL$15,'Units sold'!$C:$C,"Periodic")</f>
        <v>1514.6241364</v>
      </c>
      <c r="BM20" s="150">
        <f>SUMIFS('Units sold'!$D:$D,'Units sold'!$A:$A,$E$2,'Units sold'!$B:$B,BM$15,'Units sold'!$C:$C,"Periodic")</f>
        <v>1826.1332344</v>
      </c>
      <c r="BN20" s="150">
        <f>SUMIFS('Units sold'!$D:$D,'Units sold'!$A:$A,$E$2,'Units sold'!$B:$B,BN$15,'Units sold'!$C:$C,"Periodic")</f>
        <v>1531.091353</v>
      </c>
      <c r="BO20" s="150">
        <f>SUMIFS('Units sold'!$D:$D,'Units sold'!$A:$A,$E$2,'Units sold'!$B:$B,BO$15,'Units sold'!$C:$C,"Periodic")</f>
        <v>1688.4721591999999</v>
      </c>
      <c r="BP20" s="150">
        <f>SUMIFS('Units sold'!$D:$D,'Units sold'!$A:$A,$E$2,'Units sold'!$B:$B,BP$15,'Units sold'!$C:$C,"Periodic")</f>
        <v>1783.2480271999998</v>
      </c>
      <c r="BQ20" s="150">
        <f>SUMIFS('Units sold'!$D:$D,'Units sold'!$A:$A,$E$2,'Units sold'!$B:$B,BQ$15,'Units sold'!$C:$C,"Periodic")</f>
        <v>1709.0544464</v>
      </c>
      <c r="BR20" s="150">
        <f>SUMIFS('Units sold'!$D:$D,'Units sold'!$A:$A,$E$2,'Units sold'!$B:$B,BR$15,'Units sold'!$C:$C,"Periodic")</f>
        <v>1815.9627645999999</v>
      </c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</row>
    <row r="21" spans="1:83" s="69" customFormat="1" x14ac:dyDescent="0.2">
      <c r="A21" s="1"/>
      <c r="B21" s="1"/>
      <c r="C21" s="1"/>
      <c r="D21" s="1"/>
      <c r="E21" s="161" t="str">
        <f>+E14</f>
        <v>2019 Actual</v>
      </c>
      <c r="F21" s="162">
        <f t="shared" ref="F21:R21" si="13">IFERROR(F14/F7,"")</f>
        <v>1.3501491819381439</v>
      </c>
      <c r="G21" s="162">
        <f t="shared" si="13"/>
        <v>1.3929251651830468</v>
      </c>
      <c r="H21" s="162">
        <f t="shared" si="13"/>
        <v>1.3601727700956239</v>
      </c>
      <c r="I21" s="162">
        <f t="shared" si="13"/>
        <v>1.4223173742828958</v>
      </c>
      <c r="J21" s="162">
        <f t="shared" si="13"/>
        <v>1.368266588522546</v>
      </c>
      <c r="K21" s="162">
        <f t="shared" si="13"/>
        <v>1.4006113317768953</v>
      </c>
      <c r="L21" s="162">
        <f t="shared" si="13"/>
        <v>1.4113558670566153</v>
      </c>
      <c r="M21" s="162">
        <f t="shared" si="13"/>
        <v>1.3924445326978472</v>
      </c>
      <c r="N21" s="162">
        <f t="shared" si="13"/>
        <v>1.3754831648991606</v>
      </c>
      <c r="O21" s="162">
        <f t="shared" si="13"/>
        <v>1.369088676614717</v>
      </c>
      <c r="P21" s="162">
        <f t="shared" si="13"/>
        <v>1.3921980252440738</v>
      </c>
      <c r="Q21" s="162">
        <f t="shared" si="13"/>
        <v>1.4097571513919234</v>
      </c>
      <c r="R21" s="163">
        <f t="shared" si="13"/>
        <v>1.3885177663082788</v>
      </c>
      <c r="T21" s="101" t="str">
        <f>E9</f>
        <v>2020 Actual</v>
      </c>
      <c r="U21" s="137">
        <f>SUM(F9:H9)</f>
        <v>5138</v>
      </c>
      <c r="V21" s="137">
        <f>SUM(I9:K9)</f>
        <v>4560</v>
      </c>
      <c r="W21" s="137">
        <f>SUM(L9:N9)</f>
        <v>1852</v>
      </c>
      <c r="X21" s="130">
        <f>SUM(O9:Q9)</f>
        <v>0</v>
      </c>
      <c r="Y21" s="152"/>
      <c r="Z21" s="101" t="str">
        <f>+E16</f>
        <v>2020 Actual</v>
      </c>
      <c r="AA21" s="137">
        <f>SUM(F16:H16)</f>
        <v>7151.0179173779998</v>
      </c>
      <c r="AB21" s="137">
        <f>SUM(I16:K16)</f>
        <v>6363.4506281069998</v>
      </c>
      <c r="AC21" s="137">
        <f>SUM(L16:N16)</f>
        <v>2230.7593678140001</v>
      </c>
      <c r="AD21" s="130">
        <f>SUM(O16:Q16)</f>
        <v>0</v>
      </c>
      <c r="AE21" s="118"/>
      <c r="AF21" s="118"/>
      <c r="AG21" s="118"/>
      <c r="AH21" s="153" t="s">
        <v>34</v>
      </c>
      <c r="AI21" s="118"/>
      <c r="AJ21" s="118"/>
      <c r="AK21" s="118"/>
      <c r="AL21" s="1"/>
      <c r="BD21" s="166"/>
      <c r="BE21" s="166"/>
      <c r="BF21" s="166"/>
      <c r="BG21" s="150" t="str">
        <f t="shared" ref="BG21:BR21" si="14">IF(OR(BG$8=1,BG$9=1),F10,"")</f>
        <v/>
      </c>
      <c r="BH21" s="150" t="str">
        <f t="shared" si="14"/>
        <v/>
      </c>
      <c r="BI21" s="150" t="str">
        <f t="shared" si="14"/>
        <v/>
      </c>
      <c r="BJ21" s="150" t="str">
        <f t="shared" si="14"/>
        <v/>
      </c>
      <c r="BK21" s="150" t="str">
        <f t="shared" si="14"/>
        <v/>
      </c>
      <c r="BL21" s="150" t="str">
        <f t="shared" si="14"/>
        <v/>
      </c>
      <c r="BM21" s="150">
        <f t="shared" si="14"/>
        <v>1852</v>
      </c>
      <c r="BN21" s="150">
        <f t="shared" si="14"/>
        <v>1440.9444834415629</v>
      </c>
      <c r="BO21" s="150">
        <f t="shared" si="14"/>
        <v>1546.5135772108297</v>
      </c>
      <c r="BP21" s="150">
        <f t="shared" si="14"/>
        <v>1688.155482175099</v>
      </c>
      <c r="BQ21" s="150">
        <f t="shared" si="14"/>
        <v>1438.9634473016176</v>
      </c>
      <c r="BR21" s="150">
        <f t="shared" si="14"/>
        <v>1507.3739307124163</v>
      </c>
      <c r="BS21" s="165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</row>
    <row r="22" spans="1:83" s="69" customFormat="1" x14ac:dyDescent="0.2">
      <c r="A22" s="1"/>
      <c r="B22" s="1"/>
      <c r="C22" s="1"/>
      <c r="D22" s="1"/>
      <c r="E22" s="167" t="str">
        <f>+E15</f>
        <v>2020 Budget</v>
      </c>
      <c r="F22" s="168">
        <f t="shared" ref="F22:R22" si="15">IFERROR(F15/F8,"")</f>
        <v>1.2391094941987781</v>
      </c>
      <c r="G22" s="168">
        <f t="shared" si="15"/>
        <v>1.2790227837329022</v>
      </c>
      <c r="H22" s="168">
        <f t="shared" si="15"/>
        <v>1.2730392251152278</v>
      </c>
      <c r="I22" s="168">
        <f t="shared" si="15"/>
        <v>1.2773697868976348</v>
      </c>
      <c r="J22" s="168">
        <f t="shared" si="15"/>
        <v>1.2412001242664696</v>
      </c>
      <c r="K22" s="168">
        <f t="shared" si="15"/>
        <v>1.2755173771276638</v>
      </c>
      <c r="L22" s="168">
        <f t="shared" si="15"/>
        <v>1.2568405034771175</v>
      </c>
      <c r="M22" s="168">
        <f t="shared" si="15"/>
        <v>1.2829599880270977</v>
      </c>
      <c r="N22" s="168">
        <f t="shared" si="15"/>
        <v>1.248609975490828</v>
      </c>
      <c r="O22" s="168">
        <f t="shared" si="15"/>
        <v>1.2905286738468533</v>
      </c>
      <c r="P22" s="168">
        <f t="shared" si="15"/>
        <v>1.1477857558179612</v>
      </c>
      <c r="Q22" s="168">
        <f t="shared" si="15"/>
        <v>1.1315689657216652</v>
      </c>
      <c r="R22" s="169">
        <f t="shared" si="15"/>
        <v>1.2442114511254059</v>
      </c>
      <c r="T22" s="138" t="s">
        <v>34</v>
      </c>
      <c r="U22" s="170">
        <f>SUM(F10:H10)</f>
        <v>5138</v>
      </c>
      <c r="V22" s="170">
        <f>SUM(I10:K10)</f>
        <v>4560</v>
      </c>
      <c r="W22" s="170">
        <f>SUM(L10:N10)</f>
        <v>4839.4580606523923</v>
      </c>
      <c r="X22" s="139">
        <f>SUM(O10:Q10)</f>
        <v>4634.4928601891324</v>
      </c>
      <c r="Y22" s="118"/>
      <c r="Z22" s="138" t="s">
        <v>34</v>
      </c>
      <c r="AA22" s="170">
        <f>SUM(F17:H17)</f>
        <v>7151.0179173779998</v>
      </c>
      <c r="AB22" s="170">
        <f>SUM(I17:K17)</f>
        <v>6363.4506281069998</v>
      </c>
      <c r="AC22" s="170">
        <f>SUM(L17:N17)</f>
        <v>6303.3314930429306</v>
      </c>
      <c r="AD22" s="139">
        <f>SUM(O17:Q17)</f>
        <v>6317.848168505182</v>
      </c>
      <c r="AE22" s="118"/>
      <c r="AF22" s="118"/>
      <c r="AG22" s="6" t="s">
        <v>30</v>
      </c>
      <c r="AH22" s="171" t="s">
        <v>26</v>
      </c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8"/>
      <c r="BA22" s="158"/>
      <c r="BB22" s="158"/>
      <c r="BC22" s="158"/>
      <c r="BD22" s="158"/>
      <c r="BE22" s="158"/>
      <c r="BF22" s="158"/>
      <c r="BG22" s="159">
        <f t="shared" ref="BG22:BR22" si="16">IF(BG18="",BG20,BG18)</f>
        <v>1517.0348428</v>
      </c>
      <c r="BH22" s="159">
        <f t="shared" si="16"/>
        <v>1738.5623352</v>
      </c>
      <c r="BI22" s="159">
        <f t="shared" si="16"/>
        <v>1500.2340976</v>
      </c>
      <c r="BJ22" s="159">
        <f t="shared" si="16"/>
        <v>1771.7410027999999</v>
      </c>
      <c r="BK22" s="159">
        <f t="shared" si="16"/>
        <v>1745.200938</v>
      </c>
      <c r="BL22" s="159">
        <f t="shared" si="16"/>
        <v>1514.6241364</v>
      </c>
      <c r="BM22" s="159">
        <f t="shared" si="16"/>
        <v>1826.1332344</v>
      </c>
      <c r="BN22" s="159">
        <f t="shared" si="16"/>
        <v>1752.0727272727272</v>
      </c>
      <c r="BO22" s="159">
        <f t="shared" si="16"/>
        <v>1779.8727272727274</v>
      </c>
      <c r="BP22" s="159">
        <f t="shared" si="16"/>
        <v>1807.6727272727273</v>
      </c>
      <c r="BQ22" s="159">
        <f t="shared" si="16"/>
        <v>1835.4727272727273</v>
      </c>
      <c r="BR22" s="159">
        <f t="shared" si="16"/>
        <v>1863.2727272727273</v>
      </c>
      <c r="BS22" s="174">
        <f>SUM(BG22:BR22)</f>
        <v>20651.894223563635</v>
      </c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</row>
    <row r="23" spans="1:83" s="69" customFormat="1" x14ac:dyDescent="0.2">
      <c r="A23" s="1"/>
      <c r="B23" s="1"/>
      <c r="C23" s="1"/>
      <c r="D23" s="1"/>
      <c r="E23" s="161" t="str">
        <f>+E16</f>
        <v>2020 Actual</v>
      </c>
      <c r="F23" s="172">
        <f t="shared" ref="F23:R23" si="17">IFERROR(F16/F9,"")</f>
        <v>1.3855365699014002</v>
      </c>
      <c r="G23" s="172">
        <f t="shared" si="17"/>
        <v>1.3990502874432991</v>
      </c>
      <c r="H23" s="172">
        <f t="shared" si="17"/>
        <v>1.3922061695154888</v>
      </c>
      <c r="I23" s="172">
        <f t="shared" si="17"/>
        <v>1.3789125014570816</v>
      </c>
      <c r="J23" s="172">
        <f t="shared" si="17"/>
        <v>1.356024929831126</v>
      </c>
      <c r="K23" s="172">
        <f t="shared" si="17"/>
        <v>1.4456012754388619</v>
      </c>
      <c r="L23" s="172">
        <f t="shared" si="17"/>
        <v>1.2045136975237583</v>
      </c>
      <c r="M23" s="172" t="str">
        <f t="shared" si="17"/>
        <v/>
      </c>
      <c r="N23" s="172" t="str">
        <f t="shared" si="17"/>
        <v/>
      </c>
      <c r="O23" s="172" t="str">
        <f t="shared" si="17"/>
        <v/>
      </c>
      <c r="P23" s="172" t="str">
        <f t="shared" si="17"/>
        <v/>
      </c>
      <c r="Q23" s="172" t="str">
        <f t="shared" si="17"/>
        <v/>
      </c>
      <c r="R23" s="173">
        <f t="shared" si="17"/>
        <v>1.3632231959566232</v>
      </c>
      <c r="AE23" s="127"/>
      <c r="AF23" s="127"/>
      <c r="AG23" s="164"/>
      <c r="AH23" s="171" t="s">
        <v>90</v>
      </c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8"/>
      <c r="AZ23" s="158"/>
      <c r="BA23" s="158"/>
      <c r="BB23" s="158"/>
      <c r="BC23" s="158"/>
      <c r="BD23" s="158"/>
      <c r="BE23" s="158"/>
      <c r="BF23" s="158"/>
      <c r="BG23" s="159">
        <f t="shared" ref="BG23:BR23" si="18">IF(BG19="",BG20,BG19)</f>
        <v>1517.0348428</v>
      </c>
      <c r="BH23" s="159">
        <f t="shared" si="18"/>
        <v>1738.5623352</v>
      </c>
      <c r="BI23" s="159">
        <f t="shared" si="18"/>
        <v>1500.2340976</v>
      </c>
      <c r="BJ23" s="159">
        <f t="shared" si="18"/>
        <v>1771.7410027999999</v>
      </c>
      <c r="BK23" s="159">
        <f t="shared" si="18"/>
        <v>1745.200938</v>
      </c>
      <c r="BL23" s="159">
        <f t="shared" si="18"/>
        <v>1514.6241364</v>
      </c>
      <c r="BM23" s="159">
        <f t="shared" si="18"/>
        <v>1826.1332344</v>
      </c>
      <c r="BN23" s="159">
        <f t="shared" si="18"/>
        <v>1731.205882352941</v>
      </c>
      <c r="BO23" s="159">
        <f t="shared" si="18"/>
        <v>1754.4117647058822</v>
      </c>
      <c r="BP23" s="159">
        <f t="shared" si="18"/>
        <v>1777.6176470588234</v>
      </c>
      <c r="BQ23" s="159">
        <f t="shared" si="18"/>
        <v>1800.8235294117646</v>
      </c>
      <c r="BR23" s="159">
        <f t="shared" si="18"/>
        <v>1824.0294117647059</v>
      </c>
      <c r="BS23" s="174">
        <f>SUM(BG23:BR23)</f>
        <v>20501.618822494118</v>
      </c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</row>
    <row r="24" spans="1:83" s="69" customFormat="1" x14ac:dyDescent="0.2">
      <c r="A24" s="1"/>
      <c r="B24" s="1"/>
      <c r="C24" s="1"/>
      <c r="D24" s="1"/>
      <c r="E24" s="161" t="str">
        <f>+E17</f>
        <v>Forecast</v>
      </c>
      <c r="F24" s="172">
        <f>IF(F23="",IFERROR(SUM(E17:$F17)/SUM(E10:$F10),""),F17/F10)</f>
        <v>1.3855365699014002</v>
      </c>
      <c r="G24" s="175">
        <f>IF(G23="",IFERROR(SUM(F17:$F17)/SUM(F10:$F10),""),G17/G10)</f>
        <v>1.3990502874432991</v>
      </c>
      <c r="H24" s="175">
        <f>IF(H23="",IFERROR(SUM($F17:G17)/SUM($F10:G10),""),H17/H10)</f>
        <v>1.3922061695154888</v>
      </c>
      <c r="I24" s="175">
        <f>IF(I23="",IFERROR(SUM($F17:H17)/SUM($F10:H10),""),I17/I10)</f>
        <v>1.3789125014570816</v>
      </c>
      <c r="J24" s="175">
        <f>IF(J23="",IFERROR(SUM($F17:I17)/SUM($F10:I10),""),J17/J10)</f>
        <v>1.356024929831126</v>
      </c>
      <c r="K24" s="175">
        <f>IF(K23="",IFERROR(SUM($F17:J17)/SUM($F10:J10),""),K17/K10)</f>
        <v>1.4456012754388619</v>
      </c>
      <c r="L24" s="175">
        <f>IF(L23="",IFERROR(SUM($F17:K17)/SUM($F10:K10),""),L17/L10)</f>
        <v>1.2045136975237583</v>
      </c>
      <c r="M24" s="175">
        <f>IF(M23="",IFERROR(SUM($F17:L17)/SUM($F10:L10),""),M17/M10)</f>
        <v>1.3632231959566232</v>
      </c>
      <c r="N24" s="175">
        <f>IF(N23="",IFERROR(SUM($F17:M17)/SUM($F10:M10),""),N17/N10)</f>
        <v>1.3632231959566232</v>
      </c>
      <c r="O24" s="175">
        <f>IF(O23="",IFERROR(SUM($F17:N17)/SUM($F10:N10),""),O17/O10)</f>
        <v>1.3632231959566234</v>
      </c>
      <c r="P24" s="175">
        <f>IF(P23="",IFERROR(SUM($F17:O17)/SUM($F10:O10),""),P17/P10)</f>
        <v>1.3632231959566232</v>
      </c>
      <c r="Q24" s="175">
        <f>IF(Q23="",IFERROR(SUM($F17:P17)/SUM($F10:P10),""),Q17/Q10)</f>
        <v>1.3632231959566232</v>
      </c>
      <c r="R24" s="173">
        <f>IFERROR(R17/R10,"")</f>
        <v>1.3632231959566232</v>
      </c>
      <c r="T24" s="122" t="s">
        <v>97</v>
      </c>
      <c r="U24" s="151" t="str">
        <f>AA24</f>
        <v>Q1</v>
      </c>
      <c r="V24" s="151" t="str">
        <f t="shared" ref="V24:X24" si="19">AB24</f>
        <v>Q2</v>
      </c>
      <c r="W24" s="151" t="str">
        <f t="shared" si="19"/>
        <v>Q3</v>
      </c>
      <c r="X24" s="151" t="str">
        <f t="shared" si="19"/>
        <v>Q4</v>
      </c>
      <c r="Y24" s="127"/>
      <c r="Z24" s="122" t="s">
        <v>97</v>
      </c>
      <c r="AA24" s="151" t="s">
        <v>21</v>
      </c>
      <c r="AB24" s="151" t="s">
        <v>22</v>
      </c>
      <c r="AC24" s="151" t="s">
        <v>23</v>
      </c>
      <c r="AD24" s="123" t="s">
        <v>24</v>
      </c>
      <c r="AE24" s="137"/>
      <c r="AF24" s="137"/>
      <c r="AG24" s="6" t="s">
        <v>89</v>
      </c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</row>
    <row r="25" spans="1:83" s="69" customFormat="1" x14ac:dyDescent="0.2">
      <c r="A25" s="1"/>
      <c r="B25" s="1"/>
      <c r="C25" s="1"/>
      <c r="D25" s="1"/>
      <c r="T25" s="101" t="str">
        <f>"vs "&amp;$A$6</f>
        <v>vs 2018</v>
      </c>
      <c r="U25" s="176">
        <f t="shared" ref="U25:X26" si="20">IFERROR(U$21/U18-1,"")</f>
        <v>0.6136934673366834</v>
      </c>
      <c r="V25" s="176">
        <f t="shared" si="20"/>
        <v>0.26948775055679297</v>
      </c>
      <c r="W25" s="176">
        <f t="shared" si="20"/>
        <v>-0.49972987574284167</v>
      </c>
      <c r="X25" s="136">
        <f t="shared" si="20"/>
        <v>-1</v>
      </c>
      <c r="Y25" s="137"/>
      <c r="Z25" s="101" t="str">
        <f>"vs "&amp;$A$6</f>
        <v>vs 2018</v>
      </c>
      <c r="AA25" s="176">
        <f t="shared" ref="AA25:AD26" si="21">IFERROR(AA$21/AA18-1,"")</f>
        <v>0.59289429490504797</v>
      </c>
      <c r="AB25" s="176">
        <f t="shared" si="21"/>
        <v>0.28930100758581134</v>
      </c>
      <c r="AC25" s="176">
        <f t="shared" si="21"/>
        <v>-0.5686855957190764</v>
      </c>
      <c r="AD25" s="136">
        <f t="shared" si="21"/>
        <v>-1</v>
      </c>
      <c r="AE25" s="137"/>
      <c r="AF25" s="137"/>
      <c r="AH25" s="118" t="str">
        <f>AH16</f>
        <v>Actual</v>
      </c>
      <c r="AU25" s="150">
        <f t="shared" ref="AU25:BR25" si="22">IF(AU16="",NA(),AU16)</f>
        <v>1252</v>
      </c>
      <c r="AV25" s="150">
        <f t="shared" si="22"/>
        <v>1444</v>
      </c>
      <c r="AW25" s="150">
        <f t="shared" si="22"/>
        <v>1136</v>
      </c>
      <c r="AX25" s="150">
        <f t="shared" si="22"/>
        <v>1582</v>
      </c>
      <c r="AY25" s="150">
        <f t="shared" si="22"/>
        <v>1440</v>
      </c>
      <c r="AZ25" s="150">
        <f t="shared" si="22"/>
        <v>1258</v>
      </c>
      <c r="BA25" s="150">
        <f t="shared" si="22"/>
        <v>1734</v>
      </c>
      <c r="BB25" s="150">
        <f t="shared" si="22"/>
        <v>1292</v>
      </c>
      <c r="BC25" s="150">
        <f t="shared" si="22"/>
        <v>1418</v>
      </c>
      <c r="BD25" s="150">
        <f t="shared" si="22"/>
        <v>1532</v>
      </c>
      <c r="BE25" s="150">
        <f t="shared" si="22"/>
        <v>1394</v>
      </c>
      <c r="BF25" s="150">
        <f t="shared" si="22"/>
        <v>1544</v>
      </c>
      <c r="BG25" s="150">
        <f t="shared" si="22"/>
        <v>1714</v>
      </c>
      <c r="BH25" s="150">
        <f t="shared" si="22"/>
        <v>1358</v>
      </c>
      <c r="BI25" s="150">
        <f t="shared" si="22"/>
        <v>2066</v>
      </c>
      <c r="BJ25" s="150">
        <f t="shared" si="22"/>
        <v>1398</v>
      </c>
      <c r="BK25" s="150">
        <f t="shared" si="22"/>
        <v>1510</v>
      </c>
      <c r="BL25" s="150">
        <f t="shared" si="22"/>
        <v>1652</v>
      </c>
      <c r="BM25" s="150">
        <f t="shared" si="22"/>
        <v>1852</v>
      </c>
      <c r="BN25" s="150" t="e">
        <f t="shared" si="22"/>
        <v>#N/A</v>
      </c>
      <c r="BO25" s="150" t="e">
        <f t="shared" si="22"/>
        <v>#N/A</v>
      </c>
      <c r="BP25" s="150" t="e">
        <f t="shared" si="22"/>
        <v>#N/A</v>
      </c>
      <c r="BQ25" s="150" t="e">
        <f t="shared" si="22"/>
        <v>#N/A</v>
      </c>
      <c r="BR25" s="150" t="e">
        <f t="shared" si="22"/>
        <v>#N/A</v>
      </c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</row>
    <row r="26" spans="1:83" s="69" customForma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T26" s="101" t="str">
        <f>"vs "&amp;$A$7</f>
        <v>vs 2019</v>
      </c>
      <c r="U26" s="176">
        <f t="shared" si="20"/>
        <v>0.34081419624217113</v>
      </c>
      <c r="V26" s="176">
        <f t="shared" si="20"/>
        <v>6.5420560747663448E-2</v>
      </c>
      <c r="W26" s="176">
        <f t="shared" si="20"/>
        <v>-0.58325832583258319</v>
      </c>
      <c r="X26" s="136">
        <f t="shared" si="20"/>
        <v>-1</v>
      </c>
      <c r="Y26" s="137"/>
      <c r="Z26" s="101" t="str">
        <f>"vs "&amp;$A$7</f>
        <v>vs 2019</v>
      </c>
      <c r="AA26" s="176">
        <f t="shared" si="21"/>
        <v>0.36289640452076077</v>
      </c>
      <c r="AB26" s="176">
        <f t="shared" si="21"/>
        <v>6.3699006247969647E-2</v>
      </c>
      <c r="AC26" s="176">
        <f t="shared" si="21"/>
        <v>-0.64001224279268765</v>
      </c>
      <c r="AD26" s="136">
        <f t="shared" si="21"/>
        <v>-1</v>
      </c>
      <c r="AE26" s="137"/>
      <c r="AF26" s="137"/>
      <c r="AH26" s="118" t="str">
        <f>AH20</f>
        <v>Budget</v>
      </c>
      <c r="AU26" s="150" t="e">
        <f t="shared" ref="AU26:BR26" si="23">IF(AU17="",NA(),AU17)</f>
        <v>#N/A</v>
      </c>
      <c r="AV26" s="150" t="e">
        <f t="shared" si="23"/>
        <v>#N/A</v>
      </c>
      <c r="AW26" s="150" t="e">
        <f t="shared" si="23"/>
        <v>#N/A</v>
      </c>
      <c r="AX26" s="150" t="e">
        <f t="shared" si="23"/>
        <v>#N/A</v>
      </c>
      <c r="AY26" s="150" t="e">
        <f t="shared" si="23"/>
        <v>#N/A</v>
      </c>
      <c r="AZ26" s="150" t="e">
        <f t="shared" si="23"/>
        <v>#N/A</v>
      </c>
      <c r="BA26" s="150" t="e">
        <f t="shared" si="23"/>
        <v>#N/A</v>
      </c>
      <c r="BB26" s="150" t="e">
        <f t="shared" si="23"/>
        <v>#N/A</v>
      </c>
      <c r="BC26" s="150" t="e">
        <f t="shared" si="23"/>
        <v>#N/A</v>
      </c>
      <c r="BD26" s="150" t="e">
        <f t="shared" si="23"/>
        <v>#N/A</v>
      </c>
      <c r="BE26" s="150" t="e">
        <f t="shared" si="23"/>
        <v>#N/A</v>
      </c>
      <c r="BF26" s="150" t="e">
        <f t="shared" si="23"/>
        <v>#N/A</v>
      </c>
      <c r="BG26" s="150" t="e">
        <f t="shared" si="23"/>
        <v>#N/A</v>
      </c>
      <c r="BH26" s="150" t="e">
        <f t="shared" si="23"/>
        <v>#N/A</v>
      </c>
      <c r="BI26" s="150" t="e">
        <f t="shared" si="23"/>
        <v>#N/A</v>
      </c>
      <c r="BJ26" s="150" t="e">
        <f t="shared" si="23"/>
        <v>#N/A</v>
      </c>
      <c r="BK26" s="150" t="e">
        <f t="shared" si="23"/>
        <v>#N/A</v>
      </c>
      <c r="BL26" s="150" t="e">
        <f t="shared" si="23"/>
        <v>#N/A</v>
      </c>
      <c r="BM26" s="150">
        <f t="shared" si="23"/>
        <v>1826.1332344</v>
      </c>
      <c r="BN26" s="150">
        <f t="shared" si="23"/>
        <v>1531.091353</v>
      </c>
      <c r="BO26" s="150">
        <f t="shared" si="23"/>
        <v>1688.4721591999999</v>
      </c>
      <c r="BP26" s="150">
        <f t="shared" si="23"/>
        <v>1783.2480271999998</v>
      </c>
      <c r="BQ26" s="150">
        <f t="shared" si="23"/>
        <v>1709.0544464</v>
      </c>
      <c r="BR26" s="150">
        <f t="shared" si="23"/>
        <v>1815.9627645999999</v>
      </c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</row>
    <row r="27" spans="1:83" s="69" customForma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T27" s="138" t="str">
        <f>"Forecast "&amp;"vs. "&amp;$A$7</f>
        <v>Forecast vs. 2019</v>
      </c>
      <c r="U27" s="177">
        <f>IFERROR(U22/U19-1,"")</f>
        <v>0.34081419624217113</v>
      </c>
      <c r="V27" s="177">
        <f>IFERROR(V22/V19-1,"")</f>
        <v>6.5420560747663448E-2</v>
      </c>
      <c r="W27" s="177">
        <f>IFERROR(W22/W19-1,"")</f>
        <v>8.8986962343022613E-2</v>
      </c>
      <c r="X27" s="178">
        <f>IFERROR(X22/X19-1,"")</f>
        <v>3.6799297581461499E-2</v>
      </c>
      <c r="Y27" s="29"/>
      <c r="Z27" s="138" t="str">
        <f>"Forecast "&amp;"vs. "&amp;$A$7</f>
        <v>Forecast vs. 2019</v>
      </c>
      <c r="AA27" s="177">
        <f>IFERROR(AA22/AA19-1,"")</f>
        <v>0.36289640452076077</v>
      </c>
      <c r="AB27" s="177">
        <f>IFERROR(AB22/AB19-1,"")</f>
        <v>6.3699006247969647E-2</v>
      </c>
      <c r="AC27" s="177">
        <f>IFERROR(AC22/AC19-1,"")</f>
        <v>1.7197192962294716E-2</v>
      </c>
      <c r="AD27" s="178">
        <f>IFERROR(AD22/AD19-1,"")</f>
        <v>1.6575703315202306E-2</v>
      </c>
      <c r="AE27" s="137"/>
      <c r="AF27" s="137"/>
      <c r="AH27" s="118" t="str">
        <f>AH18</f>
        <v>Trend 6m</v>
      </c>
      <c r="AU27" s="150" t="e">
        <f t="shared" ref="AU27:BR27" si="24">IF(AU18="",NA(),AU18)</f>
        <v>#N/A</v>
      </c>
      <c r="AV27" s="150" t="e">
        <f t="shared" si="24"/>
        <v>#N/A</v>
      </c>
      <c r="AW27" s="150" t="e">
        <f t="shared" si="24"/>
        <v>#N/A</v>
      </c>
      <c r="AX27" s="150" t="e">
        <f t="shared" si="24"/>
        <v>#N/A</v>
      </c>
      <c r="AY27" s="150" t="e">
        <f t="shared" si="24"/>
        <v>#N/A</v>
      </c>
      <c r="AZ27" s="150" t="e">
        <f t="shared" si="24"/>
        <v>#N/A</v>
      </c>
      <c r="BA27" s="150" t="e">
        <f t="shared" si="24"/>
        <v>#N/A</v>
      </c>
      <c r="BB27" s="150" t="e">
        <f t="shared" si="24"/>
        <v>#N/A</v>
      </c>
      <c r="BC27" s="150" t="e">
        <f t="shared" si="24"/>
        <v>#N/A</v>
      </c>
      <c r="BD27" s="150" t="e">
        <f t="shared" si="24"/>
        <v>#N/A</v>
      </c>
      <c r="BE27" s="150" t="e">
        <f t="shared" si="24"/>
        <v>#N/A</v>
      </c>
      <c r="BF27" s="150" t="e">
        <f t="shared" si="24"/>
        <v>#N/A</v>
      </c>
      <c r="BG27" s="150" t="e">
        <f t="shared" si="24"/>
        <v>#N/A</v>
      </c>
      <c r="BH27" s="150" t="e">
        <f t="shared" si="24"/>
        <v>#N/A</v>
      </c>
      <c r="BI27" s="150" t="e">
        <f t="shared" si="24"/>
        <v>#N/A</v>
      </c>
      <c r="BJ27" s="150" t="e">
        <f t="shared" si="24"/>
        <v>#N/A</v>
      </c>
      <c r="BK27" s="150" t="e">
        <f t="shared" si="24"/>
        <v>#N/A</v>
      </c>
      <c r="BL27" s="150" t="e">
        <f t="shared" si="24"/>
        <v>#N/A</v>
      </c>
      <c r="BM27" s="150" t="e">
        <f t="shared" si="24"/>
        <v>#N/A</v>
      </c>
      <c r="BN27" s="150">
        <f t="shared" si="24"/>
        <v>1752.0727272727272</v>
      </c>
      <c r="BO27" s="150">
        <f t="shared" si="24"/>
        <v>1779.8727272727274</v>
      </c>
      <c r="BP27" s="150">
        <f t="shared" si="24"/>
        <v>1807.6727272727273</v>
      </c>
      <c r="BQ27" s="150">
        <f t="shared" si="24"/>
        <v>1835.4727272727273</v>
      </c>
      <c r="BR27" s="150">
        <f t="shared" si="24"/>
        <v>1863.2727272727273</v>
      </c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</row>
    <row r="28" spans="1:83" s="69" customForma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AE28" s="137"/>
      <c r="AF28" s="137"/>
      <c r="AG28" s="1"/>
      <c r="AH28" s="118" t="str">
        <f>AH19</f>
        <v>Trend 12m</v>
      </c>
      <c r="AI28" s="1"/>
      <c r="AJ28" s="1"/>
      <c r="AK28" s="1"/>
      <c r="AL28" s="1"/>
      <c r="AU28" s="150" t="e">
        <f t="shared" ref="AU28:BR28" si="25">IF(AU19="",NA(),AU19)</f>
        <v>#N/A</v>
      </c>
      <c r="AV28" s="150" t="e">
        <f t="shared" si="25"/>
        <v>#N/A</v>
      </c>
      <c r="AW28" s="150" t="e">
        <f t="shared" si="25"/>
        <v>#N/A</v>
      </c>
      <c r="AX28" s="150" t="e">
        <f t="shared" si="25"/>
        <v>#N/A</v>
      </c>
      <c r="AY28" s="150" t="e">
        <f t="shared" si="25"/>
        <v>#N/A</v>
      </c>
      <c r="AZ28" s="150" t="e">
        <f t="shared" si="25"/>
        <v>#N/A</v>
      </c>
      <c r="BA28" s="150" t="e">
        <f t="shared" si="25"/>
        <v>#N/A</v>
      </c>
      <c r="BB28" s="150" t="e">
        <f t="shared" si="25"/>
        <v>#N/A</v>
      </c>
      <c r="BC28" s="150" t="e">
        <f t="shared" si="25"/>
        <v>#N/A</v>
      </c>
      <c r="BD28" s="150" t="e">
        <f t="shared" si="25"/>
        <v>#N/A</v>
      </c>
      <c r="BE28" s="150" t="e">
        <f t="shared" si="25"/>
        <v>#N/A</v>
      </c>
      <c r="BF28" s="150" t="e">
        <f t="shared" si="25"/>
        <v>#N/A</v>
      </c>
      <c r="BG28" s="150" t="e">
        <f t="shared" si="25"/>
        <v>#N/A</v>
      </c>
      <c r="BH28" s="150" t="e">
        <f t="shared" si="25"/>
        <v>#N/A</v>
      </c>
      <c r="BI28" s="150" t="e">
        <f t="shared" si="25"/>
        <v>#N/A</v>
      </c>
      <c r="BJ28" s="150" t="e">
        <f t="shared" si="25"/>
        <v>#N/A</v>
      </c>
      <c r="BK28" s="150" t="e">
        <f t="shared" si="25"/>
        <v>#N/A</v>
      </c>
      <c r="BL28" s="150" t="e">
        <f t="shared" si="25"/>
        <v>#N/A</v>
      </c>
      <c r="BM28" s="150" t="e">
        <f t="shared" si="25"/>
        <v>#N/A</v>
      </c>
      <c r="BN28" s="150">
        <f t="shared" si="25"/>
        <v>1731.205882352941</v>
      </c>
      <c r="BO28" s="150">
        <f t="shared" si="25"/>
        <v>1754.4117647058822</v>
      </c>
      <c r="BP28" s="150">
        <f t="shared" si="25"/>
        <v>1777.6176470588234</v>
      </c>
      <c r="BQ28" s="150">
        <f t="shared" si="25"/>
        <v>1800.8235294117646</v>
      </c>
      <c r="BR28" s="150">
        <f t="shared" si="25"/>
        <v>1824.0294117647059</v>
      </c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</row>
    <row r="29" spans="1:83" s="69" customForma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22" t="s">
        <v>97</v>
      </c>
      <c r="U29" s="151" t="str">
        <f>AA29</f>
        <v>Q1</v>
      </c>
      <c r="V29" s="151" t="str">
        <f t="shared" ref="V29:X29" si="26">AB29</f>
        <v>Q2</v>
      </c>
      <c r="W29" s="151" t="str">
        <f t="shared" si="26"/>
        <v>Q3</v>
      </c>
      <c r="X29" s="123" t="str">
        <f t="shared" si="26"/>
        <v>Q4</v>
      </c>
      <c r="Y29" s="29"/>
      <c r="Z29" s="122" t="s">
        <v>97</v>
      </c>
      <c r="AA29" s="151" t="s">
        <v>21</v>
      </c>
      <c r="AB29" s="151" t="s">
        <v>22</v>
      </c>
      <c r="AC29" s="151" t="s">
        <v>23</v>
      </c>
      <c r="AD29" s="123" t="s">
        <v>24</v>
      </c>
      <c r="AE29" s="9"/>
      <c r="AF29" s="9"/>
      <c r="AH29" s="118" t="s">
        <v>34</v>
      </c>
      <c r="AU29" s="150" t="e">
        <f t="shared" ref="AU29:BR29" si="27">IF(AU21="",NA(),AU21)</f>
        <v>#N/A</v>
      </c>
      <c r="AV29" s="150" t="e">
        <f t="shared" si="27"/>
        <v>#N/A</v>
      </c>
      <c r="AW29" s="150" t="e">
        <f t="shared" si="27"/>
        <v>#N/A</v>
      </c>
      <c r="AX29" s="150" t="e">
        <f t="shared" si="27"/>
        <v>#N/A</v>
      </c>
      <c r="AY29" s="150" t="e">
        <f t="shared" si="27"/>
        <v>#N/A</v>
      </c>
      <c r="AZ29" s="150" t="e">
        <f t="shared" si="27"/>
        <v>#N/A</v>
      </c>
      <c r="BA29" s="150" t="e">
        <f t="shared" si="27"/>
        <v>#N/A</v>
      </c>
      <c r="BB29" s="150" t="e">
        <f t="shared" si="27"/>
        <v>#N/A</v>
      </c>
      <c r="BC29" s="150" t="e">
        <f t="shared" si="27"/>
        <v>#N/A</v>
      </c>
      <c r="BD29" s="150" t="e">
        <f t="shared" si="27"/>
        <v>#N/A</v>
      </c>
      <c r="BE29" s="150" t="e">
        <f t="shared" si="27"/>
        <v>#N/A</v>
      </c>
      <c r="BF29" s="150" t="e">
        <f t="shared" si="27"/>
        <v>#N/A</v>
      </c>
      <c r="BG29" s="150" t="e">
        <f t="shared" si="27"/>
        <v>#N/A</v>
      </c>
      <c r="BH29" s="150" t="e">
        <f t="shared" si="27"/>
        <v>#N/A</v>
      </c>
      <c r="BI29" s="150" t="e">
        <f t="shared" si="27"/>
        <v>#N/A</v>
      </c>
      <c r="BJ29" s="150" t="e">
        <f t="shared" si="27"/>
        <v>#N/A</v>
      </c>
      <c r="BK29" s="150" t="e">
        <f t="shared" si="27"/>
        <v>#N/A</v>
      </c>
      <c r="BL29" s="150" t="e">
        <f t="shared" si="27"/>
        <v>#N/A</v>
      </c>
      <c r="BM29" s="150">
        <f t="shared" si="27"/>
        <v>1852</v>
      </c>
      <c r="BN29" s="150">
        <f t="shared" si="27"/>
        <v>1440.9444834415629</v>
      </c>
      <c r="BO29" s="150">
        <f t="shared" si="27"/>
        <v>1546.5135772108297</v>
      </c>
      <c r="BP29" s="150">
        <f t="shared" si="27"/>
        <v>1688.155482175099</v>
      </c>
      <c r="BQ29" s="150">
        <f t="shared" si="27"/>
        <v>1438.9634473016176</v>
      </c>
      <c r="BR29" s="150">
        <f t="shared" si="27"/>
        <v>1507.3739307124163</v>
      </c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</row>
    <row r="30" spans="1:83" s="69" customForma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T30" s="179" t="str">
        <f>T25</f>
        <v>vs 2018</v>
      </c>
      <c r="U30" s="180">
        <f t="shared" ref="U30:X31" si="28">U$21-U18</f>
        <v>1954</v>
      </c>
      <c r="V30" s="180">
        <f t="shared" si="28"/>
        <v>968</v>
      </c>
      <c r="W30" s="180">
        <f t="shared" si="28"/>
        <v>-1850</v>
      </c>
      <c r="X30" s="99">
        <f t="shared" si="28"/>
        <v>-3868</v>
      </c>
      <c r="Z30" s="179" t="str">
        <f>Z25</f>
        <v>vs 2018</v>
      </c>
      <c r="AA30" s="180">
        <f t="shared" ref="AA30:AD31" si="29">AA$21-AA18</f>
        <v>2661.6943381229994</v>
      </c>
      <c r="AB30" s="180">
        <f t="shared" si="29"/>
        <v>1427.8687968149998</v>
      </c>
      <c r="AC30" s="180">
        <f t="shared" si="29"/>
        <v>-2941.2435740609999</v>
      </c>
      <c r="AD30" s="99">
        <f t="shared" si="29"/>
        <v>-5312.3681406300002</v>
      </c>
      <c r="AE30" s="160"/>
      <c r="AF30" s="160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</row>
    <row r="31" spans="1:83" s="69" customForma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T31" s="179" t="str">
        <f>T26</f>
        <v>vs 2019</v>
      </c>
      <c r="U31" s="180">
        <f t="shared" si="28"/>
        <v>1306</v>
      </c>
      <c r="V31" s="180">
        <f t="shared" si="28"/>
        <v>280</v>
      </c>
      <c r="W31" s="180">
        <f t="shared" si="28"/>
        <v>-2592</v>
      </c>
      <c r="X31" s="99">
        <f t="shared" si="28"/>
        <v>-4470</v>
      </c>
      <c r="Z31" s="179" t="str">
        <f>Z26</f>
        <v>vs 2019</v>
      </c>
      <c r="AA31" s="180">
        <f t="shared" si="29"/>
        <v>1904.0909362384955</v>
      </c>
      <c r="AB31" s="180">
        <f t="shared" si="29"/>
        <v>381.0715991436582</v>
      </c>
      <c r="AC31" s="180">
        <f t="shared" si="29"/>
        <v>-3966.005169734799</v>
      </c>
      <c r="AD31" s="99">
        <f t="shared" si="29"/>
        <v>-6214.8329415131147</v>
      </c>
      <c r="AE31" s="164"/>
      <c r="AF31" s="164"/>
      <c r="AH31" s="1"/>
      <c r="AI31" s="1"/>
      <c r="AJ31" s="1"/>
      <c r="AK31" s="1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</row>
    <row r="32" spans="1:83" s="69" customFormat="1" ht="16.149999999999999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18"/>
      <c r="T32" s="138" t="str">
        <f>"Forecast "&amp;"vs. "&amp;$A$7</f>
        <v>Forecast vs. 2019</v>
      </c>
      <c r="U32" s="181">
        <f>U22-U19</f>
        <v>1306</v>
      </c>
      <c r="V32" s="181">
        <f t="shared" ref="V32:X32" si="30">V22-V19</f>
        <v>280</v>
      </c>
      <c r="W32" s="181">
        <f t="shared" si="30"/>
        <v>395.45806065239231</v>
      </c>
      <c r="X32" s="114">
        <f t="shared" si="30"/>
        <v>164.49286018913244</v>
      </c>
      <c r="Y32" s="160"/>
      <c r="Z32" s="138" t="str">
        <f>"Forecast "&amp;"vs. "&amp;$A$7</f>
        <v>Forecast vs. 2019</v>
      </c>
      <c r="AA32" s="181">
        <f>AA22-AA19</f>
        <v>1904.0909362384955</v>
      </c>
      <c r="AB32" s="181">
        <f t="shared" ref="AB32:AD32" si="31">AB22-AB19</f>
        <v>381.0715991436582</v>
      </c>
      <c r="AC32" s="181">
        <f t="shared" si="31"/>
        <v>106.56695549413143</v>
      </c>
      <c r="AD32" s="114">
        <f t="shared" si="31"/>
        <v>103.01522699206726</v>
      </c>
      <c r="AE32" s="118"/>
      <c r="AF32" s="118"/>
      <c r="AG32" s="1"/>
      <c r="BM32" s="182"/>
      <c r="BN32" s="182"/>
      <c r="BO32" s="182"/>
      <c r="BP32" s="182"/>
      <c r="BQ32" s="182"/>
      <c r="BR32" s="182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</row>
    <row r="33" spans="1:83" s="69" customFormat="1" ht="15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AE33" s="118"/>
      <c r="AF33" s="118"/>
      <c r="AG33" s="145" t="s">
        <v>82</v>
      </c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</row>
    <row r="34" spans="1:83" s="69" customForma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T34" s="122" t="s">
        <v>88</v>
      </c>
      <c r="U34" s="151" t="str">
        <f>AA34</f>
        <v>Q1</v>
      </c>
      <c r="V34" s="151" t="str">
        <f t="shared" ref="V34:X34" si="32">AB34</f>
        <v>Q2</v>
      </c>
      <c r="W34" s="151" t="str">
        <f t="shared" si="32"/>
        <v>Q3</v>
      </c>
      <c r="X34" s="151" t="str">
        <f t="shared" si="32"/>
        <v>Q4</v>
      </c>
      <c r="Y34" s="118"/>
      <c r="Z34" s="122" t="s">
        <v>88</v>
      </c>
      <c r="AA34" s="151" t="s">
        <v>21</v>
      </c>
      <c r="AB34" s="151" t="s">
        <v>22</v>
      </c>
      <c r="AC34" s="151" t="s">
        <v>23</v>
      </c>
      <c r="AD34" s="123" t="s">
        <v>24</v>
      </c>
      <c r="AE34" s="9"/>
      <c r="AF34" s="9"/>
      <c r="AG34" s="147" t="s">
        <v>29</v>
      </c>
      <c r="AH34" s="149" t="s">
        <v>0</v>
      </c>
      <c r="AI34" s="150">
        <f>SUMIFS('Sales Data'!$E:$E,'Sales Data'!$A:$A,$E$2,'Sales Data'!$B:$B,AI$15,'Sales Data'!$C:$C,"Periodic")/1000</f>
        <v>1391.144696028</v>
      </c>
      <c r="AJ34" s="150">
        <f>SUMIFS('Sales Data'!$E:$E,'Sales Data'!$A:$A,$E$2,'Sales Data'!$B:$B,AJ$15,'Sales Data'!$C:$C,"Periodic")/1000</f>
        <v>1457.0786385059998</v>
      </c>
      <c r="AK34" s="150">
        <f>SUMIFS('Sales Data'!$E:$E,'Sales Data'!$A:$A,$E$2,'Sales Data'!$B:$B,AK$15,'Sales Data'!$C:$C,"Periodic")/1000</f>
        <v>1641.1002447210001</v>
      </c>
      <c r="AL34" s="150">
        <f>SUMIFS('Sales Data'!$E:$E,'Sales Data'!$A:$A,$E$2,'Sales Data'!$B:$B,AL$15,'Sales Data'!$C:$C,"Periodic")/1000</f>
        <v>1527.7163257320001</v>
      </c>
      <c r="AM34" s="150">
        <f>SUMIFS('Sales Data'!$E:$E,'Sales Data'!$A:$A,$E$2,'Sales Data'!$B:$B,AM$15,'Sales Data'!$C:$C,"Periodic")/1000</f>
        <v>1852.828353681</v>
      </c>
      <c r="AN34" s="150">
        <f>SUMIFS('Sales Data'!$E:$E,'Sales Data'!$A:$A,$E$2,'Sales Data'!$B:$B,AN$15,'Sales Data'!$C:$C,"Periodic")/1000</f>
        <v>1555.037151879</v>
      </c>
      <c r="AO34" s="150">
        <f>SUMIFS('Sales Data'!$E:$E,'Sales Data'!$A:$A,$E$2,'Sales Data'!$B:$B,AO$15,'Sales Data'!$C:$C,"Periodic")/1000</f>
        <v>1666.624531683</v>
      </c>
      <c r="AP34" s="150">
        <f>SUMIFS('Sales Data'!$E:$E,'Sales Data'!$A:$A,$E$2,'Sales Data'!$B:$B,AP$15,'Sales Data'!$C:$C,"Periodic")/1000</f>
        <v>1830.4396000140002</v>
      </c>
      <c r="AQ34" s="150">
        <f>SUMIFS('Sales Data'!$E:$E,'Sales Data'!$A:$A,$E$2,'Sales Data'!$B:$B,AQ$15,'Sales Data'!$C:$C,"Periodic")/1000</f>
        <v>1674.938810178</v>
      </c>
      <c r="AR34" s="150">
        <f>SUMIFS('Sales Data'!$E:$E,'Sales Data'!$A:$A,$E$2,'Sales Data'!$B:$B,AR$15,'Sales Data'!$C:$C,"Periodic")/1000</f>
        <v>1631.5077334110001</v>
      </c>
      <c r="AS34" s="150">
        <f>SUMIFS('Sales Data'!$E:$E,'Sales Data'!$A:$A,$E$2,'Sales Data'!$B:$B,AS$15,'Sales Data'!$C:$C,"Periodic")/1000</f>
        <v>1864.4213582940001</v>
      </c>
      <c r="AT34" s="150">
        <f>SUMIFS('Sales Data'!$E:$E,'Sales Data'!$A:$A,$E$2,'Sales Data'!$B:$B,AT$15,'Sales Data'!$C:$C,"Periodic")/1000</f>
        <v>1816.439048925</v>
      </c>
      <c r="AU34" s="150">
        <f>SUMIFS('Sales Data'!$E:$E,'Sales Data'!$A:$A,$E$2,'Sales Data'!$B:$B,AU$15,'Sales Data'!$C:$C,"Periodic")/1000</f>
        <v>1690.3867757865562</v>
      </c>
      <c r="AV34" s="150">
        <f>SUMIFS('Sales Data'!$E:$E,'Sales Data'!$A:$A,$E$2,'Sales Data'!$B:$B,AV$15,'Sales Data'!$C:$C,"Periodic")/1000</f>
        <v>2011.3839385243195</v>
      </c>
      <c r="AW34" s="150">
        <f>SUMIFS('Sales Data'!$E:$E,'Sales Data'!$A:$A,$E$2,'Sales Data'!$B:$B,AW$15,'Sales Data'!$C:$C,"Periodic")/1000</f>
        <v>1545.1562668286288</v>
      </c>
      <c r="AX34" s="150">
        <f>SUMIFS('Sales Data'!$E:$E,'Sales Data'!$A:$A,$E$2,'Sales Data'!$B:$B,AX$15,'Sales Data'!$C:$C,"Periodic")/1000</f>
        <v>2250.1060861155411</v>
      </c>
      <c r="AY34" s="150">
        <f>SUMIFS('Sales Data'!$E:$E,'Sales Data'!$A:$A,$E$2,'Sales Data'!$B:$B,AY$15,'Sales Data'!$C:$C,"Periodic")/1000</f>
        <v>1970.3038874724662</v>
      </c>
      <c r="AZ34" s="150">
        <f>SUMIFS('Sales Data'!$E:$E,'Sales Data'!$A:$A,$E$2,'Sales Data'!$B:$B,AZ$15,'Sales Data'!$C:$C,"Periodic")/1000</f>
        <v>1761.9690553753344</v>
      </c>
      <c r="BA34" s="150">
        <f>SUMIFS('Sales Data'!$E:$E,'Sales Data'!$A:$A,$E$2,'Sales Data'!$B:$B,BA$15,'Sales Data'!$C:$C,"Periodic")/1000</f>
        <v>2447.2910734761708</v>
      </c>
      <c r="BB34" s="150">
        <f>SUMIFS('Sales Data'!$E:$E,'Sales Data'!$A:$A,$E$2,'Sales Data'!$B:$B,BB$15,'Sales Data'!$C:$C,"Periodic")/1000</f>
        <v>1799.0383362456187</v>
      </c>
      <c r="BC34" s="150">
        <f>SUMIFS('Sales Data'!$E:$E,'Sales Data'!$A:$A,$E$2,'Sales Data'!$B:$B,BC$15,'Sales Data'!$C:$C,"Periodic")/1000</f>
        <v>1950.4351278270096</v>
      </c>
      <c r="BD34" s="150">
        <f>SUMIFS('Sales Data'!$E:$E,'Sales Data'!$A:$A,$E$2,'Sales Data'!$B:$B,BD$15,'Sales Data'!$C:$C,"Periodic")/1000</f>
        <v>2097.4438525737464</v>
      </c>
      <c r="BE34" s="150">
        <f>SUMIFS('Sales Data'!$E:$E,'Sales Data'!$A:$A,$E$2,'Sales Data'!$B:$B,BE$15,'Sales Data'!$C:$C,"Periodic")/1000</f>
        <v>1940.7240471902387</v>
      </c>
      <c r="BF34" s="150">
        <f>SUMIFS('Sales Data'!$E:$E,'Sales Data'!$A:$A,$E$2,'Sales Data'!$B:$B,BF$15,'Sales Data'!$C:$C,"Periodic")/1000</f>
        <v>2176.6650417491296</v>
      </c>
      <c r="BG34" s="150">
        <f>IF(OR(BG$8=1,BG$9=0),SUMIFS('Sales Data'!$E:$E,'Sales Data'!$A:$A,$E$2,'Sales Data'!$B:$B,BG$15,'Sales Data'!$C:$C,"Periodic")/1000,"")</f>
        <v>2374.8096808109999</v>
      </c>
      <c r="BH34" s="150">
        <f>IF(OR(BH$8=1,BH$9=0),SUMIFS('Sales Data'!$E:$E,'Sales Data'!$A:$A,$E$2,'Sales Data'!$B:$B,BH$15,'Sales Data'!$C:$C,"Periodic")/1000,"")</f>
        <v>1899.9102903480002</v>
      </c>
      <c r="BI34" s="150">
        <f>IF(OR(BI$8=1,BI$9=0),SUMIFS('Sales Data'!$E:$E,'Sales Data'!$A:$A,$E$2,'Sales Data'!$B:$B,BI$15,'Sales Data'!$C:$C,"Periodic")/1000,"")</f>
        <v>2876.2979462190001</v>
      </c>
      <c r="BJ34" s="150">
        <f>IF(OR(BJ$8=1,BJ$9=0),SUMIFS('Sales Data'!$E:$E,'Sales Data'!$A:$A,$E$2,'Sales Data'!$B:$B,BJ$15,'Sales Data'!$C:$C,"Periodic")/1000,"")</f>
        <v>1927.7196770369999</v>
      </c>
      <c r="BK34" s="150">
        <f>IF(OR(BK$8=1,BK$9=0),SUMIFS('Sales Data'!$E:$E,'Sales Data'!$A:$A,$E$2,'Sales Data'!$B:$B,BK$15,'Sales Data'!$C:$C,"Periodic")/1000,"")</f>
        <v>2047.5976440450002</v>
      </c>
      <c r="BL34" s="150">
        <f>IF(OR(BL$8=1,BL$9=0),SUMIFS('Sales Data'!$E:$E,'Sales Data'!$A:$A,$E$2,'Sales Data'!$B:$B,BL$15,'Sales Data'!$C:$C,"Periodic")/1000,"")</f>
        <v>2388.1333070249998</v>
      </c>
      <c r="BM34" s="150">
        <f>IF(OR(BM$8=1,BM$9=0),SUMIFS('Sales Data'!$E:$E,'Sales Data'!$A:$A,$E$2,'Sales Data'!$B:$B,BM$15,'Sales Data'!$C:$C,"Periodic")/1000,"")</f>
        <v>2230.7593678140001</v>
      </c>
      <c r="BN34" s="150" t="str">
        <f>IF(OR(BN$8=1,BN$9=0),SUMIFS('Sales Data'!$E:$E,'Sales Data'!$A:$A,$E$2,'Sales Data'!$B:$B,BN$15,'Sales Data'!$C:$C,"Periodic")/1000,"")</f>
        <v/>
      </c>
      <c r="BO34" s="150" t="str">
        <f>IF(OR(BO$8=1,BO$9=0),SUMIFS('Sales Data'!$E:$E,'Sales Data'!$A:$A,$E$2,'Sales Data'!$B:$B,BO$15,'Sales Data'!$C:$C,"Periodic")/1000,"")</f>
        <v/>
      </c>
      <c r="BP34" s="150" t="str">
        <f>IF(OR(BP$8=1,BP$9=0),SUMIFS('Sales Data'!$E:$E,'Sales Data'!$A:$A,$E$2,'Sales Data'!$B:$B,BP$15,'Sales Data'!$C:$C,"Periodic")/1000,"")</f>
        <v/>
      </c>
      <c r="BQ34" s="150" t="str">
        <f>IF(OR(BQ$8=1,BQ$9=0),SUMIFS('Sales Data'!$E:$E,'Sales Data'!$A:$A,$E$2,'Sales Data'!$B:$B,BQ$15,'Sales Data'!$C:$C,"Periodic")/1000,"")</f>
        <v/>
      </c>
      <c r="BR34" s="150" t="str">
        <f>IF(OR(BR$8=1,BR$9=0),SUMIFS('Sales Data'!$E:$E,'Sales Data'!$A:$A,$E$2,'Sales Data'!$B:$B,BR$15,'Sales Data'!$C:$C,"Periodic")/1000,"")</f>
        <v/>
      </c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</row>
    <row r="35" spans="1:83" s="69" customFormat="1" ht="12.6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T35" s="101" t="str">
        <f>+T19</f>
        <v>2019 Actual</v>
      </c>
      <c r="U35" s="176">
        <f>IFERROR(U19/X18-1,"")</f>
        <v>-9.3071354705274167E-3</v>
      </c>
      <c r="V35" s="176">
        <f t="shared" ref="V35:X36" si="33">IFERROR(V19/U19-1,"")</f>
        <v>0.1169102296450939</v>
      </c>
      <c r="W35" s="176">
        <f t="shared" si="33"/>
        <v>3.831775700934581E-2</v>
      </c>
      <c r="X35" s="136">
        <f t="shared" si="33"/>
        <v>5.850585058505775E-3</v>
      </c>
      <c r="Y35" s="118"/>
      <c r="Z35" s="101" t="str">
        <f>+Z19</f>
        <v>2019 Actual</v>
      </c>
      <c r="AA35" s="176">
        <f>IFERROR(AA19/AD18-1,"")</f>
        <v>-1.2318641660014062E-2</v>
      </c>
      <c r="AB35" s="176">
        <f t="shared" ref="AB35:AD36" si="34">IFERROR(AB19/AA19-1,"")</f>
        <v>0.14016814994138049</v>
      </c>
      <c r="AC35" s="176">
        <f t="shared" si="34"/>
        <v>3.5836162761925028E-2</v>
      </c>
      <c r="AD35" s="136">
        <f t="shared" si="34"/>
        <v>2.9157803003214688E-3</v>
      </c>
      <c r="AE35" s="183"/>
      <c r="AF35" s="164"/>
      <c r="AG35" s="118"/>
      <c r="AH35" s="153" t="s">
        <v>1</v>
      </c>
      <c r="AI35" s="1"/>
      <c r="AJ35" s="1"/>
      <c r="AK35" s="1"/>
      <c r="AL35" s="1"/>
      <c r="BG35" s="150" t="str">
        <f>IF(OR(BG$8=1,BG$9=1),SUMIFS('Sales Data'!$D:$D,'Sales Data'!$A:$A,$E$2,'Sales Data'!$B:$B,BG$15,'Sales Data'!$C:$C,"Periodic")/1000,"")</f>
        <v/>
      </c>
      <c r="BH35" s="150" t="str">
        <f>IF(OR(BH$8=1,BH$9=1),SUMIFS('Sales Data'!$D:$D,'Sales Data'!$A:$A,$E$2,'Sales Data'!$B:$B,BH$15,'Sales Data'!$C:$C,"Periodic")/1000,"")</f>
        <v/>
      </c>
      <c r="BI35" s="150" t="str">
        <f>IF(OR(BI$8=1,BI$9=1),SUMIFS('Sales Data'!$D:$D,'Sales Data'!$A:$A,$E$2,'Sales Data'!$B:$B,BI$15,'Sales Data'!$C:$C,"Periodic")/1000,"")</f>
        <v/>
      </c>
      <c r="BJ35" s="150" t="str">
        <f>IF(OR(BJ$8=1,BJ$9=1),SUMIFS('Sales Data'!$D:$D,'Sales Data'!$A:$A,$E$2,'Sales Data'!$B:$B,BJ$15,'Sales Data'!$C:$C,"Periodic")/1000,"")</f>
        <v/>
      </c>
      <c r="BK35" s="150" t="str">
        <f>IF(OR(BK$8=1,BK$9=1),SUMIFS('Sales Data'!$D:$D,'Sales Data'!$A:$A,$E$2,'Sales Data'!$B:$B,BK$15,'Sales Data'!$C:$C,"Periodic")/1000,"")</f>
        <v/>
      </c>
      <c r="BL35" s="150" t="str">
        <f>IF(OR(BL$8=1,BL$9=1),SUMIFS('Sales Data'!$D:$D,'Sales Data'!$A:$A,$E$2,'Sales Data'!$B:$B,BL$15,'Sales Data'!$C:$C,"Periodic")/1000,"")</f>
        <v/>
      </c>
      <c r="BM35" s="150">
        <f>IF(OR(BM$8=1,BM$9=1),SUMIFS('Sales Data'!$D:$D,'Sales Data'!$A:$A,$E$2,'Sales Data'!$B:$B,BM$15,'Sales Data'!$C:$C,"Periodic")/1000,"")</f>
        <v>2295.1582137395931</v>
      </c>
      <c r="BN35" s="150">
        <f>IF(OR(BN$8=1,BN$9=1),SUMIFS('Sales Data'!$D:$D,'Sales Data'!$A:$A,$E$2,'Sales Data'!$B:$B,BN$15,'Sales Data'!$C:$C,"Periodic")/1000,"")</f>
        <v>1964.3289439132727</v>
      </c>
      <c r="BO35" s="150">
        <f>IF(OR(BO$8=1,BO$9=1),SUMIFS('Sales Data'!$D:$D,'Sales Data'!$A:$A,$E$2,'Sales Data'!$B:$B,BO$15,'Sales Data'!$C:$C,"Periodic")/1000,"")</f>
        <v>2108.2431813156572</v>
      </c>
      <c r="BP35" s="150">
        <f>IF(OR(BP$8=1,BP$9=1),SUMIFS('Sales Data'!$D:$D,'Sales Data'!$A:$A,$E$2,'Sales Data'!$B:$B,BP$15,'Sales Data'!$C:$C,"Periodic")/1000,"")</f>
        <v>2301.332711682433</v>
      </c>
      <c r="BQ35" s="150">
        <f>IF(OR(BQ$8=1,BQ$9=1),SUMIFS('Sales Data'!$D:$D,'Sales Data'!$A:$A,$E$2,'Sales Data'!$B:$B,BQ$15,'Sales Data'!$C:$C,"Periodic")/1000,"")</f>
        <v>1961.6283494952713</v>
      </c>
      <c r="BR35" s="150">
        <f>IF(OR(BR$8=1,BR$9=1),SUMIFS('Sales Data'!$D:$D,'Sales Data'!$A:$A,$E$2,'Sales Data'!$B:$B,BR$15,'Sales Data'!$C:$C,"Periodic")/1000,"")</f>
        <v>2054.8871073274777</v>
      </c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</row>
    <row r="36" spans="1:83" s="69" customForma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01" t="str">
        <f>+T20</f>
        <v>2020 Budget</v>
      </c>
      <c r="U36" s="176">
        <f>IFERROR(U20/X19-1,"")</f>
        <v>6.3944356957494231E-2</v>
      </c>
      <c r="V36" s="176">
        <f t="shared" si="33"/>
        <v>5.7978255665769751E-2</v>
      </c>
      <c r="W36" s="176">
        <f t="shared" si="33"/>
        <v>2.8084038216313889E-3</v>
      </c>
      <c r="X36" s="136">
        <f t="shared" si="33"/>
        <v>5.2038103910412303E-2</v>
      </c>
      <c r="Y36" s="9"/>
      <c r="Z36" s="101" t="str">
        <f>+Z20</f>
        <v>2020 Budget</v>
      </c>
      <c r="AA36" s="176">
        <f>IFERROR(AA20/AD19-1,"")</f>
        <v>-3.2429347000176634E-2</v>
      </c>
      <c r="AB36" s="176">
        <f t="shared" si="34"/>
        <v>5.7863746546536587E-2</v>
      </c>
      <c r="AC36" s="176">
        <f t="shared" si="34"/>
        <v>1.0200658032195609E-3</v>
      </c>
      <c r="AD36" s="136">
        <f t="shared" si="34"/>
        <v>-7.8335871351331576E-3</v>
      </c>
      <c r="AE36" s="164"/>
      <c r="AF36" s="164"/>
      <c r="AG36" s="118"/>
      <c r="AH36" s="156" t="s">
        <v>26</v>
      </c>
      <c r="BG36" s="159" t="str">
        <f>IF(BG$9,FORECAST(BG$12,$AP34:BF34,$AP12:BF12), "")</f>
        <v/>
      </c>
      <c r="BH36" s="159" t="str">
        <f>IF(BH$9,FORECAST(BH$12,$AP34:BG34,$AP12:BG12), "")</f>
        <v/>
      </c>
      <c r="BI36" s="159" t="str">
        <f>IF(BI$9,FORECAST(BI$12,$AP34:BH34,$AP12:BH12), "")</f>
        <v/>
      </c>
      <c r="BJ36" s="159" t="str">
        <f>IF(BJ$9,FORECAST(BJ$12,$AP34:BI34,$AP12:BI12), "")</f>
        <v/>
      </c>
      <c r="BK36" s="159" t="str">
        <f>IF(BK$9,FORECAST(BK$12,$AP34:BJ34,$AP12:BJ12), "")</f>
        <v/>
      </c>
      <c r="BL36" s="159" t="str">
        <f>IF(BL$9,FORECAST(BL$12,$AP34:BK34,$AP12:BK12), "")</f>
        <v/>
      </c>
      <c r="BM36" s="159" t="str">
        <f>IF(BM$9,FORECAST(BM$12,$AP34:BL34,$AP12:BL12), "")</f>
        <v/>
      </c>
      <c r="BN36" s="159">
        <f>IF(BN$9,FORECAST(BN$12,$AP34:BM34,$AP12:BM12), "")</f>
        <v>2331.2413081101745</v>
      </c>
      <c r="BO36" s="159">
        <f>IF(BO$9,FORECAST(BO$12,$AP34:BN34,$AP12:BN12), "")</f>
        <v>2357.5012839673382</v>
      </c>
      <c r="BP36" s="159">
        <f>IF(BP$9,FORECAST(BP$12,$AP34:BO34,$AP12:BO12), "")</f>
        <v>2383.7612598245014</v>
      </c>
      <c r="BQ36" s="159">
        <f>IF(BQ$9,FORECAST(BQ$12,$AP34:BP34,$AP12:BP12), "")</f>
        <v>2410.0212356816651</v>
      </c>
      <c r="BR36" s="159">
        <f>IF(BR$9,FORECAST(BR$12,$AP34:BQ34,$AP12:BQ12), "")</f>
        <v>2436.2812115388288</v>
      </c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</row>
    <row r="37" spans="1:83" s="69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01" t="str">
        <f>+T21</f>
        <v>2020 Actual</v>
      </c>
      <c r="U37" s="176">
        <f>IF(U21&lt;&gt;0,IFERROR(U21/X19-1,""),"")</f>
        <v>0.14944071588366881</v>
      </c>
      <c r="V37" s="176">
        <f>IF(V21&lt;&gt;0,IFERROR(V21/U21-1,""),"")</f>
        <v>-0.11249513429349944</v>
      </c>
      <c r="W37" s="176">
        <f>IF(W21&lt;&gt;0,IFERROR(W21/V21-1,""),"")</f>
        <v>-0.59385964912280698</v>
      </c>
      <c r="X37" s="136" t="str">
        <f>IF(X21&lt;&gt;0,IFERROR(X21/W21-1,""),"")</f>
        <v/>
      </c>
      <c r="Y37" s="164"/>
      <c r="Z37" s="101" t="str">
        <f>+Z21</f>
        <v>2020 Actual</v>
      </c>
      <c r="AA37" s="176">
        <f>IF(AA21&lt;&gt;0,IFERROR(AA21/AD19-1,""),"")</f>
        <v>0.15063719084248683</v>
      </c>
      <c r="AB37" s="176">
        <f>IF(AB21&lt;&gt;0,IFERROR(AB21/AA21-1,""),"")</f>
        <v>-0.11013359194040029</v>
      </c>
      <c r="AC37" s="176">
        <f>IF(AC21&lt;&gt;0,IFERROR(AC21/AB21-1,""),"")</f>
        <v>-0.64944186759918232</v>
      </c>
      <c r="AD37" s="136" t="str">
        <f>IF(AD21&lt;&gt;0,IFERROR(AD21/AC21-1,""),"")</f>
        <v/>
      </c>
      <c r="AE37" s="164"/>
      <c r="AF37" s="164"/>
      <c r="AG37" s="9"/>
      <c r="AH37" s="156" t="s">
        <v>90</v>
      </c>
      <c r="BG37" s="159" t="str">
        <f>IF(BG$9,FORECAST(BG$13,$AP34:BF34,$AP13:BF13), "")</f>
        <v/>
      </c>
      <c r="BH37" s="159" t="str">
        <f>IF(BH$9,FORECAST(BH$13,$AP34:BG34,$AP13:BG13), "")</f>
        <v/>
      </c>
      <c r="BI37" s="159" t="str">
        <f>IF(BI$9,FORECAST(BI$13,$AP34:BH34,$AP13:BH13), "")</f>
        <v/>
      </c>
      <c r="BJ37" s="159" t="str">
        <f>IF(BJ$9,FORECAST(BJ$13,$AP34:BI34,$AP13:BI13), "")</f>
        <v/>
      </c>
      <c r="BK37" s="159" t="str">
        <f>IF(BK$9,FORECAST(BK$13,$AP34:BJ34,$AP13:BJ13), "")</f>
        <v/>
      </c>
      <c r="BL37" s="159" t="str">
        <f>IF(BL$9,FORECAST(BL$13,$AP34:BK34,$AP13:BK13), "")</f>
        <v/>
      </c>
      <c r="BM37" s="159" t="str">
        <f>IF(BM$9,FORECAST(BM$13,$AP34:BL34,$AP13:BL13), "")</f>
        <v/>
      </c>
      <c r="BN37" s="159">
        <f>IF(BN$9,FORECAST(BN$13,$AP34:BM34,$AP13:BM13), "")</f>
        <v>2334.8920548269607</v>
      </c>
      <c r="BO37" s="159">
        <f>IF(BO$9,FORECAST(BO$13,$AP34:BN34,$AP13:BN13), "")</f>
        <v>2361.0933897544473</v>
      </c>
      <c r="BP37" s="159">
        <f>IF(BP$9,FORECAST(BP$13,$AP34:BO34,$AP13:BO13), "")</f>
        <v>2387.294724681934</v>
      </c>
      <c r="BQ37" s="159">
        <f>IF(BQ$9,FORECAST(BQ$13,$AP34:BP34,$AP13:BP13), "")</f>
        <v>2413.4960596094206</v>
      </c>
      <c r="BR37" s="159">
        <f>IF(BR$9,FORECAST(BR$13,$AP34:BQ34,$AP13:BQ13), "")</f>
        <v>2439.6973945369073</v>
      </c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</row>
    <row r="38" spans="1:83" s="69" customForma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38" t="s">
        <v>34</v>
      </c>
      <c r="U38" s="177">
        <f>IFERROR(U22/X19-1,"")</f>
        <v>0.14944071588366881</v>
      </c>
      <c r="V38" s="177">
        <f>IFERROR(V22/U22-1,"")</f>
        <v>-0.11249513429349944</v>
      </c>
      <c r="W38" s="177">
        <f>IFERROR(W22/V22-1,"")</f>
        <v>6.1284662423770175E-2</v>
      </c>
      <c r="X38" s="178">
        <f>IFERROR(X22/W22-1,"")</f>
        <v>-4.2352924210614873E-2</v>
      </c>
      <c r="Y38" s="164"/>
      <c r="Z38" s="138" t="s">
        <v>34</v>
      </c>
      <c r="AA38" s="177">
        <f>IFERROR(AA22/AD19-1,"")</f>
        <v>0.15063719084248683</v>
      </c>
      <c r="AB38" s="177">
        <f>IFERROR(AB22/AA22-1,"")</f>
        <v>-0.11013359194040029</v>
      </c>
      <c r="AC38" s="177">
        <f>IFERROR(AC22/AB22-1,"")</f>
        <v>-9.4475683992151227E-3</v>
      </c>
      <c r="AD38" s="178">
        <f>IFERROR(AD22/AC22-1,"")</f>
        <v>2.3030163459234476E-3</v>
      </c>
      <c r="AE38" s="1"/>
      <c r="AF38" s="1"/>
      <c r="AG38" s="164"/>
      <c r="AH38" s="153" t="s">
        <v>1</v>
      </c>
      <c r="AI38" s="1"/>
      <c r="AJ38" s="1"/>
      <c r="AK38" s="1"/>
      <c r="BG38" s="150">
        <f>SUMIFS('Sales Data'!$D:$D,'Sales Data'!$A:$A,$E$2,'Sales Data'!$B:$B,BG$15,'Sales Data'!$C:$C,"Periodic")/1000</f>
        <v>1879.7722767438308</v>
      </c>
      <c r="BH38" s="150">
        <f>SUMIFS('Sales Data'!$D:$D,'Sales Data'!$A:$A,$E$2,'Sales Data'!$B:$B,BH$15,'Sales Data'!$C:$C,"Periodic")/1000</f>
        <v>2223.6608376606791</v>
      </c>
      <c r="BI38" s="150">
        <f>SUMIFS('Sales Data'!$D:$D,'Sales Data'!$A:$A,$E$2,'Sales Data'!$B:$B,BI$15,'Sales Data'!$C:$C,"Periodic")/1000</f>
        <v>1909.8568531001472</v>
      </c>
      <c r="BJ38" s="150">
        <f>SUMIFS('Sales Data'!$D:$D,'Sales Data'!$A:$A,$E$2,'Sales Data'!$B:$B,BJ$15,'Sales Data'!$C:$C,"Periodic")/1000</f>
        <v>2263.1684271844379</v>
      </c>
      <c r="BK38" s="150">
        <f>SUMIFS('Sales Data'!$D:$D,'Sales Data'!$A:$A,$E$2,'Sales Data'!$B:$B,BK$15,'Sales Data'!$C:$C,"Periodic")/1000</f>
        <v>2166.1436211155592</v>
      </c>
      <c r="BL38" s="150">
        <f>SUMIFS('Sales Data'!$D:$D,'Sales Data'!$A:$A,$E$2,'Sales Data'!$B:$B,BL$15,'Sales Data'!$C:$C,"Periodic")/1000</f>
        <v>1931.9294057951809</v>
      </c>
      <c r="BM38" s="150">
        <f>SUMIFS('Sales Data'!$D:$D,'Sales Data'!$A:$A,$E$2,'Sales Data'!$B:$B,BM$15,'Sales Data'!$C:$C,"Periodic")/1000</f>
        <v>2295.1582137395931</v>
      </c>
      <c r="BN38" s="150">
        <f>SUMIFS('Sales Data'!$D:$D,'Sales Data'!$A:$A,$E$2,'Sales Data'!$B:$B,BN$15,'Sales Data'!$C:$C,"Periodic")/1000</f>
        <v>1964.3289439132727</v>
      </c>
      <c r="BO38" s="150">
        <f>SUMIFS('Sales Data'!$D:$D,'Sales Data'!$A:$A,$E$2,'Sales Data'!$B:$B,BO$15,'Sales Data'!$C:$C,"Periodic")/1000</f>
        <v>2108.2431813156572</v>
      </c>
      <c r="BP38" s="150">
        <f>SUMIFS('Sales Data'!$D:$D,'Sales Data'!$A:$A,$E$2,'Sales Data'!$B:$B,BP$15,'Sales Data'!$C:$C,"Periodic")/1000</f>
        <v>2301.332711682433</v>
      </c>
      <c r="BQ38" s="150">
        <f>SUMIFS('Sales Data'!$D:$D,'Sales Data'!$A:$A,$E$2,'Sales Data'!$B:$B,BQ$15,'Sales Data'!$C:$C,"Periodic")/1000</f>
        <v>1961.6283494952713</v>
      </c>
      <c r="BR38" s="150">
        <f>SUMIFS('Sales Data'!$D:$D,'Sales Data'!$A:$A,$E$2,'Sales Data'!$B:$B,BR$15,'Sales Data'!$C:$C,"Periodic")/1000</f>
        <v>2054.8871073274777</v>
      </c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</row>
    <row r="39" spans="1:83" s="69" customFormat="1" x14ac:dyDescent="0.2">
      <c r="A39" s="1"/>
      <c r="B39" s="1"/>
      <c r="C39" s="1"/>
      <c r="D39" s="1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"/>
      <c r="Y39" s="1"/>
      <c r="Z39" s="1"/>
      <c r="AA39" s="1"/>
      <c r="AB39" s="1"/>
      <c r="AC39" s="1"/>
      <c r="AD39" s="1"/>
      <c r="AE39" s="1"/>
      <c r="AF39" s="1"/>
      <c r="AG39" s="118"/>
      <c r="AH39" s="153" t="s">
        <v>34</v>
      </c>
      <c r="AI39" s="1"/>
      <c r="AJ39" s="1"/>
      <c r="AK39" s="1"/>
      <c r="BG39" s="150" t="str">
        <f t="shared" ref="BG39:BR39" si="35">IF(OR(BG$8=1,BG$9=1),F17,"")</f>
        <v/>
      </c>
      <c r="BH39" s="150" t="str">
        <f t="shared" si="35"/>
        <v/>
      </c>
      <c r="BI39" s="150" t="str">
        <f t="shared" si="35"/>
        <v/>
      </c>
      <c r="BJ39" s="150" t="str">
        <f t="shared" si="35"/>
        <v/>
      </c>
      <c r="BK39" s="150" t="str">
        <f t="shared" si="35"/>
        <v/>
      </c>
      <c r="BL39" s="150" t="str">
        <f t="shared" si="35"/>
        <v/>
      </c>
      <c r="BM39" s="150">
        <f t="shared" si="35"/>
        <v>2230.7593678140001</v>
      </c>
      <c r="BN39" s="150">
        <f t="shared" si="35"/>
        <v>1964.3289439132727</v>
      </c>
      <c r="BO39" s="150">
        <f t="shared" si="35"/>
        <v>2108.2431813156572</v>
      </c>
      <c r="BP39" s="150">
        <f t="shared" si="35"/>
        <v>2301.332711682433</v>
      </c>
      <c r="BQ39" s="150">
        <f t="shared" si="35"/>
        <v>1961.6283494952713</v>
      </c>
      <c r="BR39" s="150">
        <f t="shared" si="35"/>
        <v>2054.8871073274777</v>
      </c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</row>
    <row r="40" spans="1:83" s="69" customForma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"/>
      <c r="AF40" s="1"/>
      <c r="AG40" s="118"/>
      <c r="AH40" s="171" t="s">
        <v>26</v>
      </c>
      <c r="AI40" s="1"/>
      <c r="AJ40" s="1"/>
      <c r="AK40" s="1"/>
      <c r="BG40" s="159">
        <f t="shared" ref="BG40:BR40" si="36">IF(BG36="",BG38,BG36)</f>
        <v>1879.7722767438308</v>
      </c>
      <c r="BH40" s="159">
        <f t="shared" si="36"/>
        <v>2223.6608376606791</v>
      </c>
      <c r="BI40" s="159">
        <f t="shared" si="36"/>
        <v>1909.8568531001472</v>
      </c>
      <c r="BJ40" s="159">
        <f t="shared" si="36"/>
        <v>2263.1684271844379</v>
      </c>
      <c r="BK40" s="159">
        <f t="shared" si="36"/>
        <v>2166.1436211155592</v>
      </c>
      <c r="BL40" s="159">
        <f t="shared" si="36"/>
        <v>1931.9294057951809</v>
      </c>
      <c r="BM40" s="159">
        <f t="shared" si="36"/>
        <v>2295.1582137395931</v>
      </c>
      <c r="BN40" s="159">
        <f t="shared" si="36"/>
        <v>2331.2413081101745</v>
      </c>
      <c r="BO40" s="159">
        <f t="shared" si="36"/>
        <v>2357.5012839673382</v>
      </c>
      <c r="BP40" s="159">
        <f t="shared" si="36"/>
        <v>2383.7612598245014</v>
      </c>
      <c r="BQ40" s="159">
        <f t="shared" si="36"/>
        <v>2410.0212356816651</v>
      </c>
      <c r="BR40" s="159">
        <f t="shared" si="36"/>
        <v>2436.2812115388288</v>
      </c>
      <c r="BS40" s="174">
        <f>SUM(BG40:BR40)</f>
        <v>26588.495934461938</v>
      </c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</row>
    <row r="41" spans="1:83" s="69" customFormat="1" x14ac:dyDescent="0.2">
      <c r="A41" s="127"/>
      <c r="B41" s="12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27"/>
      <c r="Y41" s="1"/>
      <c r="Z41" s="1"/>
      <c r="AA41" s="1"/>
      <c r="AB41" s="1"/>
      <c r="AC41" s="1"/>
      <c r="AD41" s="1"/>
      <c r="AE41" s="1"/>
      <c r="AF41" s="1"/>
      <c r="AG41" s="6" t="s">
        <v>30</v>
      </c>
      <c r="AH41" s="171" t="s">
        <v>90</v>
      </c>
      <c r="AI41" s="1"/>
      <c r="AJ41" s="1"/>
      <c r="AK41" s="1"/>
      <c r="BG41" s="159">
        <f t="shared" ref="BG41:BR41" si="37">IF(BG37="",BG38,BG37)</f>
        <v>1879.7722767438308</v>
      </c>
      <c r="BH41" s="159">
        <f t="shared" si="37"/>
        <v>2223.6608376606791</v>
      </c>
      <c r="BI41" s="159">
        <f t="shared" si="37"/>
        <v>1909.8568531001472</v>
      </c>
      <c r="BJ41" s="159">
        <f t="shared" si="37"/>
        <v>2263.1684271844379</v>
      </c>
      <c r="BK41" s="159">
        <f t="shared" si="37"/>
        <v>2166.1436211155592</v>
      </c>
      <c r="BL41" s="159">
        <f t="shared" si="37"/>
        <v>1931.9294057951809</v>
      </c>
      <c r="BM41" s="159">
        <f t="shared" si="37"/>
        <v>2295.1582137395931</v>
      </c>
      <c r="BN41" s="159">
        <f t="shared" si="37"/>
        <v>2334.8920548269607</v>
      </c>
      <c r="BO41" s="159">
        <f t="shared" si="37"/>
        <v>2361.0933897544473</v>
      </c>
      <c r="BP41" s="159">
        <f t="shared" si="37"/>
        <v>2387.294724681934</v>
      </c>
      <c r="BQ41" s="159">
        <f t="shared" si="37"/>
        <v>2413.4960596094206</v>
      </c>
      <c r="BR41" s="159">
        <f t="shared" si="37"/>
        <v>2439.6973945369073</v>
      </c>
      <c r="BS41" s="174">
        <f>SUM(BG41:BR41)</f>
        <v>26606.1632587491</v>
      </c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</row>
    <row r="42" spans="1:83" s="69" customForma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27"/>
      <c r="Y42" s="1"/>
      <c r="Z42" s="1"/>
      <c r="AA42" s="1"/>
      <c r="AB42" s="1"/>
      <c r="AC42" s="1"/>
      <c r="AD42" s="1"/>
      <c r="AE42" s="1"/>
      <c r="AF42" s="1"/>
      <c r="AG42" s="164"/>
      <c r="AI42" s="1"/>
      <c r="AJ42" s="1"/>
      <c r="AK42" s="1"/>
      <c r="AL42" s="1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</row>
    <row r="43" spans="1:83" s="69" customFormat="1" x14ac:dyDescent="0.2">
      <c r="A43" s="1"/>
      <c r="B43" s="1"/>
      <c r="C43" s="127"/>
      <c r="D43" s="12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27"/>
      <c r="Y43" s="1"/>
      <c r="Z43" s="1"/>
      <c r="AA43" s="1"/>
      <c r="AB43" s="1"/>
      <c r="AC43" s="1"/>
      <c r="AD43" s="1"/>
      <c r="AE43" s="1"/>
      <c r="AF43" s="1"/>
      <c r="AG43" s="6" t="s">
        <v>89</v>
      </c>
      <c r="AH43" s="118" t="str">
        <f>AH34</f>
        <v>Actual</v>
      </c>
      <c r="AI43" s="1"/>
      <c r="AJ43" s="1"/>
      <c r="AK43" s="1"/>
      <c r="AL43" s="1"/>
      <c r="AU43" s="150">
        <f t="shared" ref="AU43:BR43" si="38">IF(AU34="",NA(),AU34)</f>
        <v>1690.3867757865562</v>
      </c>
      <c r="AV43" s="150">
        <f t="shared" si="38"/>
        <v>2011.3839385243195</v>
      </c>
      <c r="AW43" s="150">
        <f t="shared" si="38"/>
        <v>1545.1562668286288</v>
      </c>
      <c r="AX43" s="150">
        <f t="shared" si="38"/>
        <v>2250.1060861155411</v>
      </c>
      <c r="AY43" s="150">
        <f t="shared" si="38"/>
        <v>1970.3038874724662</v>
      </c>
      <c r="AZ43" s="150">
        <f t="shared" si="38"/>
        <v>1761.9690553753344</v>
      </c>
      <c r="BA43" s="150">
        <f t="shared" si="38"/>
        <v>2447.2910734761708</v>
      </c>
      <c r="BB43" s="150">
        <f t="shared" si="38"/>
        <v>1799.0383362456187</v>
      </c>
      <c r="BC43" s="150">
        <f t="shared" si="38"/>
        <v>1950.4351278270096</v>
      </c>
      <c r="BD43" s="150">
        <f t="shared" si="38"/>
        <v>2097.4438525737464</v>
      </c>
      <c r="BE43" s="150">
        <f t="shared" si="38"/>
        <v>1940.7240471902387</v>
      </c>
      <c r="BF43" s="150">
        <f t="shared" si="38"/>
        <v>2176.6650417491296</v>
      </c>
      <c r="BG43" s="150">
        <f t="shared" si="38"/>
        <v>2374.8096808109999</v>
      </c>
      <c r="BH43" s="150">
        <f t="shared" si="38"/>
        <v>1899.9102903480002</v>
      </c>
      <c r="BI43" s="150">
        <f t="shared" si="38"/>
        <v>2876.2979462190001</v>
      </c>
      <c r="BJ43" s="150">
        <f t="shared" si="38"/>
        <v>1927.7196770369999</v>
      </c>
      <c r="BK43" s="150">
        <f t="shared" si="38"/>
        <v>2047.5976440450002</v>
      </c>
      <c r="BL43" s="150">
        <f t="shared" si="38"/>
        <v>2388.1333070249998</v>
      </c>
      <c r="BM43" s="150">
        <f t="shared" si="38"/>
        <v>2230.7593678140001</v>
      </c>
      <c r="BN43" s="150" t="e">
        <f t="shared" si="38"/>
        <v>#N/A</v>
      </c>
      <c r="BO43" s="150" t="e">
        <f t="shared" si="38"/>
        <v>#N/A</v>
      </c>
      <c r="BP43" s="150" t="e">
        <f t="shared" si="38"/>
        <v>#N/A</v>
      </c>
      <c r="BQ43" s="150" t="e">
        <f t="shared" si="38"/>
        <v>#N/A</v>
      </c>
      <c r="BR43" s="150" t="e">
        <f t="shared" si="38"/>
        <v>#N/A</v>
      </c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</row>
    <row r="44" spans="1:83" s="127" customFormat="1" ht="13.1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U44" s="69"/>
      <c r="V44" s="69"/>
      <c r="W44" s="69"/>
      <c r="X44" s="69"/>
      <c r="Y44" s="1"/>
      <c r="Z44" s="1"/>
      <c r="AA44" s="1"/>
      <c r="AB44" s="1"/>
      <c r="AC44" s="1"/>
      <c r="AD44" s="1"/>
      <c r="AG44" s="69"/>
      <c r="AH44" s="118" t="str">
        <f>AH38</f>
        <v>Budget</v>
      </c>
      <c r="AI44" s="1"/>
      <c r="AJ44" s="1"/>
      <c r="AK44" s="1"/>
      <c r="AL44" s="1"/>
      <c r="AM44" s="69"/>
      <c r="AN44" s="69"/>
      <c r="AO44" s="69"/>
      <c r="AP44" s="69"/>
      <c r="AQ44" s="69"/>
      <c r="AR44" s="69"/>
      <c r="AS44" s="69"/>
      <c r="AT44" s="69"/>
      <c r="AU44" s="150" t="e">
        <f t="shared" ref="AU44:BR44" si="39">IF(AU35="",NA(),AU35)</f>
        <v>#N/A</v>
      </c>
      <c r="AV44" s="150" t="e">
        <f t="shared" si="39"/>
        <v>#N/A</v>
      </c>
      <c r="AW44" s="150" t="e">
        <f t="shared" si="39"/>
        <v>#N/A</v>
      </c>
      <c r="AX44" s="150" t="e">
        <f t="shared" si="39"/>
        <v>#N/A</v>
      </c>
      <c r="AY44" s="150" t="e">
        <f t="shared" si="39"/>
        <v>#N/A</v>
      </c>
      <c r="AZ44" s="150" t="e">
        <f t="shared" si="39"/>
        <v>#N/A</v>
      </c>
      <c r="BA44" s="150" t="e">
        <f t="shared" si="39"/>
        <v>#N/A</v>
      </c>
      <c r="BB44" s="150" t="e">
        <f t="shared" si="39"/>
        <v>#N/A</v>
      </c>
      <c r="BC44" s="150" t="e">
        <f t="shared" si="39"/>
        <v>#N/A</v>
      </c>
      <c r="BD44" s="150" t="e">
        <f t="shared" si="39"/>
        <v>#N/A</v>
      </c>
      <c r="BE44" s="150" t="e">
        <f t="shared" si="39"/>
        <v>#N/A</v>
      </c>
      <c r="BF44" s="150" t="e">
        <f t="shared" si="39"/>
        <v>#N/A</v>
      </c>
      <c r="BG44" s="150" t="e">
        <f t="shared" si="39"/>
        <v>#N/A</v>
      </c>
      <c r="BH44" s="150" t="e">
        <f t="shared" si="39"/>
        <v>#N/A</v>
      </c>
      <c r="BI44" s="150" t="e">
        <f t="shared" si="39"/>
        <v>#N/A</v>
      </c>
      <c r="BJ44" s="150" t="e">
        <f t="shared" si="39"/>
        <v>#N/A</v>
      </c>
      <c r="BK44" s="150" t="e">
        <f t="shared" si="39"/>
        <v>#N/A</v>
      </c>
      <c r="BL44" s="150" t="e">
        <f t="shared" si="39"/>
        <v>#N/A</v>
      </c>
      <c r="BM44" s="150">
        <f t="shared" si="39"/>
        <v>2295.1582137395931</v>
      </c>
      <c r="BN44" s="150">
        <f t="shared" si="39"/>
        <v>1964.3289439132727</v>
      </c>
      <c r="BO44" s="150">
        <f t="shared" si="39"/>
        <v>2108.2431813156572</v>
      </c>
      <c r="BP44" s="150">
        <f t="shared" si="39"/>
        <v>2301.332711682433</v>
      </c>
      <c r="BQ44" s="150">
        <f t="shared" si="39"/>
        <v>1961.6283494952713</v>
      </c>
      <c r="BR44" s="150">
        <f t="shared" si="39"/>
        <v>2054.8871073274777</v>
      </c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</row>
    <row r="45" spans="1:83" s="69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Y45" s="1"/>
      <c r="Z45" s="1"/>
      <c r="AA45" s="1"/>
      <c r="AB45" s="1"/>
      <c r="AC45" s="1"/>
      <c r="AD45" s="1"/>
      <c r="AE45" s="1"/>
      <c r="AF45" s="1"/>
      <c r="AH45" s="118" t="str">
        <f>AH36</f>
        <v>Trend 6m</v>
      </c>
      <c r="AI45" s="1"/>
      <c r="AJ45" s="1"/>
      <c r="AK45" s="1"/>
      <c r="AL45" s="1"/>
      <c r="AU45" s="150" t="e">
        <f t="shared" ref="AU45:BR45" si="40">IF(AU36="",NA(),AU36)</f>
        <v>#N/A</v>
      </c>
      <c r="AV45" s="150" t="e">
        <f t="shared" si="40"/>
        <v>#N/A</v>
      </c>
      <c r="AW45" s="150" t="e">
        <f t="shared" si="40"/>
        <v>#N/A</v>
      </c>
      <c r="AX45" s="150" t="e">
        <f t="shared" si="40"/>
        <v>#N/A</v>
      </c>
      <c r="AY45" s="150" t="e">
        <f t="shared" si="40"/>
        <v>#N/A</v>
      </c>
      <c r="AZ45" s="150" t="e">
        <f t="shared" si="40"/>
        <v>#N/A</v>
      </c>
      <c r="BA45" s="150" t="e">
        <f t="shared" si="40"/>
        <v>#N/A</v>
      </c>
      <c r="BB45" s="150" t="e">
        <f t="shared" si="40"/>
        <v>#N/A</v>
      </c>
      <c r="BC45" s="150" t="e">
        <f t="shared" si="40"/>
        <v>#N/A</v>
      </c>
      <c r="BD45" s="150" t="e">
        <f t="shared" si="40"/>
        <v>#N/A</v>
      </c>
      <c r="BE45" s="150" t="e">
        <f t="shared" si="40"/>
        <v>#N/A</v>
      </c>
      <c r="BF45" s="150" t="e">
        <f t="shared" si="40"/>
        <v>#N/A</v>
      </c>
      <c r="BG45" s="150" t="e">
        <f t="shared" si="40"/>
        <v>#N/A</v>
      </c>
      <c r="BH45" s="150" t="e">
        <f t="shared" si="40"/>
        <v>#N/A</v>
      </c>
      <c r="BI45" s="150" t="e">
        <f t="shared" si="40"/>
        <v>#N/A</v>
      </c>
      <c r="BJ45" s="150" t="e">
        <f t="shared" si="40"/>
        <v>#N/A</v>
      </c>
      <c r="BK45" s="150" t="e">
        <f t="shared" si="40"/>
        <v>#N/A</v>
      </c>
      <c r="BL45" s="150" t="e">
        <f t="shared" si="40"/>
        <v>#N/A</v>
      </c>
      <c r="BM45" s="150" t="e">
        <f t="shared" si="40"/>
        <v>#N/A</v>
      </c>
      <c r="BN45" s="150">
        <f t="shared" si="40"/>
        <v>2331.2413081101745</v>
      </c>
      <c r="BO45" s="150">
        <f t="shared" si="40"/>
        <v>2357.5012839673382</v>
      </c>
      <c r="BP45" s="150">
        <f t="shared" si="40"/>
        <v>2383.7612598245014</v>
      </c>
      <c r="BQ45" s="150">
        <f t="shared" si="40"/>
        <v>2410.0212356816651</v>
      </c>
      <c r="BR45" s="150">
        <f t="shared" si="40"/>
        <v>2436.2812115388288</v>
      </c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</row>
    <row r="46" spans="1:83" s="69" customForma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Y46" s="1"/>
      <c r="Z46" s="1"/>
      <c r="AA46" s="1"/>
      <c r="AB46" s="1"/>
      <c r="AC46" s="1"/>
      <c r="AD46" s="1"/>
      <c r="AE46" s="1"/>
      <c r="AF46" s="1"/>
      <c r="AH46" s="118" t="str">
        <f>AH37</f>
        <v>Trend 12m</v>
      </c>
      <c r="AI46" s="1"/>
      <c r="AJ46" s="1"/>
      <c r="AK46" s="1"/>
      <c r="AL46" s="1"/>
      <c r="AU46" s="150" t="e">
        <f t="shared" ref="AU46:BR46" si="41">IF(AU37="",NA(),AU37)</f>
        <v>#N/A</v>
      </c>
      <c r="AV46" s="150" t="e">
        <f t="shared" si="41"/>
        <v>#N/A</v>
      </c>
      <c r="AW46" s="150" t="e">
        <f t="shared" si="41"/>
        <v>#N/A</v>
      </c>
      <c r="AX46" s="150" t="e">
        <f t="shared" si="41"/>
        <v>#N/A</v>
      </c>
      <c r="AY46" s="150" t="e">
        <f t="shared" si="41"/>
        <v>#N/A</v>
      </c>
      <c r="AZ46" s="150" t="e">
        <f t="shared" si="41"/>
        <v>#N/A</v>
      </c>
      <c r="BA46" s="150" t="e">
        <f t="shared" si="41"/>
        <v>#N/A</v>
      </c>
      <c r="BB46" s="150" t="e">
        <f t="shared" si="41"/>
        <v>#N/A</v>
      </c>
      <c r="BC46" s="150" t="e">
        <f t="shared" si="41"/>
        <v>#N/A</v>
      </c>
      <c r="BD46" s="150" t="e">
        <f t="shared" si="41"/>
        <v>#N/A</v>
      </c>
      <c r="BE46" s="150" t="e">
        <f t="shared" si="41"/>
        <v>#N/A</v>
      </c>
      <c r="BF46" s="150" t="e">
        <f t="shared" si="41"/>
        <v>#N/A</v>
      </c>
      <c r="BG46" s="150" t="e">
        <f t="shared" si="41"/>
        <v>#N/A</v>
      </c>
      <c r="BH46" s="150" t="e">
        <f t="shared" si="41"/>
        <v>#N/A</v>
      </c>
      <c r="BI46" s="150" t="e">
        <f t="shared" si="41"/>
        <v>#N/A</v>
      </c>
      <c r="BJ46" s="150" t="e">
        <f t="shared" si="41"/>
        <v>#N/A</v>
      </c>
      <c r="BK46" s="150" t="e">
        <f t="shared" si="41"/>
        <v>#N/A</v>
      </c>
      <c r="BL46" s="150" t="e">
        <f t="shared" si="41"/>
        <v>#N/A</v>
      </c>
      <c r="BM46" s="150" t="e">
        <f t="shared" si="41"/>
        <v>#N/A</v>
      </c>
      <c r="BN46" s="150">
        <f t="shared" si="41"/>
        <v>2334.8920548269607</v>
      </c>
      <c r="BO46" s="150">
        <f t="shared" si="41"/>
        <v>2361.0933897544473</v>
      </c>
      <c r="BP46" s="150">
        <f t="shared" si="41"/>
        <v>2387.294724681934</v>
      </c>
      <c r="BQ46" s="150">
        <f t="shared" si="41"/>
        <v>2413.4960596094206</v>
      </c>
      <c r="BR46" s="150">
        <f t="shared" si="41"/>
        <v>2439.6973945369073</v>
      </c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</row>
    <row r="47" spans="1:83" s="69" customForma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Y47" s="1"/>
      <c r="Z47" s="1"/>
      <c r="AA47" s="1"/>
      <c r="AB47" s="1"/>
      <c r="AC47" s="1"/>
      <c r="AD47" s="1"/>
      <c r="AE47" s="1"/>
      <c r="AF47" s="1"/>
      <c r="AG47" s="1"/>
      <c r="AH47" s="118" t="s">
        <v>34</v>
      </c>
      <c r="AI47" s="1"/>
      <c r="AJ47" s="1"/>
      <c r="AK47" s="1"/>
      <c r="AL47" s="146"/>
      <c r="AM47" s="1"/>
      <c r="AN47" s="1"/>
      <c r="AO47" s="1"/>
      <c r="AP47" s="1"/>
      <c r="AQ47" s="1"/>
      <c r="AR47" s="1"/>
      <c r="AS47" s="1"/>
      <c r="AT47" s="1"/>
      <c r="AU47" s="150" t="e">
        <f>IF(AU39="",NA(),AU39)</f>
        <v>#N/A</v>
      </c>
      <c r="AV47" s="150" t="e">
        <f t="shared" ref="AV47:BR47" si="42">IF(AV39="",NA(),AV39)</f>
        <v>#N/A</v>
      </c>
      <c r="AW47" s="150" t="e">
        <f t="shared" si="42"/>
        <v>#N/A</v>
      </c>
      <c r="AX47" s="150" t="e">
        <f t="shared" si="42"/>
        <v>#N/A</v>
      </c>
      <c r="AY47" s="150" t="e">
        <f t="shared" si="42"/>
        <v>#N/A</v>
      </c>
      <c r="AZ47" s="150" t="e">
        <f t="shared" si="42"/>
        <v>#N/A</v>
      </c>
      <c r="BA47" s="150" t="e">
        <f t="shared" si="42"/>
        <v>#N/A</v>
      </c>
      <c r="BB47" s="150" t="e">
        <f t="shared" si="42"/>
        <v>#N/A</v>
      </c>
      <c r="BC47" s="150" t="e">
        <f t="shared" si="42"/>
        <v>#N/A</v>
      </c>
      <c r="BD47" s="150" t="e">
        <f t="shared" si="42"/>
        <v>#N/A</v>
      </c>
      <c r="BE47" s="150" t="e">
        <f t="shared" si="42"/>
        <v>#N/A</v>
      </c>
      <c r="BF47" s="150" t="e">
        <f t="shared" si="42"/>
        <v>#N/A</v>
      </c>
      <c r="BG47" s="150" t="e">
        <f t="shared" si="42"/>
        <v>#N/A</v>
      </c>
      <c r="BH47" s="150" t="e">
        <f t="shared" si="42"/>
        <v>#N/A</v>
      </c>
      <c r="BI47" s="150" t="e">
        <f t="shared" si="42"/>
        <v>#N/A</v>
      </c>
      <c r="BJ47" s="150" t="e">
        <f t="shared" si="42"/>
        <v>#N/A</v>
      </c>
      <c r="BK47" s="150" t="e">
        <f t="shared" si="42"/>
        <v>#N/A</v>
      </c>
      <c r="BL47" s="150" t="e">
        <f t="shared" si="42"/>
        <v>#N/A</v>
      </c>
      <c r="BM47" s="150">
        <f t="shared" si="42"/>
        <v>2230.7593678140001</v>
      </c>
      <c r="BN47" s="150">
        <f t="shared" si="42"/>
        <v>1964.3289439132727</v>
      </c>
      <c r="BO47" s="150">
        <f t="shared" si="42"/>
        <v>2108.2431813156572</v>
      </c>
      <c r="BP47" s="150">
        <f t="shared" si="42"/>
        <v>2301.332711682433</v>
      </c>
      <c r="BQ47" s="150">
        <f t="shared" si="42"/>
        <v>1961.6283494952713</v>
      </c>
      <c r="BR47" s="150">
        <f t="shared" si="42"/>
        <v>2054.8871073274777</v>
      </c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</row>
    <row r="48" spans="1:83" s="69" customForma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Y48" s="1"/>
      <c r="Z48" s="1"/>
      <c r="AA48" s="1"/>
      <c r="AB48" s="1"/>
      <c r="AC48" s="1"/>
      <c r="AD48" s="1"/>
      <c r="AE48" s="1"/>
      <c r="AF48" s="1"/>
      <c r="AH48" s="1"/>
      <c r="AI48" s="1"/>
      <c r="BW48" s="1"/>
      <c r="BX48" s="1"/>
      <c r="BY48" s="1"/>
      <c r="BZ48" s="1"/>
      <c r="CA48" s="1"/>
    </row>
    <row r="49" spans="1:79" s="69" customForma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Y49" s="1"/>
      <c r="Z49" s="1"/>
      <c r="AA49" s="1"/>
      <c r="AB49" s="1"/>
      <c r="AC49" s="1"/>
      <c r="AD49" s="1"/>
      <c r="AE49" s="1"/>
      <c r="AF49" s="1"/>
      <c r="AH49" s="1"/>
      <c r="AI49" s="1"/>
      <c r="BW49" s="1"/>
      <c r="BX49" s="1"/>
      <c r="BY49" s="1"/>
      <c r="BZ49" s="1"/>
      <c r="CA49" s="1"/>
    </row>
    <row r="50" spans="1:79" s="69" customForma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BW50" s="1"/>
      <c r="BX50" s="1"/>
      <c r="BY50" s="1"/>
      <c r="BZ50" s="1"/>
      <c r="CA50" s="1"/>
    </row>
    <row r="51" spans="1:79" s="69" customForma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BW51" s="1"/>
      <c r="BX51" s="1"/>
      <c r="BY51" s="1"/>
      <c r="BZ51" s="1"/>
      <c r="CA51" s="1"/>
    </row>
    <row r="52" spans="1:79" s="69" customForma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BW52" s="1"/>
      <c r="BX52" s="1"/>
      <c r="BY52" s="1"/>
      <c r="BZ52" s="1"/>
      <c r="CA52" s="1"/>
    </row>
    <row r="53" spans="1:79" s="69" customForma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BW53" s="1"/>
      <c r="BX53" s="1"/>
      <c r="BY53" s="1"/>
      <c r="BZ53" s="1"/>
      <c r="CA53" s="1"/>
    </row>
    <row r="54" spans="1:79" s="69" customForma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BW54" s="1"/>
      <c r="BX54" s="1"/>
      <c r="BY54" s="1"/>
      <c r="BZ54" s="1"/>
      <c r="CA54" s="1"/>
    </row>
    <row r="55" spans="1:79" s="69" customForma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BW55" s="1"/>
      <c r="BX55" s="1"/>
      <c r="BY55" s="1"/>
      <c r="BZ55" s="1"/>
      <c r="CA55" s="1"/>
    </row>
    <row r="56" spans="1:79" s="69" customForma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BW56" s="1"/>
      <c r="BX56" s="1"/>
      <c r="BY56" s="1"/>
      <c r="BZ56" s="1"/>
      <c r="CA56" s="1"/>
    </row>
    <row r="57" spans="1:79" s="69" customForma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BW57" s="1"/>
      <c r="BX57" s="1"/>
      <c r="BY57" s="1"/>
      <c r="BZ57" s="1"/>
      <c r="CA57" s="1"/>
    </row>
    <row r="58" spans="1:79" s="69" customForma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BW58" s="1"/>
      <c r="BX58" s="1"/>
      <c r="BY58" s="1"/>
      <c r="BZ58" s="1"/>
      <c r="CA58" s="1"/>
    </row>
    <row r="59" spans="1:79" x14ac:dyDescent="0.2">
      <c r="T59" s="69"/>
      <c r="U59" s="69"/>
      <c r="V59" s="69"/>
      <c r="W59" s="69"/>
      <c r="X59" s="69"/>
      <c r="AJ59" s="69"/>
    </row>
    <row r="60" spans="1:79" s="69" customForma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BW60" s="1"/>
      <c r="BX60" s="1"/>
      <c r="BY60" s="1"/>
      <c r="BZ60" s="1"/>
      <c r="CA60" s="1"/>
    </row>
    <row r="61" spans="1:79" s="69" customForma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BW61" s="1"/>
      <c r="BX61" s="1"/>
      <c r="BY61" s="1"/>
      <c r="BZ61" s="1"/>
      <c r="CA61" s="1"/>
    </row>
    <row r="62" spans="1:79" s="69" customForma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BW62" s="1"/>
      <c r="BX62" s="1"/>
      <c r="BY62" s="1"/>
      <c r="BZ62" s="1"/>
      <c r="CA62" s="1"/>
    </row>
    <row r="63" spans="1:79" s="69" customForma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BW63" s="1"/>
      <c r="BX63" s="1"/>
      <c r="BY63" s="1"/>
      <c r="BZ63" s="1"/>
      <c r="CA63" s="1"/>
    </row>
    <row r="64" spans="1:79" s="69" customForma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BW64" s="1"/>
      <c r="BX64" s="1"/>
      <c r="BY64" s="1"/>
      <c r="BZ64" s="1"/>
      <c r="CA64" s="1"/>
    </row>
    <row r="65" spans="1:79" s="69" customForma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BW65" s="1"/>
      <c r="BX65" s="1"/>
      <c r="BY65" s="1"/>
      <c r="BZ65" s="1"/>
      <c r="CA65" s="1"/>
    </row>
    <row r="66" spans="1:79" s="69" customForma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BW66" s="1"/>
      <c r="BX66" s="1"/>
      <c r="BY66" s="1"/>
      <c r="BZ66" s="1"/>
      <c r="CA66" s="1"/>
    </row>
    <row r="67" spans="1:79" s="69" customForma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BW67" s="1"/>
      <c r="BX67" s="1"/>
      <c r="BY67" s="1"/>
      <c r="BZ67" s="1"/>
      <c r="CA67" s="1"/>
    </row>
    <row r="68" spans="1:79" s="69" customForma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BW68" s="1"/>
      <c r="BX68" s="1"/>
      <c r="BY68" s="1"/>
      <c r="BZ68" s="1"/>
      <c r="CA68" s="1"/>
    </row>
    <row r="69" spans="1:79" s="69" customForma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BW69" s="1"/>
      <c r="BX69" s="1"/>
      <c r="BY69" s="1"/>
      <c r="BZ69" s="1"/>
      <c r="CA69" s="1"/>
    </row>
    <row r="70" spans="1:79" s="69" customForma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BW70" s="1"/>
      <c r="BX70" s="1"/>
      <c r="BY70" s="1"/>
      <c r="BZ70" s="1"/>
      <c r="CA70" s="1"/>
    </row>
    <row r="71" spans="1:79" s="69" customForma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BW71" s="1"/>
      <c r="BX71" s="1"/>
      <c r="BY71" s="1"/>
      <c r="BZ71" s="1"/>
      <c r="CA71" s="1"/>
    </row>
    <row r="72" spans="1:79" s="69" customForma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BW72" s="1"/>
      <c r="BX72" s="1"/>
      <c r="BY72" s="1"/>
      <c r="BZ72" s="1"/>
      <c r="CA72" s="1"/>
    </row>
    <row r="73" spans="1:79" s="69" customForma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BW73" s="1"/>
      <c r="BX73" s="1"/>
      <c r="BY73" s="1"/>
      <c r="BZ73" s="1"/>
      <c r="CA73" s="1"/>
    </row>
    <row r="74" spans="1:79" s="69" customForma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BW74" s="1"/>
      <c r="BX74" s="1"/>
      <c r="BY74" s="1"/>
      <c r="BZ74" s="1"/>
      <c r="CA74" s="1"/>
    </row>
    <row r="75" spans="1:79" s="69" customForma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BW75" s="1"/>
      <c r="BX75" s="1"/>
      <c r="BY75" s="1"/>
      <c r="BZ75" s="1"/>
      <c r="CA75" s="1"/>
    </row>
    <row r="76" spans="1:79" s="69" customForma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BW76" s="1"/>
      <c r="BX76" s="1"/>
      <c r="BY76" s="1"/>
      <c r="BZ76" s="1"/>
      <c r="CA76" s="1"/>
    </row>
    <row r="77" spans="1:79" s="69" customForma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BW77" s="1"/>
      <c r="BX77" s="1"/>
      <c r="BY77" s="1"/>
      <c r="BZ77" s="1"/>
      <c r="CA77" s="1"/>
    </row>
    <row r="78" spans="1:79" s="69" customForma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BW78" s="1"/>
      <c r="BX78" s="1"/>
      <c r="BY78" s="1"/>
      <c r="BZ78" s="1"/>
      <c r="CA78" s="1"/>
    </row>
    <row r="79" spans="1:79" s="69" customForma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BW79" s="1"/>
      <c r="BX79" s="1"/>
      <c r="BY79" s="1"/>
      <c r="BZ79" s="1"/>
      <c r="CA79" s="1"/>
    </row>
    <row r="80" spans="1:79" s="69" customForma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BW80" s="1"/>
      <c r="BX80" s="1"/>
      <c r="BY80" s="1"/>
      <c r="BZ80" s="1"/>
      <c r="CA80" s="1"/>
    </row>
    <row r="81" spans="1:79" s="69" customForma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BW81" s="1"/>
      <c r="BX81" s="1"/>
      <c r="BY81" s="1"/>
      <c r="BZ81" s="1"/>
      <c r="CA81" s="1"/>
    </row>
    <row r="82" spans="1:79" s="69" customForma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BW82" s="1"/>
      <c r="BX82" s="1"/>
      <c r="BY82" s="1"/>
      <c r="BZ82" s="1"/>
      <c r="CA82" s="1"/>
    </row>
    <row r="83" spans="1:79" s="69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BW83" s="1"/>
      <c r="BX83" s="1"/>
      <c r="BY83" s="1"/>
      <c r="BZ83" s="1"/>
      <c r="CA83" s="1"/>
    </row>
    <row r="84" spans="1:79" s="69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BW84" s="1"/>
      <c r="BX84" s="1"/>
      <c r="BY84" s="1"/>
      <c r="BZ84" s="1"/>
      <c r="CA84" s="1"/>
    </row>
    <row r="85" spans="1:79" s="69" customForma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BW85" s="1"/>
      <c r="BX85" s="1"/>
      <c r="BY85" s="1"/>
      <c r="BZ85" s="1"/>
      <c r="CA85" s="1"/>
    </row>
    <row r="86" spans="1:79" s="69" customForma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BW86" s="1"/>
      <c r="BX86" s="1"/>
      <c r="BY86" s="1"/>
      <c r="BZ86" s="1"/>
      <c r="CA86" s="1"/>
    </row>
    <row r="87" spans="1:79" s="69" customForma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BW87" s="1"/>
      <c r="BX87" s="1"/>
      <c r="BY87" s="1"/>
      <c r="BZ87" s="1"/>
      <c r="CA87" s="1"/>
    </row>
    <row r="88" spans="1:79" x14ac:dyDescent="0.2">
      <c r="AJ88" s="69"/>
    </row>
    <row r="89" spans="1:79" s="69" customForma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BW89" s="1"/>
      <c r="BX89" s="1"/>
      <c r="BY89" s="1"/>
      <c r="BZ89" s="1"/>
      <c r="CA89" s="1"/>
    </row>
    <row r="90" spans="1:79" s="69" customForma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BW90" s="1"/>
      <c r="BX90" s="1"/>
      <c r="BY90" s="1"/>
      <c r="BZ90" s="1"/>
      <c r="CA90" s="1"/>
    </row>
    <row r="91" spans="1:79" s="69" customForma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BW91" s="1"/>
      <c r="BX91" s="1"/>
      <c r="BY91" s="1"/>
      <c r="BZ91" s="1"/>
      <c r="CA91" s="1"/>
    </row>
    <row r="92" spans="1:79" s="69" customForma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BW92" s="1"/>
      <c r="BX92" s="1"/>
      <c r="BY92" s="1"/>
      <c r="BZ92" s="1"/>
      <c r="CA92" s="1"/>
    </row>
    <row r="93" spans="1:79" s="69" customForma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BW93" s="1"/>
      <c r="BX93" s="1"/>
      <c r="BY93" s="1"/>
      <c r="BZ93" s="1"/>
      <c r="CA93" s="1"/>
    </row>
    <row r="94" spans="1:79" s="69" customForma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BW94" s="1"/>
      <c r="BX94" s="1"/>
      <c r="BY94" s="1"/>
      <c r="BZ94" s="1"/>
      <c r="CA94" s="1"/>
    </row>
    <row r="95" spans="1:79" s="69" customForma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BW95" s="1"/>
      <c r="BX95" s="1"/>
      <c r="BY95" s="1"/>
      <c r="BZ95" s="1"/>
      <c r="CA95" s="1"/>
    </row>
    <row r="96" spans="1:79" s="69" customForma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BW96" s="1"/>
      <c r="BX96" s="1"/>
      <c r="BY96" s="1"/>
      <c r="BZ96" s="1"/>
      <c r="CA96" s="1"/>
    </row>
    <row r="97" spans="1:79" s="69" customForma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BW97" s="1"/>
      <c r="BX97" s="1"/>
      <c r="BY97" s="1"/>
      <c r="BZ97" s="1"/>
      <c r="CA97" s="1"/>
    </row>
    <row r="98" spans="1:79" s="69" customForma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BW98" s="1"/>
      <c r="BX98" s="1"/>
      <c r="BY98" s="1"/>
      <c r="BZ98" s="1"/>
      <c r="CA98" s="1"/>
    </row>
    <row r="99" spans="1:79" s="69" customForma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BW99" s="1"/>
      <c r="BX99" s="1"/>
      <c r="BY99" s="1"/>
      <c r="BZ99" s="1"/>
      <c r="CA99" s="1"/>
    </row>
    <row r="100" spans="1:79" s="69" customForma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BW100" s="1"/>
      <c r="BX100" s="1"/>
      <c r="BY100" s="1"/>
      <c r="BZ100" s="1"/>
      <c r="CA100" s="1"/>
    </row>
    <row r="101" spans="1:79" s="69" customForma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BW101" s="1"/>
      <c r="BX101" s="1"/>
      <c r="BY101" s="1"/>
      <c r="BZ101" s="1"/>
      <c r="CA101" s="1"/>
    </row>
    <row r="102" spans="1:79" s="69" customForma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BW102" s="1"/>
      <c r="BX102" s="1"/>
      <c r="BY102" s="1"/>
      <c r="BZ102" s="1"/>
      <c r="CA102" s="1"/>
    </row>
    <row r="103" spans="1:79" s="69" customForma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BW103" s="1"/>
      <c r="BX103" s="1"/>
      <c r="BY103" s="1"/>
      <c r="BZ103" s="1"/>
      <c r="CA103" s="1"/>
    </row>
    <row r="104" spans="1:79" s="69" customForma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BW104" s="1"/>
      <c r="BX104" s="1"/>
      <c r="BY104" s="1"/>
      <c r="BZ104" s="1"/>
      <c r="CA104" s="1"/>
    </row>
    <row r="105" spans="1:79" s="69" customForma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BW105" s="1"/>
      <c r="BX105" s="1"/>
      <c r="BY105" s="1"/>
      <c r="BZ105" s="1"/>
      <c r="CA105" s="1"/>
    </row>
    <row r="106" spans="1:79" s="69" customForma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BW106" s="1"/>
      <c r="BX106" s="1"/>
      <c r="BY106" s="1"/>
      <c r="BZ106" s="1"/>
      <c r="CA106" s="1"/>
    </row>
    <row r="107" spans="1:79" s="69" customForma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BW107" s="1"/>
      <c r="BX107" s="1"/>
      <c r="BY107" s="1"/>
      <c r="BZ107" s="1"/>
      <c r="CA107" s="1"/>
    </row>
    <row r="108" spans="1:79" s="69" customForma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84"/>
      <c r="AK108" s="185"/>
      <c r="AL108" s="118"/>
      <c r="AM108" s="186"/>
      <c r="AN108" s="187"/>
      <c r="AP108" s="188"/>
      <c r="AR108" s="188"/>
      <c r="AT108" s="188"/>
      <c r="AV108" s="188"/>
      <c r="AX108" s="188"/>
      <c r="AZ108" s="188"/>
      <c r="BB108" s="188"/>
      <c r="BD108" s="188"/>
      <c r="BF108" s="188"/>
      <c r="BH108" s="188"/>
      <c r="BJ108" s="188"/>
      <c r="BW108" s="1"/>
      <c r="BX108" s="1"/>
      <c r="BY108" s="1"/>
      <c r="BZ108" s="1"/>
      <c r="CA108" s="1"/>
    </row>
    <row r="109" spans="1:79" s="69" customForma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BW109" s="1"/>
      <c r="BX109" s="1"/>
      <c r="BY109" s="1"/>
      <c r="BZ109" s="1"/>
      <c r="CA109" s="1"/>
    </row>
    <row r="110" spans="1:79" s="69" customForma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BW110" s="1"/>
      <c r="BX110" s="1"/>
      <c r="BY110" s="1"/>
      <c r="BZ110" s="1"/>
      <c r="CA110" s="1"/>
    </row>
    <row r="111" spans="1:79" s="69" customForma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BW111" s="1"/>
      <c r="BX111" s="1"/>
      <c r="BY111" s="1"/>
      <c r="BZ111" s="1"/>
      <c r="CA111" s="1"/>
    </row>
    <row r="112" spans="1:79" s="69" customForma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BW112" s="1"/>
      <c r="BX112" s="1"/>
      <c r="BY112" s="1"/>
      <c r="BZ112" s="1"/>
      <c r="CA112" s="1"/>
    </row>
    <row r="113" spans="1:79" s="69" customForma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BW113" s="1"/>
      <c r="BX113" s="1"/>
      <c r="BY113" s="1"/>
      <c r="BZ113" s="1"/>
      <c r="CA113" s="1"/>
    </row>
    <row r="114" spans="1:79" s="69" customForma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BW114" s="1"/>
      <c r="BX114" s="1"/>
      <c r="BY114" s="1"/>
      <c r="BZ114" s="1"/>
      <c r="CA114" s="1"/>
    </row>
    <row r="115" spans="1:79" s="69" customForma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BW115" s="1"/>
      <c r="BX115" s="1"/>
      <c r="BY115" s="1"/>
      <c r="BZ115" s="1"/>
      <c r="CA115" s="1"/>
    </row>
    <row r="116" spans="1:79" s="69" customForma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BW116" s="1"/>
      <c r="BX116" s="1"/>
      <c r="BY116" s="1"/>
      <c r="BZ116" s="1"/>
      <c r="CA116" s="1"/>
    </row>
  </sheetData>
  <conditionalFormatting sqref="S6:S11">
    <cfRule type="cellIs" dxfId="26" priority="61" operator="lessThan">
      <formula>0</formula>
    </cfRule>
    <cfRule type="cellIs" dxfId="25" priority="62" operator="greaterThan">
      <formula>0</formula>
    </cfRule>
  </conditionalFormatting>
  <conditionalFormatting sqref="U25:X27">
    <cfRule type="cellIs" dxfId="24" priority="26" operator="greaterThan">
      <formula>0</formula>
    </cfRule>
    <cfRule type="cellIs" dxfId="23" priority="25" operator="lessThan">
      <formula>0</formula>
    </cfRule>
  </conditionalFormatting>
  <conditionalFormatting sqref="U30:X32">
    <cfRule type="cellIs" dxfId="22" priority="17" operator="lessThan">
      <formula>0</formula>
    </cfRule>
    <cfRule type="cellIs" dxfId="21" priority="18" operator="greaterThan">
      <formula>0</formula>
    </cfRule>
  </conditionalFormatting>
  <conditionalFormatting sqref="U35:X38">
    <cfRule type="cellIs" dxfId="20" priority="37" operator="lessThan">
      <formula>0</formula>
    </cfRule>
    <cfRule type="cellIs" dxfId="19" priority="38" operator="greaterThan">
      <formula>0</formula>
    </cfRule>
  </conditionalFormatting>
  <conditionalFormatting sqref="V13:W13">
    <cfRule type="cellIs" dxfId="18" priority="35" operator="lessThan">
      <formula>0</formula>
    </cfRule>
  </conditionalFormatting>
  <conditionalFormatting sqref="V13:X13">
    <cfRule type="cellIs" dxfId="17" priority="34" operator="greaterThan">
      <formula>0</formula>
    </cfRule>
  </conditionalFormatting>
  <conditionalFormatting sqref="W14 AC14">
    <cfRule type="expression" dxfId="16" priority="75">
      <formula>#REF!&gt;#REF!</formula>
    </cfRule>
  </conditionalFormatting>
  <conditionalFormatting sqref="X6:X9 T10:U10">
    <cfRule type="cellIs" dxfId="15" priority="49" operator="lessThan">
      <formula>0</formula>
    </cfRule>
    <cfRule type="cellIs" dxfId="14" priority="50" operator="greaterThan">
      <formula>0</formula>
    </cfRule>
  </conditionalFormatting>
  <conditionalFormatting sqref="X13:X14">
    <cfRule type="cellIs" dxfId="13" priority="31" operator="lessThan">
      <formula>0</formula>
    </cfRule>
  </conditionalFormatting>
  <conditionalFormatting sqref="X14">
    <cfRule type="cellIs" dxfId="12" priority="32" operator="greaterThan">
      <formula>0</formula>
    </cfRule>
  </conditionalFormatting>
  <conditionalFormatting sqref="AA25:AD27">
    <cfRule type="cellIs" dxfId="11" priority="1" operator="lessThan">
      <formula>0</formula>
    </cfRule>
    <cfRule type="cellIs" dxfId="10" priority="2" operator="greaterThan">
      <formula>0</formula>
    </cfRule>
  </conditionalFormatting>
  <conditionalFormatting sqref="AA30:AD32">
    <cfRule type="cellIs" dxfId="9" priority="7" operator="lessThan">
      <formula>0</formula>
    </cfRule>
    <cfRule type="cellIs" dxfId="8" priority="8" operator="greaterThan">
      <formula>0</formula>
    </cfRule>
  </conditionalFormatting>
  <conditionalFormatting sqref="AA35:AD38">
    <cfRule type="cellIs" dxfId="7" priority="63" operator="lessThan">
      <formula>0</formula>
    </cfRule>
    <cfRule type="cellIs" dxfId="6" priority="64" operator="greaterThan">
      <formula>0</formula>
    </cfRule>
  </conditionalFormatting>
  <conditionalFormatting sqref="AB13:AD13">
    <cfRule type="cellIs" dxfId="5" priority="57" operator="lessThan">
      <formula>0</formula>
    </cfRule>
    <cfRule type="cellIs" dxfId="4" priority="58" operator="greaterThan">
      <formula>0</formula>
    </cfRule>
  </conditionalFormatting>
  <conditionalFormatting sqref="AD6:AD9 Z10:AA10">
    <cfRule type="cellIs" dxfId="3" priority="73" operator="lessThan">
      <formula>0</formula>
    </cfRule>
    <cfRule type="cellIs" dxfId="2" priority="74" operator="greaterThan">
      <formula>0</formula>
    </cfRule>
  </conditionalFormatting>
  <conditionalFormatting sqref="AD14">
    <cfRule type="cellIs" dxfId="1" priority="55" operator="lessThan">
      <formula>0</formula>
    </cfRule>
    <cfRule type="cellIs" dxfId="0" priority="56" operator="greaterThan">
      <formula>0</formula>
    </cfRule>
  </conditionalFormatting>
  <pageMargins left="0.7" right="0.7" top="0.75" bottom="0.75" header="0.3" footer="0.3"/>
  <pageSetup orientation="portrait" verticalDpi="300" r:id="rId1"/>
  <ignoredErrors>
    <ignoredError sqref="F8:R8 F15:R15" formula="1"/>
  </ignoredErrors>
  <drawing r:id="rId2"/>
  <legacyDrawing r:id="rId3"/>
  <controls>
    <mc:AlternateContent xmlns:mc="http://schemas.openxmlformats.org/markup-compatibility/2006">
      <mc:Choice Requires="x14">
        <control shapeId="577537" r:id="rId4" name="FPMExcelClientSheetOptionstb1">
          <controlPr defaultSize="0" autoLine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577537" r:id="rId4" name="FPMExcelClientSheetOptionstb1"/>
      </mc:Fallback>
    </mc:AlternateContent>
    <mc:AlternateContent xmlns:mc="http://schemas.openxmlformats.org/markup-compatibility/2006">
      <mc:Choice Requires="x14">
        <control shapeId="577538" r:id="rId6" name="ConnectionDescriptorsInfotb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333375</xdr:colOff>
                <xdr:row>0</xdr:row>
                <xdr:rowOff>0</xdr:rowOff>
              </to>
            </anchor>
          </controlPr>
        </control>
      </mc:Choice>
      <mc:Fallback>
        <control shapeId="577538" r:id="rId6" name="ConnectionDescriptorsInfotb1"/>
      </mc:Fallback>
    </mc:AlternateContent>
    <mc:AlternateContent xmlns:mc="http://schemas.openxmlformats.org/markup-compatibility/2006">
      <mc:Choice Requires="x14">
        <control shapeId="577539" r:id="rId8" name="MultipleReportManagerInfotb1">
          <controlPr defaultSize="0" autoLine="0" autoPict="0" r:id="rId9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333375</xdr:colOff>
                <xdr:row>0</xdr:row>
                <xdr:rowOff>0</xdr:rowOff>
              </to>
            </anchor>
          </controlPr>
        </control>
      </mc:Choice>
      <mc:Fallback>
        <control shapeId="577539" r:id="rId8" name="MultipleReportManagerInfotb1"/>
      </mc:Fallback>
    </mc:AlternateContent>
    <mc:AlternateContent xmlns:mc="http://schemas.openxmlformats.org/markup-compatibility/2006">
      <mc:Choice Requires="x14">
        <control shapeId="577540" r:id="rId10" name="AnalyzerDynReport000tb1">
          <controlPr defaultSize="0" autoLine="0" autoPict="0" r:id="rId11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333375</xdr:colOff>
                <xdr:row>0</xdr:row>
                <xdr:rowOff>0</xdr:rowOff>
              </to>
            </anchor>
          </controlPr>
        </control>
      </mc:Choice>
      <mc:Fallback>
        <control shapeId="577540" r:id="rId10" name="AnalyzerDynReport000tb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3D7AF1-36D6-4BA0-8AB6-C892DC031A65}">
          <x14:formula1>
            <xm:f>Mapping!$A$2:$A$19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AF7B-447A-4855-8096-1019E061C7E7}">
  <sheetPr>
    <tabColor rgb="FF8FCFAD"/>
  </sheetPr>
  <dimension ref="A1:D50"/>
  <sheetViews>
    <sheetView showGridLines="0" zoomScale="130" zoomScaleNormal="130" workbookViewId="0">
      <selection activeCell="C10" sqref="C10"/>
    </sheetView>
  </sheetViews>
  <sheetFormatPr defaultColWidth="9.140625" defaultRowHeight="15" x14ac:dyDescent="0.25"/>
  <cols>
    <col min="1" max="1" width="17.7109375" style="51" bestFit="1" customWidth="1"/>
    <col min="2" max="2" width="19.140625" style="51" customWidth="1"/>
    <col min="3" max="3" width="23.42578125" style="51" customWidth="1"/>
    <col min="4" max="16384" width="9.140625" style="51"/>
  </cols>
  <sheetData>
    <row r="1" spans="1:4" x14ac:dyDescent="0.25">
      <c r="A1" s="60" t="s">
        <v>104</v>
      </c>
      <c r="B1" s="60" t="s">
        <v>121</v>
      </c>
      <c r="C1" s="60" t="s">
        <v>105</v>
      </c>
      <c r="D1" s="60" t="s">
        <v>122</v>
      </c>
    </row>
    <row r="2" spans="1:4" x14ac:dyDescent="0.25">
      <c r="A2" s="61" t="s">
        <v>96</v>
      </c>
      <c r="B2" s="61" t="s">
        <v>0</v>
      </c>
      <c r="C2" s="61">
        <v>1000</v>
      </c>
      <c r="D2" s="61" t="s">
        <v>2</v>
      </c>
    </row>
    <row r="3" spans="1:4" x14ac:dyDescent="0.25">
      <c r="A3" s="61" t="s">
        <v>94</v>
      </c>
      <c r="B3" s="61" t="s">
        <v>1</v>
      </c>
      <c r="D3" s="61" t="s">
        <v>3</v>
      </c>
    </row>
    <row r="4" spans="1:4" x14ac:dyDescent="0.25">
      <c r="A4" s="61" t="s">
        <v>93</v>
      </c>
      <c r="D4" s="61" t="s">
        <v>4</v>
      </c>
    </row>
    <row r="5" spans="1:4" x14ac:dyDescent="0.25">
      <c r="A5" s="61" t="s">
        <v>95</v>
      </c>
      <c r="D5" s="61" t="s">
        <v>5</v>
      </c>
    </row>
    <row r="6" spans="1:4" x14ac:dyDescent="0.25">
      <c r="A6" s="61" t="s">
        <v>106</v>
      </c>
      <c r="D6" s="61" t="s">
        <v>6</v>
      </c>
    </row>
    <row r="7" spans="1:4" x14ac:dyDescent="0.25">
      <c r="A7" s="61" t="s">
        <v>107</v>
      </c>
      <c r="D7" s="61" t="s">
        <v>7</v>
      </c>
    </row>
    <row r="8" spans="1:4" x14ac:dyDescent="0.25">
      <c r="A8" s="61" t="s">
        <v>108</v>
      </c>
      <c r="D8" s="61" t="s">
        <v>8</v>
      </c>
    </row>
    <row r="9" spans="1:4" x14ac:dyDescent="0.25">
      <c r="A9" s="61" t="s">
        <v>109</v>
      </c>
      <c r="C9" s="62"/>
      <c r="D9" s="61" t="s">
        <v>9</v>
      </c>
    </row>
    <row r="10" spans="1:4" x14ac:dyDescent="0.25">
      <c r="A10" s="61" t="s">
        <v>110</v>
      </c>
      <c r="C10" s="62"/>
      <c r="D10" s="61" t="s">
        <v>10</v>
      </c>
    </row>
    <row r="11" spans="1:4" x14ac:dyDescent="0.25">
      <c r="A11" s="61" t="s">
        <v>111</v>
      </c>
      <c r="C11" s="62"/>
      <c r="D11" s="61" t="s">
        <v>11</v>
      </c>
    </row>
    <row r="12" spans="1:4" x14ac:dyDescent="0.25">
      <c r="A12" s="61" t="s">
        <v>112</v>
      </c>
      <c r="C12" s="62"/>
      <c r="D12" s="61" t="s">
        <v>12</v>
      </c>
    </row>
    <row r="13" spans="1:4" x14ac:dyDescent="0.25">
      <c r="A13" s="61" t="s">
        <v>113</v>
      </c>
      <c r="C13" s="62"/>
      <c r="D13" s="61" t="s">
        <v>13</v>
      </c>
    </row>
    <row r="14" spans="1:4" x14ac:dyDescent="0.25">
      <c r="A14" s="61" t="s">
        <v>114</v>
      </c>
      <c r="C14" s="62"/>
    </row>
    <row r="15" spans="1:4" x14ac:dyDescent="0.25">
      <c r="A15" s="61" t="s">
        <v>115</v>
      </c>
      <c r="C15" s="62"/>
    </row>
    <row r="16" spans="1:4" x14ac:dyDescent="0.25">
      <c r="A16" s="61" t="s">
        <v>116</v>
      </c>
      <c r="C16" s="62"/>
    </row>
    <row r="17" spans="1:3" x14ac:dyDescent="0.25">
      <c r="A17" s="61" t="s">
        <v>117</v>
      </c>
      <c r="C17" s="62"/>
    </row>
    <row r="18" spans="1:3" x14ac:dyDescent="0.25">
      <c r="A18" s="61" t="s">
        <v>118</v>
      </c>
      <c r="C18" s="62"/>
    </row>
    <row r="19" spans="1:3" x14ac:dyDescent="0.25">
      <c r="A19" s="61" t="s">
        <v>119</v>
      </c>
      <c r="C19" s="62"/>
    </row>
    <row r="20" spans="1:3" x14ac:dyDescent="0.25">
      <c r="C20" s="62"/>
    </row>
    <row r="21" spans="1:3" x14ac:dyDescent="0.25">
      <c r="C21" s="62"/>
    </row>
    <row r="22" spans="1:3" x14ac:dyDescent="0.25">
      <c r="C22" s="62"/>
    </row>
    <row r="23" spans="1:3" x14ac:dyDescent="0.25">
      <c r="C23" s="62"/>
    </row>
    <row r="24" spans="1:3" x14ac:dyDescent="0.25">
      <c r="C24" s="62"/>
    </row>
    <row r="25" spans="1:3" x14ac:dyDescent="0.25">
      <c r="C25" s="62"/>
    </row>
    <row r="26" spans="1:3" x14ac:dyDescent="0.25">
      <c r="C26" s="62"/>
    </row>
    <row r="27" spans="1:3" x14ac:dyDescent="0.25">
      <c r="C27" s="62"/>
    </row>
    <row r="28" spans="1:3" x14ac:dyDescent="0.25">
      <c r="C28" s="62"/>
    </row>
    <row r="29" spans="1:3" x14ac:dyDescent="0.25">
      <c r="C29" s="62"/>
    </row>
    <row r="30" spans="1:3" x14ac:dyDescent="0.25">
      <c r="C30" s="62"/>
    </row>
    <row r="31" spans="1:3" x14ac:dyDescent="0.25">
      <c r="C31" s="62"/>
    </row>
    <row r="32" spans="1:3" x14ac:dyDescent="0.25">
      <c r="C32" s="62"/>
    </row>
    <row r="33" spans="3:3" x14ac:dyDescent="0.25">
      <c r="C33" s="62"/>
    </row>
    <row r="34" spans="3:3" x14ac:dyDescent="0.25">
      <c r="C34" s="62"/>
    </row>
    <row r="35" spans="3:3" x14ac:dyDescent="0.25">
      <c r="C35" s="62"/>
    </row>
    <row r="36" spans="3:3" x14ac:dyDescent="0.25">
      <c r="C36" s="62"/>
    </row>
    <row r="37" spans="3:3" x14ac:dyDescent="0.25">
      <c r="C37" s="62"/>
    </row>
    <row r="38" spans="3:3" x14ac:dyDescent="0.25">
      <c r="C38" s="62"/>
    </row>
    <row r="39" spans="3:3" x14ac:dyDescent="0.25">
      <c r="C39" s="62"/>
    </row>
    <row r="40" spans="3:3" x14ac:dyDescent="0.25">
      <c r="C40" s="62"/>
    </row>
    <row r="41" spans="3:3" x14ac:dyDescent="0.25">
      <c r="C41" s="62"/>
    </row>
    <row r="42" spans="3:3" x14ac:dyDescent="0.25">
      <c r="C42" s="62"/>
    </row>
    <row r="43" spans="3:3" x14ac:dyDescent="0.25">
      <c r="C43" s="62"/>
    </row>
    <row r="44" spans="3:3" x14ac:dyDescent="0.25">
      <c r="C44" s="62"/>
    </row>
    <row r="45" spans="3:3" x14ac:dyDescent="0.25">
      <c r="C45" s="62"/>
    </row>
    <row r="46" spans="3:3" x14ac:dyDescent="0.25">
      <c r="C46" s="62"/>
    </row>
    <row r="47" spans="3:3" x14ac:dyDescent="0.25">
      <c r="C47" s="62"/>
    </row>
    <row r="49" spans="3:3" x14ac:dyDescent="0.25">
      <c r="C49" s="63"/>
    </row>
    <row r="50" spans="3:3" x14ac:dyDescent="0.25">
      <c r="C50" s="63"/>
    </row>
  </sheetData>
  <phoneticPr fontId="13" type="noConversion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56D0-934F-4CA8-832F-0EE6E1FCAED8}">
  <sheetPr>
    <tabColor theme="0" tint="-0.14999847407452621"/>
  </sheetPr>
  <dimension ref="A1:Y17"/>
  <sheetViews>
    <sheetView showGridLines="0" workbookViewId="0">
      <selection activeCell="D11" sqref="D11"/>
    </sheetView>
  </sheetViews>
  <sheetFormatPr defaultColWidth="9.140625" defaultRowHeight="15" x14ac:dyDescent="0.25"/>
  <cols>
    <col min="1" max="1" width="15.28515625" style="51" customWidth="1"/>
    <col min="2" max="2" width="19.140625" style="51" customWidth="1"/>
    <col min="3" max="25" width="12.140625" style="51" customWidth="1"/>
    <col min="26" max="16384" width="9.140625" style="51"/>
  </cols>
  <sheetData>
    <row r="1" spans="1:25" x14ac:dyDescent="0.25">
      <c r="A1" s="64"/>
      <c r="B1" s="64"/>
      <c r="C1" s="64"/>
      <c r="D1" s="64"/>
      <c r="F1" s="64"/>
      <c r="G1" s="64"/>
    </row>
    <row r="3" spans="1:25" x14ac:dyDescent="0.25">
      <c r="A3" s="65" t="s">
        <v>83</v>
      </c>
      <c r="B3" s="65">
        <v>-1</v>
      </c>
      <c r="C3" s="65">
        <v>-2</v>
      </c>
      <c r="D3" s="65">
        <v>-3</v>
      </c>
      <c r="E3" s="65">
        <v>-4</v>
      </c>
      <c r="F3" s="65">
        <v>-5</v>
      </c>
      <c r="G3" s="65">
        <v>-6</v>
      </c>
      <c r="H3" s="65">
        <v>-7</v>
      </c>
      <c r="I3" s="65">
        <v>-8</v>
      </c>
      <c r="J3" s="65">
        <v>-9</v>
      </c>
      <c r="K3" s="65">
        <v>-10</v>
      </c>
      <c r="L3" s="65">
        <v>-11</v>
      </c>
      <c r="M3" s="65">
        <v>-12</v>
      </c>
      <c r="N3" s="65">
        <v>-13</v>
      </c>
      <c r="O3" s="65">
        <v>-14</v>
      </c>
      <c r="P3" s="65">
        <v>-15</v>
      </c>
      <c r="Q3" s="65">
        <v>-16</v>
      </c>
      <c r="R3" s="65">
        <v>-17</v>
      </c>
      <c r="S3" s="65">
        <v>-18</v>
      </c>
      <c r="T3" s="65">
        <v>-19</v>
      </c>
      <c r="U3" s="65">
        <v>-20</v>
      </c>
      <c r="V3" s="65">
        <v>-21</v>
      </c>
      <c r="W3" s="65">
        <v>-22</v>
      </c>
      <c r="X3" s="65">
        <v>-23</v>
      </c>
      <c r="Y3" s="65">
        <v>-24</v>
      </c>
    </row>
    <row r="4" spans="1:25" x14ac:dyDescent="0.25">
      <c r="A4" s="189" t="str">
        <f>"Jan "&amp;Summary!$C$2</f>
        <v>Jan 2020</v>
      </c>
      <c r="B4" s="189" t="str">
        <f>"Dec "&amp;Summary!$C$2-1</f>
        <v>Dec 2019</v>
      </c>
      <c r="C4" s="189" t="str">
        <f>"Nov "&amp;Summary!$C$2-1</f>
        <v>Nov 2019</v>
      </c>
      <c r="D4" s="189" t="str">
        <f>"Oct "&amp;Summary!$C$2-1</f>
        <v>Oct 2019</v>
      </c>
      <c r="E4" s="189" t="str">
        <f>"Sep "&amp;Summary!$C$2-1</f>
        <v>Sep 2019</v>
      </c>
      <c r="F4" s="189" t="str">
        <f>"Aug "&amp;Summary!$C$2-1</f>
        <v>Aug 2019</v>
      </c>
      <c r="G4" s="189" t="str">
        <f>"Jul "&amp;Summary!$C$2-1</f>
        <v>Jul 2019</v>
      </c>
      <c r="H4" s="189" t="str">
        <f>"Jun "&amp;Summary!$C$2-1</f>
        <v>Jun 2019</v>
      </c>
      <c r="I4" s="189" t="str">
        <f>"May "&amp;Summary!$C$2-1</f>
        <v>May 2019</v>
      </c>
      <c r="J4" s="189" t="str">
        <f>"Apr "&amp;Summary!$C$2-1</f>
        <v>Apr 2019</v>
      </c>
      <c r="K4" s="189" t="str">
        <f>"Mar "&amp;Summary!$C$2-1</f>
        <v>Mar 2019</v>
      </c>
      <c r="L4" s="189" t="str">
        <f>"Feb "&amp;Summary!$C$2-1</f>
        <v>Feb 2019</v>
      </c>
      <c r="M4" s="189" t="str">
        <f>"Jan "&amp;Summary!$C$2-1</f>
        <v>Jan 2019</v>
      </c>
      <c r="N4" s="189" t="str">
        <f>"Dec "&amp;Summary!$C$2-2</f>
        <v>Dec 2018</v>
      </c>
      <c r="O4" s="189" t="str">
        <f>"Nov "&amp;Summary!$C$2-2</f>
        <v>Nov 2018</v>
      </c>
      <c r="P4" s="189" t="str">
        <f>"Oct "&amp;Summary!$C$2-2</f>
        <v>Oct 2018</v>
      </c>
      <c r="Q4" s="189" t="str">
        <f>"Sep "&amp;Summary!$C$2-2</f>
        <v>Sep 2018</v>
      </c>
      <c r="R4" s="189" t="str">
        <f>"Aug "&amp;Summary!$C$2-2</f>
        <v>Aug 2018</v>
      </c>
      <c r="S4" s="189" t="str">
        <f>"Jul "&amp;Summary!$C$2-2</f>
        <v>Jul 2018</v>
      </c>
      <c r="T4" s="189" t="str">
        <f>"Jun "&amp;Summary!$C$2-2</f>
        <v>Jun 2018</v>
      </c>
      <c r="U4" s="189" t="str">
        <f>"May "&amp;Summary!$C$2-2</f>
        <v>May 2018</v>
      </c>
      <c r="V4" s="189" t="str">
        <f>"Apr "&amp;Summary!$C$2-2</f>
        <v>Apr 2018</v>
      </c>
      <c r="W4" s="189" t="str">
        <f>"Mar "&amp;Summary!$C$2-2</f>
        <v>Mar 2018</v>
      </c>
      <c r="X4" s="189" t="str">
        <f>"Feb "&amp;Summary!$C$2-2</f>
        <v>Feb 2018</v>
      </c>
      <c r="Y4" s="189" t="str">
        <f>"Jan "&amp;Summary!$C$2-2</f>
        <v>Jan 2018</v>
      </c>
    </row>
    <row r="5" spans="1:25" x14ac:dyDescent="0.25">
      <c r="A5" s="189" t="str">
        <f>"Feb "&amp;Summary!$C$2</f>
        <v>Feb 2020</v>
      </c>
      <c r="B5" s="189" t="str">
        <f>"Jan "&amp;Summary!$C$2</f>
        <v>Jan 2020</v>
      </c>
      <c r="C5" s="189" t="str">
        <f>"Dec "&amp;Summary!$C$2-1</f>
        <v>Dec 2019</v>
      </c>
      <c r="D5" s="189" t="str">
        <f>"Nov "&amp;Summary!$C$2-1</f>
        <v>Nov 2019</v>
      </c>
      <c r="E5" s="88" t="s">
        <v>44</v>
      </c>
      <c r="F5" s="88" t="s">
        <v>43</v>
      </c>
      <c r="G5" s="88" t="s">
        <v>42</v>
      </c>
      <c r="H5" s="88" t="s">
        <v>41</v>
      </c>
      <c r="I5" s="189" t="str">
        <f>"Jun "&amp;Summary!$C$2-1</f>
        <v>Jun 2019</v>
      </c>
      <c r="J5" s="189" t="str">
        <f>"May "&amp;Summary!$C$2-1</f>
        <v>May 2019</v>
      </c>
      <c r="K5" s="189" t="str">
        <f>"Apr "&amp;Summary!$C$2-1</f>
        <v>Apr 2019</v>
      </c>
      <c r="L5" s="189" t="str">
        <f>"Mar "&amp;Summary!$C$2-1</f>
        <v>Mar 2019</v>
      </c>
      <c r="M5" s="189" t="str">
        <f>"Feb "&amp;Summary!$C$2-1</f>
        <v>Feb 2019</v>
      </c>
      <c r="N5" s="189" t="str">
        <f>"Jan "&amp;Summary!$C$2-1</f>
        <v>Jan 2019</v>
      </c>
      <c r="O5" s="88" t="s">
        <v>68</v>
      </c>
      <c r="P5" s="88" t="s">
        <v>67</v>
      </c>
      <c r="Q5" s="88" t="s">
        <v>66</v>
      </c>
      <c r="R5" s="88" t="s">
        <v>65</v>
      </c>
      <c r="S5" s="88" t="s">
        <v>64</v>
      </c>
      <c r="T5" s="88" t="s">
        <v>63</v>
      </c>
      <c r="U5" s="88" t="s">
        <v>62</v>
      </c>
      <c r="V5" s="88" t="s">
        <v>61</v>
      </c>
      <c r="W5" s="88" t="s">
        <v>60</v>
      </c>
      <c r="X5" s="88" t="s">
        <v>59</v>
      </c>
      <c r="Y5" s="88" t="s">
        <v>58</v>
      </c>
    </row>
    <row r="6" spans="1:25" x14ac:dyDescent="0.25">
      <c r="A6" s="189" t="str">
        <f>"Mar "&amp;Summary!$C$2</f>
        <v>Mar 2020</v>
      </c>
      <c r="B6" s="189" t="str">
        <f>"Feb "&amp;Summary!$C$2</f>
        <v>Feb 2020</v>
      </c>
      <c r="C6" s="189" t="str">
        <f>"Jan "&amp;Summary!$C$2</f>
        <v>Jan 2020</v>
      </c>
      <c r="D6" s="189" t="str">
        <f>"Dec "&amp;Summary!$C$2-1</f>
        <v>Dec 2019</v>
      </c>
      <c r="E6" s="88" t="s">
        <v>45</v>
      </c>
      <c r="F6" s="88" t="s">
        <v>44</v>
      </c>
      <c r="G6" s="88" t="s">
        <v>43</v>
      </c>
      <c r="H6" s="88" t="s">
        <v>42</v>
      </c>
      <c r="I6" s="88" t="s">
        <v>41</v>
      </c>
      <c r="J6" s="189" t="str">
        <f>"Jun "&amp;Summary!$C$2-1</f>
        <v>Jun 2019</v>
      </c>
      <c r="K6" s="189" t="str">
        <f>"May "&amp;Summary!$C$2-1</f>
        <v>May 2019</v>
      </c>
      <c r="L6" s="189" t="str">
        <f>"Apr "&amp;Summary!$C$2-1</f>
        <v>Apr 2019</v>
      </c>
      <c r="M6" s="189" t="str">
        <f>"Mar "&amp;Summary!$C$2-1</f>
        <v>Mar 2019</v>
      </c>
      <c r="N6" s="189" t="str">
        <f>"Feb "&amp;Summary!$C$2-1</f>
        <v>Feb 2019</v>
      </c>
      <c r="O6" s="88" t="s">
        <v>35</v>
      </c>
      <c r="P6" s="88" t="s">
        <v>68</v>
      </c>
      <c r="Q6" s="88" t="s">
        <v>67</v>
      </c>
      <c r="R6" s="88" t="s">
        <v>66</v>
      </c>
      <c r="S6" s="88" t="s">
        <v>65</v>
      </c>
      <c r="T6" s="88" t="s">
        <v>64</v>
      </c>
      <c r="U6" s="88" t="s">
        <v>63</v>
      </c>
      <c r="V6" s="88" t="s">
        <v>62</v>
      </c>
      <c r="W6" s="88" t="s">
        <v>61</v>
      </c>
      <c r="X6" s="88" t="s">
        <v>60</v>
      </c>
      <c r="Y6" s="88" t="s">
        <v>59</v>
      </c>
    </row>
    <row r="7" spans="1:25" x14ac:dyDescent="0.25">
      <c r="A7" s="189" t="str">
        <f>"Apr "&amp;Summary!$C$2</f>
        <v>Apr 2020</v>
      </c>
      <c r="B7" s="189" t="str">
        <f>"Mar "&amp;Summary!$C$2</f>
        <v>Mar 2020</v>
      </c>
      <c r="C7" s="189" t="str">
        <f>"Feb "&amp;Summary!$C$2</f>
        <v>Feb 2020</v>
      </c>
      <c r="D7" s="189" t="str">
        <f>"Jan "&amp;Summary!$C$2</f>
        <v>Jan 2020</v>
      </c>
      <c r="E7" s="88" t="s">
        <v>46</v>
      </c>
      <c r="F7" s="88" t="s">
        <v>45</v>
      </c>
      <c r="G7" s="88" t="s">
        <v>44</v>
      </c>
      <c r="H7" s="88" t="s">
        <v>43</v>
      </c>
      <c r="I7" s="88" t="s">
        <v>42</v>
      </c>
      <c r="J7" s="88" t="s">
        <v>41</v>
      </c>
      <c r="K7" s="189" t="str">
        <f>"Jun "&amp;Summary!$C$2-1</f>
        <v>Jun 2019</v>
      </c>
      <c r="L7" s="189" t="str">
        <f>"May "&amp;Summary!$C$2-1</f>
        <v>May 2019</v>
      </c>
      <c r="M7" s="189" t="str">
        <f>"Apr "&amp;Summary!$C$2-1</f>
        <v>Apr 2019</v>
      </c>
      <c r="N7" s="189" t="str">
        <f>"Mar "&amp;Summary!$C$2-1</f>
        <v>Mar 2019</v>
      </c>
      <c r="O7" s="88" t="s">
        <v>36</v>
      </c>
      <c r="P7" s="88" t="s">
        <v>35</v>
      </c>
      <c r="Q7" s="88" t="s">
        <v>68</v>
      </c>
      <c r="R7" s="88" t="s">
        <v>67</v>
      </c>
      <c r="S7" s="88" t="s">
        <v>66</v>
      </c>
      <c r="T7" s="88" t="s">
        <v>65</v>
      </c>
      <c r="U7" s="88" t="s">
        <v>64</v>
      </c>
      <c r="V7" s="88" t="s">
        <v>63</v>
      </c>
      <c r="W7" s="88" t="s">
        <v>62</v>
      </c>
      <c r="X7" s="88" t="s">
        <v>61</v>
      </c>
      <c r="Y7" s="88" t="s">
        <v>60</v>
      </c>
    </row>
    <row r="8" spans="1:25" x14ac:dyDescent="0.25">
      <c r="A8" s="189" t="str">
        <f>"May "&amp;Summary!$C$2</f>
        <v>May 2020</v>
      </c>
      <c r="B8" s="189" t="str">
        <f>"Apr "&amp;Summary!$C$2</f>
        <v>Apr 2020</v>
      </c>
      <c r="C8" s="189" t="str">
        <f>"Mar "&amp;Summary!$C$2</f>
        <v>Mar 2020</v>
      </c>
      <c r="D8" s="189" t="str">
        <f>"Feb "&amp;Summary!$C$2</f>
        <v>Feb 2020</v>
      </c>
      <c r="E8" s="88" t="s">
        <v>69</v>
      </c>
      <c r="F8" s="88" t="s">
        <v>46</v>
      </c>
      <c r="G8" s="88" t="s">
        <v>45</v>
      </c>
      <c r="H8" s="88" t="s">
        <v>44</v>
      </c>
      <c r="I8" s="88" t="s">
        <v>43</v>
      </c>
      <c r="J8" s="88" t="s">
        <v>42</v>
      </c>
      <c r="K8" s="88" t="s">
        <v>41</v>
      </c>
      <c r="L8" s="189" t="str">
        <f>"Jun "&amp;Summary!$C$2-1</f>
        <v>Jun 2019</v>
      </c>
      <c r="M8" s="189" t="str">
        <f>"May "&amp;Summary!$C$2-1</f>
        <v>May 2019</v>
      </c>
      <c r="N8" s="189" t="str">
        <f>"Apr "&amp;Summary!$C$2-1</f>
        <v>Apr 2019</v>
      </c>
      <c r="O8" s="88" t="s">
        <v>37</v>
      </c>
      <c r="P8" s="88" t="s">
        <v>36</v>
      </c>
      <c r="Q8" s="88" t="s">
        <v>35</v>
      </c>
      <c r="R8" s="88" t="s">
        <v>68</v>
      </c>
      <c r="S8" s="88" t="s">
        <v>67</v>
      </c>
      <c r="T8" s="88" t="s">
        <v>66</v>
      </c>
      <c r="U8" s="88" t="s">
        <v>65</v>
      </c>
      <c r="V8" s="88" t="s">
        <v>64</v>
      </c>
      <c r="W8" s="88" t="s">
        <v>63</v>
      </c>
      <c r="X8" s="88" t="s">
        <v>62</v>
      </c>
      <c r="Y8" s="88" t="s">
        <v>61</v>
      </c>
    </row>
    <row r="9" spans="1:25" x14ac:dyDescent="0.25">
      <c r="A9" s="189" t="str">
        <f>"Jun "&amp;Summary!$C$2</f>
        <v>Jun 2020</v>
      </c>
      <c r="B9" s="189" t="str">
        <f>"May "&amp;Summary!$C$2</f>
        <v>May 2020</v>
      </c>
      <c r="C9" s="189" t="str">
        <f>"Apr "&amp;Summary!$C$2</f>
        <v>Apr 2020</v>
      </c>
      <c r="D9" s="189" t="str">
        <f>"Mar "&amp;Summary!$C$2</f>
        <v>Mar 2020</v>
      </c>
      <c r="E9" s="88" t="s">
        <v>70</v>
      </c>
      <c r="F9" s="88" t="s">
        <v>69</v>
      </c>
      <c r="G9" s="88" t="s">
        <v>46</v>
      </c>
      <c r="H9" s="88" t="s">
        <v>45</v>
      </c>
      <c r="I9" s="88" t="s">
        <v>44</v>
      </c>
      <c r="J9" s="88" t="s">
        <v>43</v>
      </c>
      <c r="K9" s="88" t="s">
        <v>42</v>
      </c>
      <c r="L9" s="88" t="s">
        <v>41</v>
      </c>
      <c r="M9" s="189" t="str">
        <f>"Jun "&amp;Summary!$C$2-1</f>
        <v>Jun 2019</v>
      </c>
      <c r="N9" s="189" t="str">
        <f>"May "&amp;Summary!$C$2-1</f>
        <v>May 2019</v>
      </c>
      <c r="O9" s="88" t="s">
        <v>38</v>
      </c>
      <c r="P9" s="88" t="s">
        <v>37</v>
      </c>
      <c r="Q9" s="88" t="s">
        <v>36</v>
      </c>
      <c r="R9" s="88" t="s">
        <v>35</v>
      </c>
      <c r="S9" s="88" t="s">
        <v>68</v>
      </c>
      <c r="T9" s="88" t="s">
        <v>67</v>
      </c>
      <c r="U9" s="88" t="s">
        <v>66</v>
      </c>
      <c r="V9" s="88" t="s">
        <v>65</v>
      </c>
      <c r="W9" s="88" t="s">
        <v>64</v>
      </c>
      <c r="X9" s="88" t="s">
        <v>63</v>
      </c>
      <c r="Y9" s="88" t="s">
        <v>62</v>
      </c>
    </row>
    <row r="10" spans="1:25" x14ac:dyDescent="0.25">
      <c r="A10" s="189" t="str">
        <f>"Jul "&amp;Summary!$C$2</f>
        <v>Jul 2020</v>
      </c>
      <c r="B10" s="189" t="str">
        <f>"Jun "&amp;Summary!$C$2</f>
        <v>Jun 2020</v>
      </c>
      <c r="C10" s="189" t="str">
        <f>"May "&amp;Summary!$C$2</f>
        <v>May 2020</v>
      </c>
      <c r="D10" s="189" t="str">
        <f>"Apr "&amp;Summary!$C$2</f>
        <v>Apr 2020</v>
      </c>
      <c r="E10" s="88" t="s">
        <v>71</v>
      </c>
      <c r="F10" s="88" t="s">
        <v>70</v>
      </c>
      <c r="G10" s="88" t="s">
        <v>69</v>
      </c>
      <c r="H10" s="88" t="s">
        <v>46</v>
      </c>
      <c r="I10" s="88" t="s">
        <v>45</v>
      </c>
      <c r="J10" s="88" t="s">
        <v>44</v>
      </c>
      <c r="K10" s="88" t="s">
        <v>43</v>
      </c>
      <c r="L10" s="88" t="s">
        <v>42</v>
      </c>
      <c r="M10" s="88" t="s">
        <v>41</v>
      </c>
      <c r="N10" s="189" t="str">
        <f>"Jun "&amp;Summary!$C$2-1</f>
        <v>Jun 2019</v>
      </c>
      <c r="O10" s="88" t="s">
        <v>39</v>
      </c>
      <c r="P10" s="88" t="s">
        <v>38</v>
      </c>
      <c r="Q10" s="88" t="s">
        <v>37</v>
      </c>
      <c r="R10" s="88" t="s">
        <v>36</v>
      </c>
      <c r="S10" s="88" t="s">
        <v>35</v>
      </c>
      <c r="T10" s="88" t="s">
        <v>68</v>
      </c>
      <c r="U10" s="88" t="s">
        <v>67</v>
      </c>
      <c r="V10" s="88" t="s">
        <v>66</v>
      </c>
      <c r="W10" s="88" t="s">
        <v>65</v>
      </c>
      <c r="X10" s="88" t="s">
        <v>64</v>
      </c>
      <c r="Y10" s="88" t="s">
        <v>63</v>
      </c>
    </row>
    <row r="11" spans="1:25" x14ac:dyDescent="0.25">
      <c r="A11" s="189" t="str">
        <f>"Aug "&amp;Summary!$C$2</f>
        <v>Aug 2020</v>
      </c>
      <c r="B11" s="189" t="str">
        <f>"Jul "&amp;Summary!$C$2</f>
        <v>Jul 2020</v>
      </c>
      <c r="C11" s="189" t="str">
        <f>"Jun "&amp;Summary!$C$2</f>
        <v>Jun 2020</v>
      </c>
      <c r="D11" s="189" t="str">
        <f>"May "&amp;Summary!$C$2</f>
        <v>May 2020</v>
      </c>
      <c r="E11" s="88" t="s">
        <v>72</v>
      </c>
      <c r="F11" s="88" t="s">
        <v>71</v>
      </c>
      <c r="G11" s="88" t="s">
        <v>70</v>
      </c>
      <c r="H11" s="88" t="s">
        <v>69</v>
      </c>
      <c r="I11" s="88" t="s">
        <v>46</v>
      </c>
      <c r="J11" s="88" t="s">
        <v>45</v>
      </c>
      <c r="K11" s="88" t="s">
        <v>44</v>
      </c>
      <c r="L11" s="88" t="s">
        <v>43</v>
      </c>
      <c r="M11" s="88" t="s">
        <v>42</v>
      </c>
      <c r="N11" s="88" t="s">
        <v>41</v>
      </c>
      <c r="O11" s="88" t="s">
        <v>40</v>
      </c>
      <c r="P11" s="88" t="s">
        <v>39</v>
      </c>
      <c r="Q11" s="88" t="s">
        <v>38</v>
      </c>
      <c r="R11" s="88" t="s">
        <v>37</v>
      </c>
      <c r="S11" s="88" t="s">
        <v>36</v>
      </c>
      <c r="T11" s="88" t="s">
        <v>35</v>
      </c>
      <c r="U11" s="88" t="s">
        <v>68</v>
      </c>
      <c r="V11" s="88" t="s">
        <v>67</v>
      </c>
      <c r="W11" s="88" t="s">
        <v>66</v>
      </c>
      <c r="X11" s="88" t="s">
        <v>65</v>
      </c>
      <c r="Y11" s="88" t="s">
        <v>64</v>
      </c>
    </row>
    <row r="12" spans="1:25" x14ac:dyDescent="0.25">
      <c r="A12" s="189" t="str">
        <f>"Sep "&amp;Summary!$C$2</f>
        <v>Sep 2020</v>
      </c>
      <c r="B12" s="189" t="str">
        <f>"Aug "&amp;Summary!$C$2</f>
        <v>Aug 2020</v>
      </c>
      <c r="C12" s="189" t="str">
        <f>"Jul "&amp;Summary!$C$2</f>
        <v>Jul 2020</v>
      </c>
      <c r="D12" s="189" t="str">
        <f>"Jun "&amp;Summary!$C$2</f>
        <v>Jun 2020</v>
      </c>
      <c r="E12" s="88" t="s">
        <v>73</v>
      </c>
      <c r="F12" s="88" t="s">
        <v>72</v>
      </c>
      <c r="G12" s="88" t="s">
        <v>71</v>
      </c>
      <c r="H12" s="88" t="s">
        <v>70</v>
      </c>
      <c r="I12" s="88" t="s">
        <v>69</v>
      </c>
      <c r="J12" s="88" t="s">
        <v>46</v>
      </c>
      <c r="K12" s="88" t="s">
        <v>45</v>
      </c>
      <c r="L12" s="88" t="s">
        <v>44</v>
      </c>
      <c r="M12" s="88" t="s">
        <v>43</v>
      </c>
      <c r="N12" s="88" t="s">
        <v>42</v>
      </c>
      <c r="O12" s="88" t="s">
        <v>41</v>
      </c>
      <c r="P12" s="88" t="s">
        <v>40</v>
      </c>
      <c r="Q12" s="88" t="s">
        <v>39</v>
      </c>
      <c r="R12" s="88" t="s">
        <v>38</v>
      </c>
      <c r="S12" s="88" t="s">
        <v>37</v>
      </c>
      <c r="T12" s="88" t="s">
        <v>36</v>
      </c>
      <c r="U12" s="88" t="s">
        <v>35</v>
      </c>
      <c r="V12" s="88" t="s">
        <v>68</v>
      </c>
      <c r="W12" s="88" t="s">
        <v>67</v>
      </c>
      <c r="X12" s="88" t="s">
        <v>66</v>
      </c>
      <c r="Y12" s="88" t="s">
        <v>65</v>
      </c>
    </row>
    <row r="13" spans="1:25" x14ac:dyDescent="0.25">
      <c r="A13" s="189" t="str">
        <f>"Oct "&amp;Summary!$C$2</f>
        <v>Oct 2020</v>
      </c>
      <c r="B13" s="189" t="str">
        <f>"Sep "&amp;Summary!$C$2</f>
        <v>Sep 2020</v>
      </c>
      <c r="C13" s="189" t="str">
        <f>"Aug "&amp;Summary!$C$2</f>
        <v>Aug 2020</v>
      </c>
      <c r="D13" s="189" t="str">
        <f>"Jul "&amp;Summary!$C$2</f>
        <v>Jul 2020</v>
      </c>
      <c r="E13" s="88" t="s">
        <v>74</v>
      </c>
      <c r="F13" s="88" t="s">
        <v>73</v>
      </c>
      <c r="G13" s="88" t="s">
        <v>72</v>
      </c>
      <c r="H13" s="88" t="s">
        <v>71</v>
      </c>
      <c r="I13" s="88" t="s">
        <v>70</v>
      </c>
      <c r="J13" s="88" t="s">
        <v>69</v>
      </c>
      <c r="K13" s="88" t="s">
        <v>46</v>
      </c>
      <c r="L13" s="88" t="s">
        <v>45</v>
      </c>
      <c r="M13" s="88" t="s">
        <v>44</v>
      </c>
      <c r="N13" s="88" t="s">
        <v>43</v>
      </c>
      <c r="O13" s="88" t="s">
        <v>42</v>
      </c>
      <c r="P13" s="88" t="s">
        <v>41</v>
      </c>
      <c r="Q13" s="88" t="s">
        <v>40</v>
      </c>
      <c r="R13" s="88" t="s">
        <v>39</v>
      </c>
      <c r="S13" s="88" t="s">
        <v>38</v>
      </c>
      <c r="T13" s="88" t="s">
        <v>37</v>
      </c>
      <c r="U13" s="88" t="s">
        <v>36</v>
      </c>
      <c r="V13" s="88" t="s">
        <v>35</v>
      </c>
      <c r="W13" s="88" t="s">
        <v>68</v>
      </c>
      <c r="X13" s="88" t="s">
        <v>67</v>
      </c>
      <c r="Y13" s="88" t="s">
        <v>66</v>
      </c>
    </row>
    <row r="14" spans="1:25" x14ac:dyDescent="0.25">
      <c r="A14" s="189" t="str">
        <f>"Nov "&amp;Summary!$C$2</f>
        <v>Nov 2020</v>
      </c>
      <c r="B14" s="189" t="str">
        <f>"Oct "&amp;Summary!$C$2</f>
        <v>Oct 2020</v>
      </c>
      <c r="C14" s="189" t="str">
        <f>"Sep "&amp;Summary!$C$2</f>
        <v>Sep 2020</v>
      </c>
      <c r="D14" s="189" t="str">
        <f>"Aug "&amp;Summary!$C$2</f>
        <v>Aug 2020</v>
      </c>
      <c r="E14" s="88" t="s">
        <v>75</v>
      </c>
      <c r="F14" s="88" t="s">
        <v>74</v>
      </c>
      <c r="G14" s="88" t="s">
        <v>73</v>
      </c>
      <c r="H14" s="88" t="s">
        <v>72</v>
      </c>
      <c r="I14" s="88" t="s">
        <v>71</v>
      </c>
      <c r="J14" s="88" t="s">
        <v>70</v>
      </c>
      <c r="K14" s="88" t="s">
        <v>69</v>
      </c>
      <c r="L14" s="88" t="s">
        <v>46</v>
      </c>
      <c r="M14" s="88" t="s">
        <v>45</v>
      </c>
      <c r="N14" s="88" t="s">
        <v>44</v>
      </c>
      <c r="O14" s="88" t="s">
        <v>43</v>
      </c>
      <c r="P14" s="88" t="s">
        <v>42</v>
      </c>
      <c r="Q14" s="88" t="s">
        <v>41</v>
      </c>
      <c r="R14" s="88" t="s">
        <v>40</v>
      </c>
      <c r="S14" s="88" t="s">
        <v>39</v>
      </c>
      <c r="T14" s="88" t="s">
        <v>38</v>
      </c>
      <c r="U14" s="88" t="s">
        <v>37</v>
      </c>
      <c r="V14" s="88" t="s">
        <v>36</v>
      </c>
      <c r="W14" s="88" t="s">
        <v>35</v>
      </c>
      <c r="X14" s="88" t="s">
        <v>68</v>
      </c>
      <c r="Y14" s="88" t="s">
        <v>67</v>
      </c>
    </row>
    <row r="15" spans="1:25" x14ac:dyDescent="0.25">
      <c r="A15" s="189" t="str">
        <f>"Dec "&amp;Summary!$C$2</f>
        <v>Dec 2020</v>
      </c>
      <c r="B15" s="189" t="str">
        <f>"Nov "&amp;Summary!$C$2</f>
        <v>Nov 2020</v>
      </c>
      <c r="C15" s="189" t="str">
        <f>"Oct "&amp;Summary!$C$2</f>
        <v>Oct 2020</v>
      </c>
      <c r="D15" s="189" t="str">
        <f>"Sep "&amp;Summary!$C$2</f>
        <v>Sep 2020</v>
      </c>
      <c r="E15" s="88" t="s">
        <v>76</v>
      </c>
      <c r="F15" s="88" t="s">
        <v>75</v>
      </c>
      <c r="G15" s="88" t="s">
        <v>74</v>
      </c>
      <c r="H15" s="88" t="s">
        <v>73</v>
      </c>
      <c r="I15" s="88" t="s">
        <v>72</v>
      </c>
      <c r="J15" s="88" t="s">
        <v>71</v>
      </c>
      <c r="K15" s="88" t="s">
        <v>70</v>
      </c>
      <c r="L15" s="88" t="s">
        <v>69</v>
      </c>
      <c r="M15" s="88" t="s">
        <v>46</v>
      </c>
      <c r="N15" s="88" t="s">
        <v>45</v>
      </c>
      <c r="O15" s="88" t="s">
        <v>44</v>
      </c>
      <c r="P15" s="88" t="s">
        <v>43</v>
      </c>
      <c r="Q15" s="88" t="s">
        <v>42</v>
      </c>
      <c r="R15" s="88" t="s">
        <v>41</v>
      </c>
      <c r="S15" s="88" t="s">
        <v>40</v>
      </c>
      <c r="T15" s="88" t="s">
        <v>39</v>
      </c>
      <c r="U15" s="88" t="s">
        <v>38</v>
      </c>
      <c r="V15" s="88" t="s">
        <v>37</v>
      </c>
      <c r="W15" s="88" t="s">
        <v>36</v>
      </c>
      <c r="X15" s="88" t="s">
        <v>35</v>
      </c>
      <c r="Y15" s="88" t="s">
        <v>68</v>
      </c>
    </row>
    <row r="16" spans="1:25" x14ac:dyDescent="0.25">
      <c r="C16" s="66"/>
      <c r="I16" s="55"/>
      <c r="J16" s="55"/>
      <c r="K16" s="55"/>
      <c r="L16" s="55"/>
      <c r="M16" s="55"/>
      <c r="N16" s="55"/>
    </row>
    <row r="17" spans="11:13" x14ac:dyDescent="0.25">
      <c r="K17" s="55"/>
      <c r="M17" s="55"/>
    </row>
  </sheetData>
  <phoneticPr fontId="13" type="noConversion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1789-D392-45AF-985A-ECF2C9FA18AD}">
  <sheetPr codeName="Sheet8">
    <tabColor rgb="FF8FCFAD"/>
  </sheetPr>
  <dimension ref="A1:G205"/>
  <sheetViews>
    <sheetView showGridLines="0" topLeftCell="A52" zoomScale="115" zoomScaleNormal="115" workbookViewId="0">
      <selection activeCell="F64" sqref="F64"/>
    </sheetView>
  </sheetViews>
  <sheetFormatPr defaultRowHeight="12.75" x14ac:dyDescent="0.2"/>
  <cols>
    <col min="1" max="1" width="15.85546875" customWidth="1"/>
    <col min="2" max="2" width="19.140625" customWidth="1"/>
    <col min="4" max="4" width="19.85546875" bestFit="1" customWidth="1"/>
    <col min="5" max="5" width="10" customWidth="1"/>
  </cols>
  <sheetData>
    <row r="1" spans="1:7" x14ac:dyDescent="0.2">
      <c r="A1" s="5" t="s">
        <v>123</v>
      </c>
      <c r="B1" s="5" t="s">
        <v>55</v>
      </c>
      <c r="C1" s="5" t="s">
        <v>56</v>
      </c>
      <c r="D1" s="5" t="str">
        <f>Mapping!B3</f>
        <v>Budget</v>
      </c>
      <c r="E1" s="5" t="str">
        <f>Mapping!B2</f>
        <v>Actual</v>
      </c>
      <c r="F1" s="5" t="s">
        <v>173</v>
      </c>
      <c r="G1" s="5" t="s">
        <v>172</v>
      </c>
    </row>
    <row r="2" spans="1:7" x14ac:dyDescent="0.2">
      <c r="A2" t="s">
        <v>93</v>
      </c>
      <c r="B2" t="s">
        <v>60</v>
      </c>
      <c r="C2" t="s">
        <v>81</v>
      </c>
      <c r="D2" s="2">
        <v>0</v>
      </c>
      <c r="E2" s="2">
        <v>207079.926033</v>
      </c>
      <c r="F2" s="200">
        <f>YEAR(B2)</f>
        <v>2018</v>
      </c>
      <c r="G2" s="200">
        <f t="shared" ref="G2:G33" si="0">MONTH(DATEVALUE(LEFT(B2,3)&amp;"1"))</f>
        <v>4</v>
      </c>
    </row>
    <row r="3" spans="1:7" x14ac:dyDescent="0.2">
      <c r="A3" t="s">
        <v>95</v>
      </c>
      <c r="B3" t="s">
        <v>60</v>
      </c>
      <c r="C3" t="s">
        <v>81</v>
      </c>
      <c r="D3" s="2">
        <v>1397148.283365</v>
      </c>
      <c r="E3" s="2">
        <v>1527716.3257320002</v>
      </c>
      <c r="F3" s="200">
        <f t="shared" ref="F3:F66" si="1">YEAR(B3)</f>
        <v>2018</v>
      </c>
      <c r="G3" s="200">
        <f t="shared" si="0"/>
        <v>4</v>
      </c>
    </row>
    <row r="4" spans="1:7" x14ac:dyDescent="0.2">
      <c r="A4" t="s">
        <v>94</v>
      </c>
      <c r="B4" t="s">
        <v>60</v>
      </c>
      <c r="C4" t="s">
        <v>81</v>
      </c>
      <c r="D4" s="2">
        <v>0</v>
      </c>
      <c r="E4" s="2">
        <v>50651.194191000002</v>
      </c>
      <c r="F4" s="200">
        <f t="shared" si="1"/>
        <v>2018</v>
      </c>
      <c r="G4" s="200">
        <f t="shared" si="0"/>
        <v>4</v>
      </c>
    </row>
    <row r="5" spans="1:7" x14ac:dyDescent="0.2">
      <c r="A5" t="s">
        <v>96</v>
      </c>
      <c r="B5" t="s">
        <v>60</v>
      </c>
      <c r="C5" t="s">
        <v>81</v>
      </c>
      <c r="D5" s="2">
        <v>248821.32057899999</v>
      </c>
      <c r="E5" s="2">
        <v>334043.48918999999</v>
      </c>
      <c r="F5" s="200">
        <f t="shared" si="1"/>
        <v>2018</v>
      </c>
      <c r="G5" s="200">
        <f t="shared" si="0"/>
        <v>4</v>
      </c>
    </row>
    <row r="6" spans="1:7" x14ac:dyDescent="0.2">
      <c r="A6" t="s">
        <v>93</v>
      </c>
      <c r="B6" t="s">
        <v>39</v>
      </c>
      <c r="C6" t="s">
        <v>81</v>
      </c>
      <c r="D6" s="2">
        <v>244543.69308098158</v>
      </c>
      <c r="E6" s="2">
        <v>370877.7373063392</v>
      </c>
      <c r="F6" s="200">
        <f t="shared" si="1"/>
        <v>2019</v>
      </c>
      <c r="G6" s="200">
        <f t="shared" si="0"/>
        <v>5</v>
      </c>
    </row>
    <row r="7" spans="1:7" x14ac:dyDescent="0.2">
      <c r="A7" t="s">
        <v>95</v>
      </c>
      <c r="B7" t="s">
        <v>39</v>
      </c>
      <c r="C7" t="s">
        <v>81</v>
      </c>
      <c r="D7" s="2">
        <v>1814703.9605883784</v>
      </c>
      <c r="E7" s="2">
        <v>1970303.8874724661</v>
      </c>
      <c r="F7" s="200">
        <f t="shared" si="1"/>
        <v>2019</v>
      </c>
      <c r="G7" s="200">
        <f t="shared" si="0"/>
        <v>5</v>
      </c>
    </row>
    <row r="8" spans="1:7" x14ac:dyDescent="0.2">
      <c r="A8" t="s">
        <v>94</v>
      </c>
      <c r="B8" t="s">
        <v>39</v>
      </c>
      <c r="C8" t="s">
        <v>81</v>
      </c>
      <c r="D8" s="2">
        <v>103896.20040025911</v>
      </c>
      <c r="E8" s="2">
        <v>99382.012036533444</v>
      </c>
      <c r="F8" s="200">
        <f t="shared" si="1"/>
        <v>2019</v>
      </c>
      <c r="G8" s="200">
        <f t="shared" si="0"/>
        <v>5</v>
      </c>
    </row>
    <row r="9" spans="1:7" x14ac:dyDescent="0.2">
      <c r="A9" t="s">
        <v>96</v>
      </c>
      <c r="B9" t="s">
        <v>39</v>
      </c>
      <c r="C9" t="s">
        <v>81</v>
      </c>
      <c r="D9" s="2">
        <v>444389.10441902641</v>
      </c>
      <c r="E9" s="2">
        <v>473905.03862800013</v>
      </c>
      <c r="F9" s="200">
        <f t="shared" si="1"/>
        <v>2019</v>
      </c>
      <c r="G9" s="200">
        <f t="shared" si="0"/>
        <v>5</v>
      </c>
    </row>
    <row r="10" spans="1:7" x14ac:dyDescent="0.2">
      <c r="A10" t="s">
        <v>93</v>
      </c>
      <c r="B10" t="s">
        <v>72</v>
      </c>
      <c r="C10" t="s">
        <v>81</v>
      </c>
      <c r="D10" s="2">
        <v>314809.77038710186</v>
      </c>
      <c r="E10" s="2">
        <v>268370.60003700003</v>
      </c>
      <c r="F10" s="200">
        <f t="shared" si="1"/>
        <v>2020</v>
      </c>
      <c r="G10" s="200">
        <f t="shared" si="0"/>
        <v>4</v>
      </c>
    </row>
    <row r="11" spans="1:7" x14ac:dyDescent="0.2">
      <c r="A11" t="s">
        <v>95</v>
      </c>
      <c r="B11" t="s">
        <v>72</v>
      </c>
      <c r="C11" t="s">
        <v>81</v>
      </c>
      <c r="D11" s="2">
        <v>2263168.4271844379</v>
      </c>
      <c r="E11" s="2">
        <v>1927719.677037</v>
      </c>
      <c r="F11" s="200">
        <f t="shared" si="1"/>
        <v>2020</v>
      </c>
      <c r="G11" s="200">
        <f t="shared" si="0"/>
        <v>4</v>
      </c>
    </row>
    <row r="12" spans="1:7" x14ac:dyDescent="0.2">
      <c r="A12" t="s">
        <v>94</v>
      </c>
      <c r="B12" t="s">
        <v>72</v>
      </c>
      <c r="C12" t="s">
        <v>81</v>
      </c>
      <c r="D12" s="2">
        <v>311976.86332657957</v>
      </c>
      <c r="E12" s="2">
        <v>206040.264432</v>
      </c>
      <c r="F12" s="200">
        <f t="shared" si="1"/>
        <v>2020</v>
      </c>
      <c r="G12" s="200">
        <f t="shared" si="0"/>
        <v>4</v>
      </c>
    </row>
    <row r="13" spans="1:7" x14ac:dyDescent="0.2">
      <c r="A13" t="s">
        <v>96</v>
      </c>
      <c r="B13" t="s">
        <v>72</v>
      </c>
      <c r="C13" t="s">
        <v>81</v>
      </c>
      <c r="D13" s="2">
        <v>523327.31507337891</v>
      </c>
      <c r="E13" s="2">
        <v>309662.81012400001</v>
      </c>
      <c r="F13" s="200">
        <f t="shared" si="1"/>
        <v>2020</v>
      </c>
      <c r="G13" s="200">
        <f t="shared" si="0"/>
        <v>4</v>
      </c>
    </row>
    <row r="14" spans="1:7" x14ac:dyDescent="0.2">
      <c r="A14" t="s">
        <v>93</v>
      </c>
      <c r="B14" t="s">
        <v>64</v>
      </c>
      <c r="C14" t="s">
        <v>81</v>
      </c>
      <c r="D14" s="2">
        <v>0</v>
      </c>
      <c r="E14" s="2">
        <v>243980.99895000001</v>
      </c>
      <c r="F14" s="200">
        <f t="shared" si="1"/>
        <v>2018</v>
      </c>
      <c r="G14" s="200">
        <f t="shared" si="0"/>
        <v>8</v>
      </c>
    </row>
    <row r="15" spans="1:7" x14ac:dyDescent="0.2">
      <c r="A15" t="s">
        <v>95</v>
      </c>
      <c r="B15" t="s">
        <v>64</v>
      </c>
      <c r="C15" t="s">
        <v>81</v>
      </c>
      <c r="D15" s="2">
        <v>1436998.2440070002</v>
      </c>
      <c r="E15" s="2">
        <v>1830439.6000140002</v>
      </c>
      <c r="F15" s="200">
        <f t="shared" si="1"/>
        <v>2018</v>
      </c>
      <c r="G15" s="200">
        <f t="shared" si="0"/>
        <v>8</v>
      </c>
    </row>
    <row r="16" spans="1:7" x14ac:dyDescent="0.2">
      <c r="A16" t="s">
        <v>94</v>
      </c>
      <c r="B16" t="s">
        <v>64</v>
      </c>
      <c r="C16" t="s">
        <v>81</v>
      </c>
      <c r="D16" s="2">
        <v>0</v>
      </c>
      <c r="E16" s="2">
        <v>54933.064674000001</v>
      </c>
      <c r="F16" s="200">
        <f t="shared" si="1"/>
        <v>2018</v>
      </c>
      <c r="G16" s="200">
        <f t="shared" si="0"/>
        <v>8</v>
      </c>
    </row>
    <row r="17" spans="1:7" x14ac:dyDescent="0.2">
      <c r="A17" t="s">
        <v>96</v>
      </c>
      <c r="B17" t="s">
        <v>64</v>
      </c>
      <c r="C17" t="s">
        <v>81</v>
      </c>
      <c r="D17" s="2">
        <v>319376.109879</v>
      </c>
      <c r="E17" s="2">
        <v>346772.63069399999</v>
      </c>
      <c r="F17" s="200">
        <f t="shared" si="1"/>
        <v>2018</v>
      </c>
      <c r="G17" s="200">
        <f t="shared" si="0"/>
        <v>8</v>
      </c>
    </row>
    <row r="18" spans="1:7" x14ac:dyDescent="0.2">
      <c r="A18" t="s">
        <v>93</v>
      </c>
      <c r="B18" t="s">
        <v>42</v>
      </c>
      <c r="C18" t="s">
        <v>81</v>
      </c>
      <c r="D18" s="2">
        <v>280097.23833333061</v>
      </c>
      <c r="E18" s="2">
        <v>207343.83916267057</v>
      </c>
      <c r="F18" s="200">
        <f t="shared" si="1"/>
        <v>2019</v>
      </c>
      <c r="G18" s="200">
        <f t="shared" si="0"/>
        <v>8</v>
      </c>
    </row>
    <row r="19" spans="1:7" x14ac:dyDescent="0.2">
      <c r="A19" t="s">
        <v>95</v>
      </c>
      <c r="B19" t="s">
        <v>42</v>
      </c>
      <c r="C19" t="s">
        <v>81</v>
      </c>
      <c r="D19" s="2">
        <v>1872909.4453713365</v>
      </c>
      <c r="E19" s="2">
        <v>1799038.3362456188</v>
      </c>
      <c r="F19" s="200">
        <f t="shared" si="1"/>
        <v>2019</v>
      </c>
      <c r="G19" s="200">
        <f t="shared" si="0"/>
        <v>8</v>
      </c>
    </row>
    <row r="20" spans="1:7" x14ac:dyDescent="0.2">
      <c r="A20" t="s">
        <v>94</v>
      </c>
      <c r="B20" t="s">
        <v>42</v>
      </c>
      <c r="C20" t="s">
        <v>81</v>
      </c>
      <c r="D20" s="2">
        <v>135981.79170034549</v>
      </c>
      <c r="E20" s="2">
        <v>171962.72132692716</v>
      </c>
      <c r="F20" s="200">
        <f t="shared" si="1"/>
        <v>2019</v>
      </c>
      <c r="G20" s="200">
        <f t="shared" si="0"/>
        <v>8</v>
      </c>
    </row>
    <row r="21" spans="1:7" x14ac:dyDescent="0.2">
      <c r="A21" t="s">
        <v>96</v>
      </c>
      <c r="B21" t="s">
        <v>42</v>
      </c>
      <c r="C21" t="s">
        <v>81</v>
      </c>
      <c r="D21" s="2">
        <v>367478.4987568119</v>
      </c>
      <c r="E21" s="2">
        <v>508461.55316924572</v>
      </c>
      <c r="F21" s="200">
        <f t="shared" si="1"/>
        <v>2019</v>
      </c>
      <c r="G21" s="200">
        <f t="shared" si="0"/>
        <v>8</v>
      </c>
    </row>
    <row r="22" spans="1:7" x14ac:dyDescent="0.2">
      <c r="A22" t="s">
        <v>93</v>
      </c>
      <c r="B22" t="s">
        <v>76</v>
      </c>
      <c r="C22" t="s">
        <v>81</v>
      </c>
      <c r="D22" s="2">
        <v>290166.86556334118</v>
      </c>
      <c r="E22" s="2">
        <v>0</v>
      </c>
      <c r="F22" s="200">
        <f t="shared" si="1"/>
        <v>2020</v>
      </c>
      <c r="G22" s="200">
        <f t="shared" si="0"/>
        <v>8</v>
      </c>
    </row>
    <row r="23" spans="1:7" x14ac:dyDescent="0.2">
      <c r="A23" t="s">
        <v>95</v>
      </c>
      <c r="B23" t="s">
        <v>76</v>
      </c>
      <c r="C23" t="s">
        <v>81</v>
      </c>
      <c r="D23" s="2">
        <v>1964328.9439132728</v>
      </c>
      <c r="E23" s="2">
        <v>0</v>
      </c>
      <c r="F23" s="200">
        <f t="shared" si="1"/>
        <v>2020</v>
      </c>
      <c r="G23" s="200">
        <f t="shared" si="0"/>
        <v>8</v>
      </c>
    </row>
    <row r="24" spans="1:7" x14ac:dyDescent="0.2">
      <c r="A24" t="s">
        <v>94</v>
      </c>
      <c r="B24" t="s">
        <v>76</v>
      </c>
      <c r="C24" t="s">
        <v>81</v>
      </c>
      <c r="D24" s="2">
        <v>448640.72870325058</v>
      </c>
      <c r="E24" s="2">
        <v>0</v>
      </c>
      <c r="F24" s="200">
        <f t="shared" si="1"/>
        <v>2020</v>
      </c>
      <c r="G24" s="200">
        <f t="shared" si="0"/>
        <v>8</v>
      </c>
    </row>
    <row r="25" spans="1:7" x14ac:dyDescent="0.2">
      <c r="A25" t="s">
        <v>96</v>
      </c>
      <c r="B25" t="s">
        <v>76</v>
      </c>
      <c r="C25" t="s">
        <v>81</v>
      </c>
      <c r="D25" s="2">
        <v>491985.7813434932</v>
      </c>
      <c r="E25" s="2">
        <v>0</v>
      </c>
      <c r="F25" s="200">
        <f t="shared" si="1"/>
        <v>2020</v>
      </c>
      <c r="G25" s="200">
        <f t="shared" si="0"/>
        <v>8</v>
      </c>
    </row>
    <row r="26" spans="1:7" x14ac:dyDescent="0.2">
      <c r="A26" t="s">
        <v>93</v>
      </c>
      <c r="B26" t="s">
        <v>68</v>
      </c>
      <c r="C26" t="s">
        <v>81</v>
      </c>
      <c r="D26" s="2">
        <v>0</v>
      </c>
      <c r="E26" s="2">
        <v>284451.86488499999</v>
      </c>
      <c r="F26" s="200">
        <f t="shared" si="1"/>
        <v>2018</v>
      </c>
      <c r="G26" s="200">
        <f t="shared" si="0"/>
        <v>12</v>
      </c>
    </row>
    <row r="27" spans="1:7" x14ac:dyDescent="0.2">
      <c r="A27" t="s">
        <v>95</v>
      </c>
      <c r="B27" t="s">
        <v>68</v>
      </c>
      <c r="C27" t="s">
        <v>81</v>
      </c>
      <c r="D27" s="2">
        <v>1436998.2440070002</v>
      </c>
      <c r="E27" s="2">
        <v>1816439.048925</v>
      </c>
      <c r="F27" s="200">
        <f t="shared" si="1"/>
        <v>2018</v>
      </c>
      <c r="G27" s="200">
        <f t="shared" si="0"/>
        <v>12</v>
      </c>
    </row>
    <row r="28" spans="1:7" x14ac:dyDescent="0.2">
      <c r="A28" t="s">
        <v>94</v>
      </c>
      <c r="B28" t="s">
        <v>68</v>
      </c>
      <c r="C28" t="s">
        <v>81</v>
      </c>
      <c r="D28" s="2">
        <v>0</v>
      </c>
      <c r="E28" s="2">
        <v>224983.00192800001</v>
      </c>
      <c r="F28" s="200">
        <f t="shared" si="1"/>
        <v>2018</v>
      </c>
      <c r="G28" s="200">
        <f t="shared" si="0"/>
        <v>12</v>
      </c>
    </row>
    <row r="29" spans="1:7" x14ac:dyDescent="0.2">
      <c r="A29" t="s">
        <v>96</v>
      </c>
      <c r="B29" t="s">
        <v>68</v>
      </c>
      <c r="C29" t="s">
        <v>81</v>
      </c>
      <c r="D29" s="2">
        <v>319376.109879</v>
      </c>
      <c r="E29" s="2">
        <v>358299.15631799999</v>
      </c>
      <c r="F29" s="200">
        <f t="shared" si="1"/>
        <v>2018</v>
      </c>
      <c r="G29" s="200">
        <f t="shared" si="0"/>
        <v>12</v>
      </c>
    </row>
    <row r="30" spans="1:7" x14ac:dyDescent="0.2">
      <c r="A30" t="s">
        <v>93</v>
      </c>
      <c r="B30" t="s">
        <v>46</v>
      </c>
      <c r="C30" t="s">
        <v>81</v>
      </c>
      <c r="D30" s="2">
        <v>381871.46871152398</v>
      </c>
      <c r="E30" s="2">
        <v>196257.58209719424</v>
      </c>
      <c r="F30" s="200">
        <f t="shared" si="1"/>
        <v>2019</v>
      </c>
      <c r="G30" s="200">
        <f t="shared" si="0"/>
        <v>12</v>
      </c>
    </row>
    <row r="31" spans="1:7" x14ac:dyDescent="0.2">
      <c r="A31" t="s">
        <v>95</v>
      </c>
      <c r="B31" t="s">
        <v>46</v>
      </c>
      <c r="C31" t="s">
        <v>81</v>
      </c>
      <c r="D31" s="2">
        <v>1864998.3844371829</v>
      </c>
      <c r="E31" s="2">
        <v>2176665.0417491295</v>
      </c>
      <c r="F31" s="200">
        <f t="shared" si="1"/>
        <v>2019</v>
      </c>
      <c r="G31" s="200">
        <f t="shared" si="0"/>
        <v>12</v>
      </c>
    </row>
    <row r="32" spans="1:7" x14ac:dyDescent="0.2">
      <c r="A32" t="s">
        <v>94</v>
      </c>
      <c r="B32" t="s">
        <v>46</v>
      </c>
      <c r="C32" t="s">
        <v>81</v>
      </c>
      <c r="D32" s="2">
        <v>145393.56416960064</v>
      </c>
      <c r="E32" s="2">
        <v>222523.73089299296</v>
      </c>
      <c r="F32" s="200">
        <f t="shared" si="1"/>
        <v>2019</v>
      </c>
      <c r="G32" s="200">
        <f t="shared" si="0"/>
        <v>12</v>
      </c>
    </row>
    <row r="33" spans="1:7" x14ac:dyDescent="0.2">
      <c r="A33" t="s">
        <v>96</v>
      </c>
      <c r="B33" t="s">
        <v>46</v>
      </c>
      <c r="C33" t="s">
        <v>81</v>
      </c>
      <c r="D33" s="2">
        <v>447400.12847145076</v>
      </c>
      <c r="E33" s="2">
        <v>383170.03717080218</v>
      </c>
      <c r="F33" s="200">
        <f t="shared" si="1"/>
        <v>2019</v>
      </c>
      <c r="G33" s="200">
        <f t="shared" si="0"/>
        <v>12</v>
      </c>
    </row>
    <row r="34" spans="1:7" x14ac:dyDescent="0.2">
      <c r="A34" t="s">
        <v>93</v>
      </c>
      <c r="B34" t="s">
        <v>80</v>
      </c>
      <c r="C34" t="s">
        <v>81</v>
      </c>
      <c r="D34" s="2">
        <v>301563.65258830017</v>
      </c>
      <c r="E34" s="2">
        <v>0</v>
      </c>
      <c r="F34" s="200">
        <f t="shared" si="1"/>
        <v>2020</v>
      </c>
      <c r="G34" s="200">
        <f t="shared" ref="G34:G65" si="2">MONTH(DATEVALUE(LEFT(B34,3)&amp;"1"))</f>
        <v>12</v>
      </c>
    </row>
    <row r="35" spans="1:7" x14ac:dyDescent="0.2">
      <c r="A35" t="s">
        <v>95</v>
      </c>
      <c r="B35" t="s">
        <v>80</v>
      </c>
      <c r="C35" t="s">
        <v>81</v>
      </c>
      <c r="D35" s="2">
        <v>2054887.1073274775</v>
      </c>
      <c r="E35" s="2">
        <v>0</v>
      </c>
      <c r="F35" s="200">
        <f t="shared" si="1"/>
        <v>2020</v>
      </c>
      <c r="G35" s="200">
        <f t="shared" si="2"/>
        <v>12</v>
      </c>
    </row>
    <row r="36" spans="1:7" x14ac:dyDescent="0.2">
      <c r="A36" t="s">
        <v>94</v>
      </c>
      <c r="B36" t="s">
        <v>80</v>
      </c>
      <c r="C36" t="s">
        <v>81</v>
      </c>
      <c r="D36" s="2">
        <v>614836.34907806094</v>
      </c>
      <c r="E36" s="2">
        <v>0</v>
      </c>
      <c r="F36" s="200">
        <f t="shared" si="1"/>
        <v>2020</v>
      </c>
      <c r="G36" s="200">
        <f t="shared" si="2"/>
        <v>12</v>
      </c>
    </row>
    <row r="37" spans="1:7" x14ac:dyDescent="0.2">
      <c r="A37" t="s">
        <v>96</v>
      </c>
      <c r="B37" t="s">
        <v>80</v>
      </c>
      <c r="C37" t="s">
        <v>81</v>
      </c>
      <c r="D37" s="2">
        <v>457068.34442026267</v>
      </c>
      <c r="E37" s="2">
        <v>0</v>
      </c>
      <c r="F37" s="200">
        <f t="shared" si="1"/>
        <v>2020</v>
      </c>
      <c r="G37" s="200">
        <f t="shared" si="2"/>
        <v>12</v>
      </c>
    </row>
    <row r="38" spans="1:7" x14ac:dyDescent="0.2">
      <c r="A38" t="s">
        <v>93</v>
      </c>
      <c r="B38" t="s">
        <v>58</v>
      </c>
      <c r="C38" t="s">
        <v>81</v>
      </c>
      <c r="D38" s="2">
        <v>0</v>
      </c>
      <c r="E38" s="2">
        <v>201713.54200799999</v>
      </c>
      <c r="F38" s="200">
        <f t="shared" si="1"/>
        <v>2018</v>
      </c>
      <c r="G38" s="200">
        <f t="shared" si="2"/>
        <v>2</v>
      </c>
    </row>
    <row r="39" spans="1:7" x14ac:dyDescent="0.2">
      <c r="A39" t="s">
        <v>95</v>
      </c>
      <c r="B39" t="s">
        <v>58</v>
      </c>
      <c r="C39" t="s">
        <v>81</v>
      </c>
      <c r="D39" s="2">
        <v>1238029.9119899999</v>
      </c>
      <c r="E39" s="2">
        <v>1457078.6385059999</v>
      </c>
      <c r="F39" s="200">
        <f t="shared" si="1"/>
        <v>2018</v>
      </c>
      <c r="G39" s="200">
        <f t="shared" si="2"/>
        <v>2</v>
      </c>
    </row>
    <row r="40" spans="1:7" x14ac:dyDescent="0.2">
      <c r="A40" t="s">
        <v>94</v>
      </c>
      <c r="B40" t="s">
        <v>58</v>
      </c>
      <c r="C40" t="s">
        <v>81</v>
      </c>
      <c r="D40" s="2">
        <v>0</v>
      </c>
      <c r="E40" s="2">
        <v>53100.388281</v>
      </c>
      <c r="F40" s="200">
        <f t="shared" si="1"/>
        <v>2018</v>
      </c>
      <c r="G40" s="200">
        <f t="shared" si="2"/>
        <v>2</v>
      </c>
    </row>
    <row r="41" spans="1:7" x14ac:dyDescent="0.2">
      <c r="A41" t="s">
        <v>96</v>
      </c>
      <c r="B41" t="s">
        <v>58</v>
      </c>
      <c r="C41" t="s">
        <v>81</v>
      </c>
      <c r="D41" s="2">
        <v>218045.06393100001</v>
      </c>
      <c r="E41" s="2">
        <v>312651.55760399997</v>
      </c>
      <c r="F41" s="200">
        <f t="shared" si="1"/>
        <v>2018</v>
      </c>
      <c r="G41" s="200">
        <f t="shared" si="2"/>
        <v>2</v>
      </c>
    </row>
    <row r="42" spans="1:7" x14ac:dyDescent="0.2">
      <c r="A42" t="s">
        <v>93</v>
      </c>
      <c r="B42" t="s">
        <v>37</v>
      </c>
      <c r="C42" t="s">
        <v>81</v>
      </c>
      <c r="D42" s="2">
        <v>323556.86418846081</v>
      </c>
      <c r="E42" s="2">
        <v>293890.65448206244</v>
      </c>
      <c r="F42" s="200">
        <f t="shared" si="1"/>
        <v>2019</v>
      </c>
      <c r="G42" s="200">
        <f t="shared" si="2"/>
        <v>3</v>
      </c>
    </row>
    <row r="43" spans="1:7" x14ac:dyDescent="0.2">
      <c r="A43" t="s">
        <v>95</v>
      </c>
      <c r="B43" t="s">
        <v>37</v>
      </c>
      <c r="C43" t="s">
        <v>81</v>
      </c>
      <c r="D43" s="2">
        <v>1810344.3994784139</v>
      </c>
      <c r="E43" s="2">
        <v>1545156.2668286287</v>
      </c>
      <c r="F43" s="200">
        <f t="shared" si="1"/>
        <v>2019</v>
      </c>
      <c r="G43" s="200">
        <f t="shared" si="2"/>
        <v>3</v>
      </c>
    </row>
    <row r="44" spans="1:7" x14ac:dyDescent="0.2">
      <c r="A44" t="s">
        <v>94</v>
      </c>
      <c r="B44" t="s">
        <v>37</v>
      </c>
      <c r="C44" t="s">
        <v>81</v>
      </c>
      <c r="D44" s="2">
        <v>90654.527800287906</v>
      </c>
      <c r="E44" s="2">
        <v>103217.33274663573</v>
      </c>
      <c r="F44" s="200">
        <f t="shared" si="1"/>
        <v>2019</v>
      </c>
      <c r="G44" s="200">
        <f t="shared" si="2"/>
        <v>3</v>
      </c>
    </row>
    <row r="45" spans="1:7" x14ac:dyDescent="0.2">
      <c r="A45" t="s">
        <v>96</v>
      </c>
      <c r="B45" t="s">
        <v>37</v>
      </c>
      <c r="C45" t="s">
        <v>81</v>
      </c>
      <c r="D45" s="2">
        <v>509185.11383814609</v>
      </c>
      <c r="E45" s="2">
        <v>363197.82962765347</v>
      </c>
      <c r="F45" s="200">
        <f t="shared" si="1"/>
        <v>2019</v>
      </c>
      <c r="G45" s="200">
        <f t="shared" si="2"/>
        <v>3</v>
      </c>
    </row>
    <row r="46" spans="1:7" x14ac:dyDescent="0.2">
      <c r="A46" t="s">
        <v>93</v>
      </c>
      <c r="B46" t="s">
        <v>70</v>
      </c>
      <c r="C46" t="s">
        <v>81</v>
      </c>
      <c r="D46" s="2">
        <v>265523.96073966683</v>
      </c>
      <c r="E46" s="2">
        <v>238795.49961599999</v>
      </c>
      <c r="F46" s="200">
        <f t="shared" si="1"/>
        <v>2020</v>
      </c>
      <c r="G46" s="200">
        <f t="shared" si="2"/>
        <v>2</v>
      </c>
    </row>
    <row r="47" spans="1:7" x14ac:dyDescent="0.2">
      <c r="A47" t="s">
        <v>95</v>
      </c>
      <c r="B47" t="s">
        <v>70</v>
      </c>
      <c r="C47" t="s">
        <v>81</v>
      </c>
      <c r="D47" s="2">
        <v>2223660.8376606791</v>
      </c>
      <c r="E47" s="2">
        <v>1899910.2903480001</v>
      </c>
      <c r="F47" s="200">
        <f t="shared" si="1"/>
        <v>2020</v>
      </c>
      <c r="G47" s="200">
        <f t="shared" si="2"/>
        <v>2</v>
      </c>
    </row>
    <row r="48" spans="1:7" x14ac:dyDescent="0.2">
      <c r="A48" t="s">
        <v>94</v>
      </c>
      <c r="B48" t="s">
        <v>70</v>
      </c>
      <c r="C48" t="s">
        <v>81</v>
      </c>
      <c r="D48" s="2">
        <v>284019.24127063743</v>
      </c>
      <c r="E48" s="2">
        <v>214226.26620300001</v>
      </c>
      <c r="F48" s="200">
        <f t="shared" si="1"/>
        <v>2020</v>
      </c>
      <c r="G48" s="200">
        <f t="shared" si="2"/>
        <v>2</v>
      </c>
    </row>
    <row r="49" spans="1:7" x14ac:dyDescent="0.2">
      <c r="A49" t="s">
        <v>96</v>
      </c>
      <c r="B49" t="s">
        <v>70</v>
      </c>
      <c r="C49" t="s">
        <v>81</v>
      </c>
      <c r="D49" s="2">
        <v>512819.52569877461</v>
      </c>
      <c r="E49" s="2">
        <v>404027.49370800005</v>
      </c>
      <c r="F49" s="200">
        <f t="shared" si="1"/>
        <v>2020</v>
      </c>
      <c r="G49" s="200">
        <f t="shared" si="2"/>
        <v>2</v>
      </c>
    </row>
    <row r="50" spans="1:7" x14ac:dyDescent="0.2">
      <c r="A50" t="s">
        <v>93</v>
      </c>
      <c r="B50" t="s">
        <v>57</v>
      </c>
      <c r="C50" t="s">
        <v>81</v>
      </c>
      <c r="D50" s="2">
        <v>0</v>
      </c>
      <c r="E50" s="2">
        <v>150415.11694800001</v>
      </c>
      <c r="F50" s="200">
        <f t="shared" si="1"/>
        <v>2018</v>
      </c>
      <c r="G50" s="200">
        <f t="shared" si="2"/>
        <v>1</v>
      </c>
    </row>
    <row r="51" spans="1:7" x14ac:dyDescent="0.2">
      <c r="A51" t="s">
        <v>95</v>
      </c>
      <c r="B51" t="s">
        <v>57</v>
      </c>
      <c r="C51" t="s">
        <v>81</v>
      </c>
      <c r="D51" s="2">
        <v>1258190.2505610001</v>
      </c>
      <c r="E51" s="2">
        <v>1391144.696028</v>
      </c>
      <c r="F51" s="200">
        <f t="shared" si="1"/>
        <v>2018</v>
      </c>
      <c r="G51" s="200">
        <f t="shared" si="2"/>
        <v>1</v>
      </c>
    </row>
    <row r="52" spans="1:7" x14ac:dyDescent="0.2">
      <c r="A52" t="s">
        <v>94</v>
      </c>
      <c r="B52" t="s">
        <v>57</v>
      </c>
      <c r="C52" t="s">
        <v>81</v>
      </c>
      <c r="D52" s="2">
        <v>0</v>
      </c>
      <c r="E52" s="2">
        <v>44341.027902000002</v>
      </c>
      <c r="F52" s="200">
        <f t="shared" si="1"/>
        <v>2018</v>
      </c>
      <c r="G52" s="200">
        <f t="shared" si="2"/>
        <v>1</v>
      </c>
    </row>
    <row r="53" spans="1:7" x14ac:dyDescent="0.2">
      <c r="A53" t="s">
        <v>96</v>
      </c>
      <c r="B53" t="s">
        <v>57</v>
      </c>
      <c r="C53" t="s">
        <v>81</v>
      </c>
      <c r="D53" s="2">
        <v>182916.37250999999</v>
      </c>
      <c r="E53" s="2">
        <v>278684.42176500004</v>
      </c>
      <c r="F53" s="200">
        <f t="shared" si="1"/>
        <v>2018</v>
      </c>
      <c r="G53" s="200">
        <f t="shared" si="2"/>
        <v>1</v>
      </c>
    </row>
    <row r="54" spans="1:7" x14ac:dyDescent="0.2">
      <c r="A54" t="s">
        <v>93</v>
      </c>
      <c r="B54" t="s">
        <v>40</v>
      </c>
      <c r="C54" t="s">
        <v>81</v>
      </c>
      <c r="D54" s="2">
        <v>268700.45130837162</v>
      </c>
      <c r="E54" s="2">
        <v>211523.87079594456</v>
      </c>
      <c r="F54" s="200">
        <f t="shared" si="1"/>
        <v>2019</v>
      </c>
      <c r="G54" s="200">
        <f t="shared" si="2"/>
        <v>6</v>
      </c>
    </row>
    <row r="55" spans="1:7" x14ac:dyDescent="0.2">
      <c r="A55" t="s">
        <v>95</v>
      </c>
      <c r="B55" t="s">
        <v>40</v>
      </c>
      <c r="C55" t="s">
        <v>81</v>
      </c>
      <c r="D55" s="2">
        <v>1617552.889614044</v>
      </c>
      <c r="E55" s="2">
        <v>1761969.0553753343</v>
      </c>
      <c r="F55" s="200">
        <f t="shared" si="1"/>
        <v>2019</v>
      </c>
      <c r="G55" s="200">
        <f t="shared" si="2"/>
        <v>6</v>
      </c>
    </row>
    <row r="56" spans="1:7" x14ac:dyDescent="0.2">
      <c r="A56" t="s">
        <v>94</v>
      </c>
      <c r="B56" t="s">
        <v>40</v>
      </c>
      <c r="C56" t="s">
        <v>81</v>
      </c>
      <c r="D56" s="2">
        <v>115609.98770023031</v>
      </c>
      <c r="E56" s="2">
        <v>127670.19029246728</v>
      </c>
      <c r="F56" s="200">
        <f t="shared" si="1"/>
        <v>2019</v>
      </c>
      <c r="G56" s="200">
        <f t="shared" si="2"/>
        <v>6</v>
      </c>
    </row>
    <row r="57" spans="1:7" x14ac:dyDescent="0.2">
      <c r="A57" t="s">
        <v>96</v>
      </c>
      <c r="B57" t="s">
        <v>40</v>
      </c>
      <c r="C57" t="s">
        <v>81</v>
      </c>
      <c r="D57" s="2">
        <v>415000.74762647849</v>
      </c>
      <c r="E57" s="2">
        <v>550860.70067254582</v>
      </c>
      <c r="F57" s="200">
        <f t="shared" si="1"/>
        <v>2019</v>
      </c>
      <c r="G57" s="200">
        <f t="shared" si="2"/>
        <v>6</v>
      </c>
    </row>
    <row r="58" spans="1:7" x14ac:dyDescent="0.2">
      <c r="A58" t="s">
        <v>93</v>
      </c>
      <c r="B58" t="s">
        <v>69</v>
      </c>
      <c r="C58" t="s">
        <v>81</v>
      </c>
      <c r="D58" s="2">
        <v>293657.5727759772</v>
      </c>
      <c r="E58" s="2">
        <v>346827.25108199997</v>
      </c>
      <c r="F58" s="200">
        <f t="shared" si="1"/>
        <v>2020</v>
      </c>
      <c r="G58" s="200">
        <f t="shared" si="2"/>
        <v>1</v>
      </c>
    </row>
    <row r="59" spans="1:7" x14ac:dyDescent="0.2">
      <c r="A59" t="s">
        <v>95</v>
      </c>
      <c r="B59" t="s">
        <v>69</v>
      </c>
      <c r="C59" t="s">
        <v>81</v>
      </c>
      <c r="D59" s="2">
        <v>1879772.2767438309</v>
      </c>
      <c r="E59" s="2">
        <v>2374809.6808110001</v>
      </c>
      <c r="F59" s="200">
        <f t="shared" si="1"/>
        <v>2020</v>
      </c>
      <c r="G59" s="200">
        <f t="shared" si="2"/>
        <v>1</v>
      </c>
    </row>
    <row r="60" spans="1:7" x14ac:dyDescent="0.2">
      <c r="A60" t="s">
        <v>94</v>
      </c>
      <c r="B60" t="s">
        <v>69</v>
      </c>
      <c r="C60" t="s">
        <v>81</v>
      </c>
      <c r="D60" s="2">
        <v>267078.22491269372</v>
      </c>
      <c r="E60" s="2">
        <v>215614.62076800002</v>
      </c>
      <c r="F60" s="200">
        <f t="shared" si="1"/>
        <v>2020</v>
      </c>
      <c r="G60" s="200">
        <f t="shared" si="2"/>
        <v>1</v>
      </c>
    </row>
    <row r="61" spans="1:7" x14ac:dyDescent="0.2">
      <c r="A61" t="s">
        <v>96</v>
      </c>
      <c r="B61" t="s">
        <v>69</v>
      </c>
      <c r="C61" t="s">
        <v>81</v>
      </c>
      <c r="D61" s="2">
        <v>510533.15585713496</v>
      </c>
      <c r="E61" s="2">
        <v>448480.43121900002</v>
      </c>
      <c r="F61" s="200">
        <f t="shared" si="1"/>
        <v>2020</v>
      </c>
      <c r="G61" s="200">
        <f t="shared" si="2"/>
        <v>1</v>
      </c>
    </row>
    <row r="62" spans="1:7" x14ac:dyDescent="0.2">
      <c r="A62" t="s">
        <v>93</v>
      </c>
      <c r="B62" t="s">
        <v>63</v>
      </c>
      <c r="C62" t="s">
        <v>81</v>
      </c>
      <c r="D62" s="2">
        <v>0</v>
      </c>
      <c r="E62" s="2">
        <v>361307.958912</v>
      </c>
      <c r="F62" s="200">
        <f t="shared" si="1"/>
        <v>2018</v>
      </c>
      <c r="G62" s="200">
        <f t="shared" si="2"/>
        <v>7</v>
      </c>
    </row>
    <row r="63" spans="1:7" x14ac:dyDescent="0.2">
      <c r="A63" t="s">
        <v>95</v>
      </c>
      <c r="B63" t="s">
        <v>63</v>
      </c>
      <c r="C63" t="s">
        <v>81</v>
      </c>
      <c r="D63" s="2">
        <v>1436998.2440070002</v>
      </c>
      <c r="E63" s="2">
        <v>1666624.531683</v>
      </c>
      <c r="F63" s="200">
        <f t="shared" si="1"/>
        <v>2018</v>
      </c>
      <c r="G63" s="200">
        <f t="shared" si="2"/>
        <v>7</v>
      </c>
    </row>
    <row r="64" spans="1:7" x14ac:dyDescent="0.2">
      <c r="A64" t="s">
        <v>94</v>
      </c>
      <c r="B64" t="s">
        <v>63</v>
      </c>
      <c r="C64" t="s">
        <v>81</v>
      </c>
      <c r="D64" s="2">
        <v>0</v>
      </c>
      <c r="E64" s="2">
        <v>35726.898678000005</v>
      </c>
      <c r="F64" s="200">
        <f t="shared" si="1"/>
        <v>2018</v>
      </c>
      <c r="G64" s="200">
        <f t="shared" si="2"/>
        <v>7</v>
      </c>
    </row>
    <row r="65" spans="1:7" x14ac:dyDescent="0.2">
      <c r="A65" t="s">
        <v>96</v>
      </c>
      <c r="B65" t="s">
        <v>63</v>
      </c>
      <c r="C65" t="s">
        <v>81</v>
      </c>
      <c r="D65" s="2">
        <v>319376.109879</v>
      </c>
      <c r="E65" s="2">
        <v>329628.64345500001</v>
      </c>
      <c r="F65" s="200">
        <f t="shared" si="1"/>
        <v>2018</v>
      </c>
      <c r="G65" s="200">
        <f t="shared" si="2"/>
        <v>7</v>
      </c>
    </row>
    <row r="66" spans="1:7" x14ac:dyDescent="0.2">
      <c r="A66" t="s">
        <v>93</v>
      </c>
      <c r="B66" t="s">
        <v>41</v>
      </c>
      <c r="C66" t="s">
        <v>81</v>
      </c>
      <c r="D66" s="2">
        <v>271822.91980654147</v>
      </c>
      <c r="E66" s="2">
        <v>330497.78300788871</v>
      </c>
      <c r="F66" s="200">
        <f t="shared" si="1"/>
        <v>2019</v>
      </c>
      <c r="G66" s="200">
        <f t="shared" ref="G66:G97" si="3">MONTH(DATEVALUE(LEFT(B66,3)&amp;"1"))</f>
        <v>7</v>
      </c>
    </row>
    <row r="67" spans="1:7" x14ac:dyDescent="0.2">
      <c r="A67" t="s">
        <v>95</v>
      </c>
      <c r="B67" t="s">
        <v>41</v>
      </c>
      <c r="C67" t="s">
        <v>81</v>
      </c>
      <c r="D67" s="2">
        <v>1831126.7033020875</v>
      </c>
      <c r="E67" s="2">
        <v>2447291.0734761707</v>
      </c>
      <c r="F67" s="200">
        <f t="shared" ref="F67:F130" si="4">YEAR(B67)</f>
        <v>2019</v>
      </c>
      <c r="G67" s="200">
        <f t="shared" si="3"/>
        <v>7</v>
      </c>
    </row>
    <row r="68" spans="1:7" x14ac:dyDescent="0.2">
      <c r="A68" t="s">
        <v>94</v>
      </c>
      <c r="B68" t="s">
        <v>41</v>
      </c>
      <c r="C68" t="s">
        <v>81</v>
      </c>
      <c r="D68" s="2">
        <v>126814.47990034548</v>
      </c>
      <c r="E68" s="2">
        <v>141732.87703650119</v>
      </c>
      <c r="F68" s="200">
        <f t="shared" si="4"/>
        <v>2019</v>
      </c>
      <c r="G68" s="200">
        <f t="shared" si="3"/>
        <v>7</v>
      </c>
    </row>
    <row r="69" spans="1:7" x14ac:dyDescent="0.2">
      <c r="A69" t="s">
        <v>96</v>
      </c>
      <c r="B69" t="s">
        <v>41</v>
      </c>
      <c r="C69" t="s">
        <v>81</v>
      </c>
      <c r="D69" s="2">
        <v>432546.46162899421</v>
      </c>
      <c r="E69" s="2">
        <v>445987.45644892921</v>
      </c>
      <c r="F69" s="200">
        <f t="shared" si="4"/>
        <v>2019</v>
      </c>
      <c r="G69" s="200">
        <f t="shared" si="3"/>
        <v>7</v>
      </c>
    </row>
    <row r="70" spans="1:7" x14ac:dyDescent="0.2">
      <c r="A70" t="s">
        <v>93</v>
      </c>
      <c r="B70" t="s">
        <v>75</v>
      </c>
      <c r="C70" t="s">
        <v>81</v>
      </c>
      <c r="D70" s="2">
        <v>329697.26462469687</v>
      </c>
      <c r="E70" s="2">
        <v>348544.45078499999</v>
      </c>
      <c r="F70" s="200">
        <f t="shared" si="4"/>
        <v>2020</v>
      </c>
      <c r="G70" s="200">
        <f t="shared" si="3"/>
        <v>7</v>
      </c>
    </row>
    <row r="71" spans="1:7" x14ac:dyDescent="0.2">
      <c r="A71" t="s">
        <v>95</v>
      </c>
      <c r="B71" t="s">
        <v>75</v>
      </c>
      <c r="C71" t="s">
        <v>81</v>
      </c>
      <c r="D71" s="2">
        <v>2295158.213739593</v>
      </c>
      <c r="E71" s="2">
        <v>2230759.3678140002</v>
      </c>
      <c r="F71" s="200">
        <f t="shared" si="4"/>
        <v>2020</v>
      </c>
      <c r="G71" s="200">
        <f t="shared" si="3"/>
        <v>7</v>
      </c>
    </row>
    <row r="72" spans="1:7" x14ac:dyDescent="0.2">
      <c r="A72" t="s">
        <v>94</v>
      </c>
      <c r="B72" t="s">
        <v>75</v>
      </c>
      <c r="C72" t="s">
        <v>81</v>
      </c>
      <c r="D72" s="2">
        <v>417692.6054537379</v>
      </c>
      <c r="E72" s="2">
        <v>294972.34411200002</v>
      </c>
      <c r="F72" s="200">
        <f t="shared" si="4"/>
        <v>2020</v>
      </c>
      <c r="G72" s="200">
        <f t="shared" si="3"/>
        <v>7</v>
      </c>
    </row>
    <row r="73" spans="1:7" x14ac:dyDescent="0.2">
      <c r="A73" t="s">
        <v>96</v>
      </c>
      <c r="B73" t="s">
        <v>75</v>
      </c>
      <c r="C73" t="s">
        <v>81</v>
      </c>
      <c r="D73" s="2">
        <v>451007.64205129218</v>
      </c>
      <c r="E73" s="2">
        <v>321861.95075999998</v>
      </c>
      <c r="F73" s="200">
        <f t="shared" si="4"/>
        <v>2020</v>
      </c>
      <c r="G73" s="200">
        <f t="shared" si="3"/>
        <v>7</v>
      </c>
    </row>
    <row r="74" spans="1:7" x14ac:dyDescent="0.2">
      <c r="A74" t="s">
        <v>93</v>
      </c>
      <c r="B74" t="s">
        <v>62</v>
      </c>
      <c r="C74" t="s">
        <v>81</v>
      </c>
      <c r="D74" s="2">
        <v>0</v>
      </c>
      <c r="E74" s="2">
        <v>262353.00348600006</v>
      </c>
      <c r="F74" s="200">
        <f t="shared" si="4"/>
        <v>2018</v>
      </c>
      <c r="G74" s="200">
        <f t="shared" si="3"/>
        <v>6</v>
      </c>
    </row>
    <row r="75" spans="1:7" x14ac:dyDescent="0.2">
      <c r="A75" t="s">
        <v>95</v>
      </c>
      <c r="B75" t="s">
        <v>62</v>
      </c>
      <c r="C75" t="s">
        <v>81</v>
      </c>
      <c r="D75" s="2">
        <v>1436998.2440070002</v>
      </c>
      <c r="E75" s="2">
        <v>1555037.151879</v>
      </c>
      <c r="F75" s="200">
        <f t="shared" si="4"/>
        <v>2018</v>
      </c>
      <c r="G75" s="200">
        <f t="shared" si="3"/>
        <v>6</v>
      </c>
    </row>
    <row r="76" spans="1:7" x14ac:dyDescent="0.2">
      <c r="A76" t="s">
        <v>94</v>
      </c>
      <c r="B76" t="s">
        <v>62</v>
      </c>
      <c r="C76" t="s">
        <v>81</v>
      </c>
      <c r="D76" s="2">
        <v>0</v>
      </c>
      <c r="E76" s="2">
        <v>45843.140394000002</v>
      </c>
      <c r="F76" s="200">
        <f t="shared" si="4"/>
        <v>2018</v>
      </c>
      <c r="G76" s="200">
        <f t="shared" si="3"/>
        <v>6</v>
      </c>
    </row>
    <row r="77" spans="1:7" x14ac:dyDescent="0.2">
      <c r="A77" t="s">
        <v>96</v>
      </c>
      <c r="B77" t="s">
        <v>62</v>
      </c>
      <c r="C77" t="s">
        <v>81</v>
      </c>
      <c r="D77" s="2">
        <v>319376.109879</v>
      </c>
      <c r="E77" s="2">
        <v>351997.29018600006</v>
      </c>
      <c r="F77" s="200">
        <f t="shared" si="4"/>
        <v>2018</v>
      </c>
      <c r="G77" s="200">
        <f t="shared" si="3"/>
        <v>6</v>
      </c>
    </row>
    <row r="78" spans="1:7" x14ac:dyDescent="0.2">
      <c r="A78" t="s">
        <v>93</v>
      </c>
      <c r="B78" t="s">
        <v>35</v>
      </c>
      <c r="C78" t="s">
        <v>81</v>
      </c>
      <c r="D78" s="2">
        <v>293589.03282387793</v>
      </c>
      <c r="E78" s="2">
        <v>331449.04673733219</v>
      </c>
      <c r="F78" s="200">
        <f t="shared" si="4"/>
        <v>2019</v>
      </c>
      <c r="G78" s="200">
        <f t="shared" si="3"/>
        <v>1</v>
      </c>
    </row>
    <row r="79" spans="1:7" x14ac:dyDescent="0.2">
      <c r="A79" t="s">
        <v>95</v>
      </c>
      <c r="B79" t="s">
        <v>35</v>
      </c>
      <c r="C79" t="s">
        <v>81</v>
      </c>
      <c r="D79" s="2">
        <v>1786680.6190626468</v>
      </c>
      <c r="E79" s="2">
        <v>1690386.7757865563</v>
      </c>
      <c r="F79" s="200">
        <f t="shared" si="4"/>
        <v>2019</v>
      </c>
      <c r="G79" s="200">
        <f t="shared" si="3"/>
        <v>1</v>
      </c>
    </row>
    <row r="80" spans="1:7" x14ac:dyDescent="0.2">
      <c r="A80" t="s">
        <v>94</v>
      </c>
      <c r="B80" t="s">
        <v>35</v>
      </c>
      <c r="C80" t="s">
        <v>81</v>
      </c>
      <c r="D80" s="2">
        <v>90947.61</v>
      </c>
      <c r="E80" s="2">
        <v>128263.7424294746</v>
      </c>
      <c r="F80" s="200">
        <f t="shared" si="4"/>
        <v>2019</v>
      </c>
      <c r="G80" s="200">
        <f t="shared" si="3"/>
        <v>1</v>
      </c>
    </row>
    <row r="81" spans="1:7" x14ac:dyDescent="0.2">
      <c r="A81" t="s">
        <v>96</v>
      </c>
      <c r="B81" t="s">
        <v>35</v>
      </c>
      <c r="C81" t="s">
        <v>81</v>
      </c>
      <c r="D81" s="2">
        <v>274659.14082480036</v>
      </c>
      <c r="E81" s="2">
        <v>450490.34758227959</v>
      </c>
      <c r="F81" s="200">
        <f t="shared" si="4"/>
        <v>2019</v>
      </c>
      <c r="G81" s="200">
        <f t="shared" si="3"/>
        <v>1</v>
      </c>
    </row>
    <row r="82" spans="1:7" x14ac:dyDescent="0.2">
      <c r="A82" t="s">
        <v>93</v>
      </c>
      <c r="B82" t="s">
        <v>74</v>
      </c>
      <c r="C82" t="s">
        <v>81</v>
      </c>
      <c r="D82" s="2">
        <v>310394.39777938253</v>
      </c>
      <c r="E82" s="2">
        <v>451484.31072299997</v>
      </c>
      <c r="F82" s="200">
        <f t="shared" si="4"/>
        <v>2020</v>
      </c>
      <c r="G82" s="200">
        <f t="shared" si="3"/>
        <v>6</v>
      </c>
    </row>
    <row r="83" spans="1:7" x14ac:dyDescent="0.2">
      <c r="A83" t="s">
        <v>95</v>
      </c>
      <c r="B83" t="s">
        <v>74</v>
      </c>
      <c r="C83" t="s">
        <v>81</v>
      </c>
      <c r="D83" s="2">
        <v>1931929.4057951809</v>
      </c>
      <c r="E83" s="2">
        <v>2388133.307025</v>
      </c>
      <c r="F83" s="200">
        <f t="shared" si="4"/>
        <v>2020</v>
      </c>
      <c r="G83" s="200">
        <f t="shared" si="3"/>
        <v>6</v>
      </c>
    </row>
    <row r="84" spans="1:7" x14ac:dyDescent="0.2">
      <c r="A84" t="s">
        <v>94</v>
      </c>
      <c r="B84" t="s">
        <v>74</v>
      </c>
      <c r="C84" t="s">
        <v>81</v>
      </c>
      <c r="D84" s="2">
        <v>361821.94257837214</v>
      </c>
      <c r="E84" s="2">
        <v>249937.69601399999</v>
      </c>
      <c r="F84" s="200">
        <f t="shared" si="4"/>
        <v>2020</v>
      </c>
      <c r="G84" s="200">
        <f t="shared" si="3"/>
        <v>6</v>
      </c>
    </row>
    <row r="85" spans="1:7" x14ac:dyDescent="0.2">
      <c r="A85" t="s">
        <v>96</v>
      </c>
      <c r="B85" t="s">
        <v>74</v>
      </c>
      <c r="C85" t="s">
        <v>81</v>
      </c>
      <c r="D85" s="2">
        <v>526302.09818941972</v>
      </c>
      <c r="E85" s="2">
        <v>484914.63110100001</v>
      </c>
      <c r="F85" s="200">
        <f t="shared" si="4"/>
        <v>2020</v>
      </c>
      <c r="G85" s="200">
        <f t="shared" si="3"/>
        <v>6</v>
      </c>
    </row>
    <row r="86" spans="1:7" x14ac:dyDescent="0.2">
      <c r="A86" t="s">
        <v>93</v>
      </c>
      <c r="B86" t="s">
        <v>59</v>
      </c>
      <c r="C86" t="s">
        <v>81</v>
      </c>
      <c r="D86" s="2">
        <v>0</v>
      </c>
      <c r="E86" s="2">
        <v>287478.02784900001</v>
      </c>
      <c r="F86" s="200">
        <f t="shared" si="4"/>
        <v>2018</v>
      </c>
      <c r="G86" s="200">
        <f t="shared" si="3"/>
        <v>3</v>
      </c>
    </row>
    <row r="87" spans="1:7" x14ac:dyDescent="0.2">
      <c r="A87" t="s">
        <v>95</v>
      </c>
      <c r="B87" t="s">
        <v>59</v>
      </c>
      <c r="C87" t="s">
        <v>81</v>
      </c>
      <c r="D87" s="2">
        <v>1493787.6936389999</v>
      </c>
      <c r="E87" s="2">
        <v>1641100.2447210001</v>
      </c>
      <c r="F87" s="200">
        <f t="shared" si="4"/>
        <v>2018</v>
      </c>
      <c r="G87" s="200">
        <f t="shared" si="3"/>
        <v>3</v>
      </c>
    </row>
    <row r="88" spans="1:7" x14ac:dyDescent="0.2">
      <c r="A88" t="s">
        <v>94</v>
      </c>
      <c r="B88" t="s">
        <v>59</v>
      </c>
      <c r="C88" t="s">
        <v>81</v>
      </c>
      <c r="D88" s="2">
        <v>0</v>
      </c>
      <c r="E88" s="2">
        <v>68090.247260999997</v>
      </c>
      <c r="F88" s="200">
        <f t="shared" si="4"/>
        <v>2018</v>
      </c>
      <c r="G88" s="200">
        <f t="shared" si="3"/>
        <v>3</v>
      </c>
    </row>
    <row r="89" spans="1:7" x14ac:dyDescent="0.2">
      <c r="A89" t="s">
        <v>96</v>
      </c>
      <c r="B89" t="s">
        <v>59</v>
      </c>
      <c r="C89" t="s">
        <v>81</v>
      </c>
      <c r="D89" s="2">
        <v>251922.72908700001</v>
      </c>
      <c r="E89" s="2">
        <v>477071.84643600002</v>
      </c>
      <c r="F89" s="200">
        <f t="shared" si="4"/>
        <v>2018</v>
      </c>
      <c r="G89" s="200">
        <f t="shared" si="3"/>
        <v>3</v>
      </c>
    </row>
    <row r="90" spans="1:7" x14ac:dyDescent="0.2">
      <c r="A90" t="s">
        <v>93</v>
      </c>
      <c r="B90" t="s">
        <v>36</v>
      </c>
      <c r="C90" t="s">
        <v>81</v>
      </c>
      <c r="D90" s="2">
        <v>216591.87271541913</v>
      </c>
      <c r="E90" s="2">
        <v>192229.95172811425</v>
      </c>
      <c r="F90" s="200">
        <f t="shared" si="4"/>
        <v>2019</v>
      </c>
      <c r="G90" s="200">
        <f t="shared" si="3"/>
        <v>2</v>
      </c>
    </row>
    <row r="91" spans="1:7" x14ac:dyDescent="0.2">
      <c r="A91" t="s">
        <v>95</v>
      </c>
      <c r="B91" t="s">
        <v>36</v>
      </c>
      <c r="C91" t="s">
        <v>81</v>
      </c>
      <c r="D91" s="2">
        <v>1652530.7108413894</v>
      </c>
      <c r="E91" s="2">
        <v>2011383.9385243196</v>
      </c>
      <c r="F91" s="200">
        <f t="shared" si="4"/>
        <v>2019</v>
      </c>
      <c r="G91" s="200">
        <f t="shared" si="3"/>
        <v>2</v>
      </c>
    </row>
    <row r="92" spans="1:7" x14ac:dyDescent="0.2">
      <c r="A92" t="s">
        <v>94</v>
      </c>
      <c r="B92" t="s">
        <v>36</v>
      </c>
      <c r="C92" t="s">
        <v>81</v>
      </c>
      <c r="D92" s="2">
        <v>78596.7</v>
      </c>
      <c r="E92" s="2">
        <v>73225.479163447802</v>
      </c>
      <c r="F92" s="200">
        <f t="shared" si="4"/>
        <v>2019</v>
      </c>
      <c r="G92" s="200">
        <f t="shared" si="3"/>
        <v>2</v>
      </c>
    </row>
    <row r="93" spans="1:7" x14ac:dyDescent="0.2">
      <c r="A93" t="s">
        <v>96</v>
      </c>
      <c r="B93" t="s">
        <v>36</v>
      </c>
      <c r="C93" t="s">
        <v>81</v>
      </c>
      <c r="D93" s="2">
        <v>426577.37711236544</v>
      </c>
      <c r="E93" s="2">
        <v>418086.76739741873</v>
      </c>
      <c r="F93" s="200">
        <f t="shared" si="4"/>
        <v>2019</v>
      </c>
      <c r="G93" s="200">
        <f t="shared" si="3"/>
        <v>2</v>
      </c>
    </row>
    <row r="94" spans="1:7" x14ac:dyDescent="0.2">
      <c r="A94" t="s">
        <v>93</v>
      </c>
      <c r="B94" t="s">
        <v>71</v>
      </c>
      <c r="C94" t="s">
        <v>81</v>
      </c>
      <c r="D94" s="2">
        <v>301563.65258830017</v>
      </c>
      <c r="E94" s="2">
        <v>350511.70027500001</v>
      </c>
      <c r="F94" s="200">
        <f t="shared" si="4"/>
        <v>2020</v>
      </c>
      <c r="G94" s="200">
        <f t="shared" si="3"/>
        <v>3</v>
      </c>
    </row>
    <row r="95" spans="1:7" x14ac:dyDescent="0.2">
      <c r="A95" t="s">
        <v>95</v>
      </c>
      <c r="B95" t="s">
        <v>71</v>
      </c>
      <c r="C95" t="s">
        <v>81</v>
      </c>
      <c r="D95" s="2">
        <v>1909856.8531001471</v>
      </c>
      <c r="E95" s="2">
        <v>2876297.946219</v>
      </c>
      <c r="F95" s="200">
        <f t="shared" si="4"/>
        <v>2020</v>
      </c>
      <c r="G95" s="200">
        <f t="shared" si="3"/>
        <v>3</v>
      </c>
    </row>
    <row r="96" spans="1:7" x14ac:dyDescent="0.2">
      <c r="A96" t="s">
        <v>94</v>
      </c>
      <c r="B96" t="s">
        <v>71</v>
      </c>
      <c r="C96" t="s">
        <v>81</v>
      </c>
      <c r="D96" s="2">
        <v>302039.40041450673</v>
      </c>
      <c r="E96" s="2">
        <v>306678.22567800002</v>
      </c>
      <c r="F96" s="200">
        <f t="shared" si="4"/>
        <v>2020</v>
      </c>
      <c r="G96" s="200">
        <f t="shared" si="3"/>
        <v>3</v>
      </c>
    </row>
    <row r="97" spans="1:7" x14ac:dyDescent="0.2">
      <c r="A97" t="s">
        <v>96</v>
      </c>
      <c r="B97" t="s">
        <v>71</v>
      </c>
      <c r="C97" t="s">
        <v>81</v>
      </c>
      <c r="D97" s="2">
        <v>480239.16726728971</v>
      </c>
      <c r="E97" s="2">
        <v>362435.55381000001</v>
      </c>
      <c r="F97" s="200">
        <f t="shared" si="4"/>
        <v>2020</v>
      </c>
      <c r="G97" s="200">
        <f t="shared" si="3"/>
        <v>3</v>
      </c>
    </row>
    <row r="98" spans="1:7" x14ac:dyDescent="0.2">
      <c r="A98" t="s">
        <v>93</v>
      </c>
      <c r="B98" t="s">
        <v>61</v>
      </c>
      <c r="C98" t="s">
        <v>81</v>
      </c>
      <c r="D98" s="2">
        <v>0</v>
      </c>
      <c r="E98" s="2">
        <v>204978.04298700002</v>
      </c>
      <c r="F98" s="200">
        <f t="shared" si="4"/>
        <v>2018</v>
      </c>
      <c r="G98" s="200">
        <f t="shared" ref="G98:G129" si="5">MONTH(DATEVALUE(LEFT(B98,3)&amp;"1"))</f>
        <v>5</v>
      </c>
    </row>
    <row r="99" spans="1:7" x14ac:dyDescent="0.2">
      <c r="A99" t="s">
        <v>95</v>
      </c>
      <c r="B99" t="s">
        <v>61</v>
      </c>
      <c r="C99" t="s">
        <v>81</v>
      </c>
      <c r="D99" s="2">
        <v>1246868.706858</v>
      </c>
      <c r="E99" s="2">
        <v>1852828.3536809999</v>
      </c>
      <c r="F99" s="200">
        <f t="shared" si="4"/>
        <v>2018</v>
      </c>
      <c r="G99" s="200">
        <f t="shared" si="5"/>
        <v>5</v>
      </c>
    </row>
    <row r="100" spans="1:7" x14ac:dyDescent="0.2">
      <c r="A100" t="s">
        <v>94</v>
      </c>
      <c r="B100" t="s">
        <v>61</v>
      </c>
      <c r="C100" t="s">
        <v>81</v>
      </c>
      <c r="D100" s="2">
        <v>14741.89071</v>
      </c>
      <c r="E100" s="2">
        <v>33437.618643000002</v>
      </c>
      <c r="F100" s="200">
        <f t="shared" si="4"/>
        <v>2018</v>
      </c>
      <c r="G100" s="200">
        <f t="shared" si="5"/>
        <v>5</v>
      </c>
    </row>
    <row r="101" spans="1:7" x14ac:dyDescent="0.2">
      <c r="A101" t="s">
        <v>96</v>
      </c>
      <c r="B101" t="s">
        <v>61</v>
      </c>
      <c r="C101" t="s">
        <v>81</v>
      </c>
      <c r="D101" s="2">
        <v>271202.66370000003</v>
      </c>
      <c r="E101" s="2">
        <v>496159.17594900005</v>
      </c>
      <c r="F101" s="200">
        <f t="shared" si="4"/>
        <v>2018</v>
      </c>
      <c r="G101" s="200">
        <f t="shared" si="5"/>
        <v>5</v>
      </c>
    </row>
    <row r="102" spans="1:7" x14ac:dyDescent="0.2">
      <c r="A102" t="s">
        <v>93</v>
      </c>
      <c r="B102" t="s">
        <v>38</v>
      </c>
      <c r="C102" t="s">
        <v>81</v>
      </c>
      <c r="D102" s="2">
        <v>259249.39564782879</v>
      </c>
      <c r="E102" s="2">
        <v>298234.60000718501</v>
      </c>
      <c r="F102" s="200">
        <f t="shared" si="4"/>
        <v>2019</v>
      </c>
      <c r="G102" s="200">
        <f t="shared" si="5"/>
        <v>4</v>
      </c>
    </row>
    <row r="103" spans="1:7" x14ac:dyDescent="0.2">
      <c r="A103" t="s">
        <v>95</v>
      </c>
      <c r="B103" t="s">
        <v>38</v>
      </c>
      <c r="C103" t="s">
        <v>81</v>
      </c>
      <c r="D103" s="2">
        <v>1716809.0004290061</v>
      </c>
      <c r="E103" s="2">
        <v>2250106.0861155409</v>
      </c>
      <c r="F103" s="200">
        <f t="shared" si="4"/>
        <v>2019</v>
      </c>
      <c r="G103" s="200">
        <f t="shared" si="5"/>
        <v>4</v>
      </c>
    </row>
    <row r="104" spans="1:7" x14ac:dyDescent="0.2">
      <c r="A104" t="s">
        <v>94</v>
      </c>
      <c r="B104" t="s">
        <v>38</v>
      </c>
      <c r="C104" t="s">
        <v>81</v>
      </c>
      <c r="D104" s="2">
        <v>94219.59350023033</v>
      </c>
      <c r="E104" s="2">
        <v>81303.604700199212</v>
      </c>
      <c r="F104" s="200">
        <f t="shared" si="4"/>
        <v>2019</v>
      </c>
      <c r="G104" s="200">
        <f t="shared" si="5"/>
        <v>4</v>
      </c>
    </row>
    <row r="105" spans="1:7" x14ac:dyDescent="0.2">
      <c r="A105" t="s">
        <v>96</v>
      </c>
      <c r="B105" t="s">
        <v>38</v>
      </c>
      <c r="C105" t="s">
        <v>81</v>
      </c>
      <c r="D105" s="2">
        <v>388318.34919254994</v>
      </c>
      <c r="E105" s="2">
        <v>589793.45417409122</v>
      </c>
      <c r="F105" s="200">
        <f t="shared" si="4"/>
        <v>2019</v>
      </c>
      <c r="G105" s="200">
        <f t="shared" si="5"/>
        <v>4</v>
      </c>
    </row>
    <row r="106" spans="1:7" x14ac:dyDescent="0.2">
      <c r="A106" t="s">
        <v>93</v>
      </c>
      <c r="B106" t="s">
        <v>73</v>
      </c>
      <c r="C106" t="s">
        <v>81</v>
      </c>
      <c r="D106" s="2">
        <v>313885.10500013735</v>
      </c>
      <c r="E106" s="2">
        <v>198773.41220100003</v>
      </c>
      <c r="F106" s="200">
        <f t="shared" si="4"/>
        <v>2020</v>
      </c>
      <c r="G106" s="200">
        <f t="shared" si="5"/>
        <v>5</v>
      </c>
    </row>
    <row r="107" spans="1:7" x14ac:dyDescent="0.2">
      <c r="A107" t="s">
        <v>95</v>
      </c>
      <c r="B107" t="s">
        <v>73</v>
      </c>
      <c r="C107" t="s">
        <v>81</v>
      </c>
      <c r="D107" s="2">
        <v>2166143.6211155592</v>
      </c>
      <c r="E107" s="2">
        <v>2047597.6440450002</v>
      </c>
      <c r="F107" s="200">
        <f t="shared" si="4"/>
        <v>2020</v>
      </c>
      <c r="G107" s="200">
        <f t="shared" si="5"/>
        <v>5</v>
      </c>
    </row>
    <row r="108" spans="1:7" x14ac:dyDescent="0.2">
      <c r="A108" t="s">
        <v>94</v>
      </c>
      <c r="B108" t="s">
        <v>73</v>
      </c>
      <c r="C108" t="s">
        <v>81</v>
      </c>
      <c r="D108" s="2">
        <v>337877.37277464394</v>
      </c>
      <c r="E108" s="2">
        <v>244296.22353899997</v>
      </c>
      <c r="F108" s="200">
        <f t="shared" si="4"/>
        <v>2020</v>
      </c>
      <c r="G108" s="200">
        <f t="shared" si="5"/>
        <v>5</v>
      </c>
    </row>
    <row r="109" spans="1:7" x14ac:dyDescent="0.2">
      <c r="A109" t="s">
        <v>96</v>
      </c>
      <c r="B109" t="s">
        <v>73</v>
      </c>
      <c r="C109" t="s">
        <v>81</v>
      </c>
      <c r="D109" s="2">
        <v>510746.23835263454</v>
      </c>
      <c r="E109" s="2">
        <v>462260.29832099995</v>
      </c>
      <c r="F109" s="200">
        <f t="shared" si="4"/>
        <v>2020</v>
      </c>
      <c r="G109" s="200">
        <f t="shared" si="5"/>
        <v>5</v>
      </c>
    </row>
    <row r="110" spans="1:7" x14ac:dyDescent="0.2">
      <c r="A110" t="s">
        <v>93</v>
      </c>
      <c r="B110" t="s">
        <v>67</v>
      </c>
      <c r="C110" t="s">
        <v>81</v>
      </c>
      <c r="D110" s="2">
        <v>0</v>
      </c>
      <c r="E110" s="2">
        <v>342659.82948600006</v>
      </c>
      <c r="F110" s="200">
        <f t="shared" si="4"/>
        <v>2018</v>
      </c>
      <c r="G110" s="200">
        <f t="shared" si="5"/>
        <v>11</v>
      </c>
    </row>
    <row r="111" spans="1:7" x14ac:dyDescent="0.2">
      <c r="A111" t="s">
        <v>95</v>
      </c>
      <c r="B111" t="s">
        <v>67</v>
      </c>
      <c r="C111" t="s">
        <v>81</v>
      </c>
      <c r="D111" s="2">
        <v>1436998.2440070002</v>
      </c>
      <c r="E111" s="2">
        <v>1864421.3582940002</v>
      </c>
      <c r="F111" s="200">
        <f t="shared" si="4"/>
        <v>2018</v>
      </c>
      <c r="G111" s="200">
        <f t="shared" si="5"/>
        <v>11</v>
      </c>
    </row>
    <row r="112" spans="1:7" x14ac:dyDescent="0.2">
      <c r="A112" t="s">
        <v>94</v>
      </c>
      <c r="B112" t="s">
        <v>67</v>
      </c>
      <c r="C112" t="s">
        <v>81</v>
      </c>
      <c r="D112" s="2">
        <v>0</v>
      </c>
      <c r="E112" s="2">
        <v>-26975.803908000002</v>
      </c>
      <c r="F112" s="200">
        <f t="shared" si="4"/>
        <v>2018</v>
      </c>
      <c r="G112" s="200">
        <f t="shared" si="5"/>
        <v>11</v>
      </c>
    </row>
    <row r="113" spans="1:7" x14ac:dyDescent="0.2">
      <c r="A113" t="s">
        <v>96</v>
      </c>
      <c r="B113" t="s">
        <v>67</v>
      </c>
      <c r="C113" t="s">
        <v>81</v>
      </c>
      <c r="D113" s="2">
        <v>319376.109879</v>
      </c>
      <c r="E113" s="2">
        <v>535600.891512</v>
      </c>
      <c r="F113" s="200">
        <f t="shared" si="4"/>
        <v>2018</v>
      </c>
      <c r="G113" s="200">
        <f t="shared" si="5"/>
        <v>11</v>
      </c>
    </row>
    <row r="114" spans="1:7" x14ac:dyDescent="0.2">
      <c r="A114" t="s">
        <v>93</v>
      </c>
      <c r="B114" t="s">
        <v>45</v>
      </c>
      <c r="C114" t="s">
        <v>81</v>
      </c>
      <c r="D114" s="2">
        <v>299523.81375301024</v>
      </c>
      <c r="E114" s="2">
        <v>319954.00557495985</v>
      </c>
      <c r="F114" s="200">
        <f t="shared" si="4"/>
        <v>2019</v>
      </c>
      <c r="G114" s="200">
        <f t="shared" si="5"/>
        <v>11</v>
      </c>
    </row>
    <row r="115" spans="1:7" x14ac:dyDescent="0.2">
      <c r="A115" t="s">
        <v>95</v>
      </c>
      <c r="B115" t="s">
        <v>45</v>
      </c>
      <c r="C115" t="s">
        <v>81</v>
      </c>
      <c r="D115" s="2">
        <v>1844326.6290702622</v>
      </c>
      <c r="E115" s="2">
        <v>1940724.0471902387</v>
      </c>
      <c r="F115" s="200">
        <f t="shared" si="4"/>
        <v>2019</v>
      </c>
      <c r="G115" s="200">
        <f t="shared" si="5"/>
        <v>11</v>
      </c>
    </row>
    <row r="116" spans="1:7" x14ac:dyDescent="0.2">
      <c r="A116" t="s">
        <v>94</v>
      </c>
      <c r="B116" t="s">
        <v>45</v>
      </c>
      <c r="C116" t="s">
        <v>81</v>
      </c>
      <c r="D116" s="2">
        <v>147695.57900014395</v>
      </c>
      <c r="E116" s="2">
        <v>258548.67200973761</v>
      </c>
      <c r="F116" s="200">
        <f t="shared" si="4"/>
        <v>2019</v>
      </c>
      <c r="G116" s="200">
        <f t="shared" si="5"/>
        <v>11</v>
      </c>
    </row>
    <row r="117" spans="1:7" x14ac:dyDescent="0.2">
      <c r="A117" t="s">
        <v>96</v>
      </c>
      <c r="B117" t="s">
        <v>45</v>
      </c>
      <c r="C117" t="s">
        <v>81</v>
      </c>
      <c r="D117" s="2">
        <v>399603.99512082292</v>
      </c>
      <c r="E117" s="2">
        <v>700037.3660213683</v>
      </c>
      <c r="F117" s="200">
        <f t="shared" si="4"/>
        <v>2019</v>
      </c>
      <c r="G117" s="200">
        <f t="shared" si="5"/>
        <v>11</v>
      </c>
    </row>
    <row r="118" spans="1:7" x14ac:dyDescent="0.2">
      <c r="A118" t="s">
        <v>93</v>
      </c>
      <c r="B118" t="s">
        <v>79</v>
      </c>
      <c r="C118" t="s">
        <v>81</v>
      </c>
      <c r="D118" s="2">
        <v>321791.18481246027</v>
      </c>
      <c r="E118" s="2">
        <v>0</v>
      </c>
      <c r="F118" s="200">
        <f t="shared" si="4"/>
        <v>2020</v>
      </c>
      <c r="G118" s="200">
        <f t="shared" si="5"/>
        <v>11</v>
      </c>
    </row>
    <row r="119" spans="1:7" x14ac:dyDescent="0.2">
      <c r="A119" t="s">
        <v>95</v>
      </c>
      <c r="B119" t="s">
        <v>79</v>
      </c>
      <c r="C119" t="s">
        <v>81</v>
      </c>
      <c r="D119" s="2">
        <v>1961628.3494952712</v>
      </c>
      <c r="E119" s="2">
        <v>0</v>
      </c>
      <c r="F119" s="200">
        <f t="shared" si="4"/>
        <v>2020</v>
      </c>
      <c r="G119" s="200">
        <f t="shared" si="5"/>
        <v>11</v>
      </c>
    </row>
    <row r="120" spans="1:7" x14ac:dyDescent="0.2">
      <c r="A120" t="s">
        <v>94</v>
      </c>
      <c r="B120" t="s">
        <v>79</v>
      </c>
      <c r="C120" t="s">
        <v>81</v>
      </c>
      <c r="D120" s="2">
        <v>567925.17929272959</v>
      </c>
      <c r="E120" s="2">
        <v>0</v>
      </c>
      <c r="F120" s="200">
        <f t="shared" si="4"/>
        <v>2020</v>
      </c>
      <c r="G120" s="200">
        <f t="shared" si="5"/>
        <v>11</v>
      </c>
    </row>
    <row r="121" spans="1:7" x14ac:dyDescent="0.2">
      <c r="A121" t="s">
        <v>96</v>
      </c>
      <c r="B121" t="s">
        <v>79</v>
      </c>
      <c r="C121" t="s">
        <v>81</v>
      </c>
      <c r="D121" s="2">
        <v>516252.6569485747</v>
      </c>
      <c r="E121" s="2">
        <v>0</v>
      </c>
      <c r="F121" s="200">
        <f t="shared" si="4"/>
        <v>2020</v>
      </c>
      <c r="G121" s="200">
        <f t="shared" si="5"/>
        <v>11</v>
      </c>
    </row>
    <row r="122" spans="1:7" x14ac:dyDescent="0.2">
      <c r="A122" t="s">
        <v>93</v>
      </c>
      <c r="B122" t="s">
        <v>66</v>
      </c>
      <c r="C122" t="s">
        <v>81</v>
      </c>
      <c r="D122" s="2">
        <v>0</v>
      </c>
      <c r="E122" s="2">
        <v>230254.30985699999</v>
      </c>
      <c r="F122" s="200">
        <f t="shared" si="4"/>
        <v>2018</v>
      </c>
      <c r="G122" s="200">
        <f t="shared" si="5"/>
        <v>10</v>
      </c>
    </row>
    <row r="123" spans="1:7" x14ac:dyDescent="0.2">
      <c r="A123" t="s">
        <v>95</v>
      </c>
      <c r="B123" t="s">
        <v>66</v>
      </c>
      <c r="C123" t="s">
        <v>81</v>
      </c>
      <c r="D123" s="2">
        <v>1436998.2440070002</v>
      </c>
      <c r="E123" s="2">
        <v>1631507.7334110001</v>
      </c>
      <c r="F123" s="200">
        <f t="shared" si="4"/>
        <v>2018</v>
      </c>
      <c r="G123" s="200">
        <f t="shared" si="5"/>
        <v>10</v>
      </c>
    </row>
    <row r="124" spans="1:7" x14ac:dyDescent="0.2">
      <c r="A124" t="s">
        <v>94</v>
      </c>
      <c r="B124" t="s">
        <v>66</v>
      </c>
      <c r="C124" t="s">
        <v>81</v>
      </c>
      <c r="D124" s="2">
        <v>0</v>
      </c>
      <c r="E124" s="2">
        <v>56579.233689000001</v>
      </c>
      <c r="F124" s="200">
        <f t="shared" si="4"/>
        <v>2018</v>
      </c>
      <c r="G124" s="200">
        <f t="shared" si="5"/>
        <v>10</v>
      </c>
    </row>
    <row r="125" spans="1:7" x14ac:dyDescent="0.2">
      <c r="A125" t="s">
        <v>96</v>
      </c>
      <c r="B125" t="s">
        <v>66</v>
      </c>
      <c r="C125" t="s">
        <v>81</v>
      </c>
      <c r="D125" s="2">
        <v>319376.109879</v>
      </c>
      <c r="E125" s="2">
        <v>383152.452024</v>
      </c>
      <c r="F125" s="200">
        <f t="shared" si="4"/>
        <v>2018</v>
      </c>
      <c r="G125" s="200">
        <f t="shared" si="5"/>
        <v>10</v>
      </c>
    </row>
    <row r="126" spans="1:7" x14ac:dyDescent="0.2">
      <c r="A126" t="s">
        <v>93</v>
      </c>
      <c r="B126" t="s">
        <v>44</v>
      </c>
      <c r="C126" t="s">
        <v>81</v>
      </c>
      <c r="D126" s="2">
        <v>285325.17037029314</v>
      </c>
      <c r="E126" s="2">
        <v>191552.5271342592</v>
      </c>
      <c r="F126" s="200">
        <f t="shared" si="4"/>
        <v>2019</v>
      </c>
      <c r="G126" s="200">
        <f t="shared" si="5"/>
        <v>10</v>
      </c>
    </row>
    <row r="127" spans="1:7" x14ac:dyDescent="0.2">
      <c r="A127" t="s">
        <v>95</v>
      </c>
      <c r="B127" t="s">
        <v>44</v>
      </c>
      <c r="C127" t="s">
        <v>81</v>
      </c>
      <c r="D127" s="2">
        <v>1799079.7843668566</v>
      </c>
      <c r="E127" s="2">
        <v>2097443.8525737463</v>
      </c>
      <c r="F127" s="200">
        <f t="shared" si="4"/>
        <v>2019</v>
      </c>
      <c r="G127" s="200">
        <f t="shared" si="5"/>
        <v>10</v>
      </c>
    </row>
    <row r="128" spans="1:7" x14ac:dyDescent="0.2">
      <c r="A128" t="s">
        <v>94</v>
      </c>
      <c r="B128" t="s">
        <v>44</v>
      </c>
      <c r="C128" t="s">
        <v>81</v>
      </c>
      <c r="D128" s="2">
        <v>132416.72600005756</v>
      </c>
      <c r="E128" s="2">
        <v>212700.68453824724</v>
      </c>
      <c r="F128" s="200">
        <f t="shared" si="4"/>
        <v>2019</v>
      </c>
      <c r="G128" s="200">
        <f t="shared" si="5"/>
        <v>10</v>
      </c>
    </row>
    <row r="129" spans="1:7" x14ac:dyDescent="0.2">
      <c r="A129" t="s">
        <v>96</v>
      </c>
      <c r="B129" t="s">
        <v>44</v>
      </c>
      <c r="C129" t="s">
        <v>81</v>
      </c>
      <c r="D129" s="2">
        <v>379529.34917349194</v>
      </c>
      <c r="E129" s="2">
        <v>633172.49457973382</v>
      </c>
      <c r="F129" s="200">
        <f t="shared" si="4"/>
        <v>2019</v>
      </c>
      <c r="G129" s="200">
        <f t="shared" si="5"/>
        <v>10</v>
      </c>
    </row>
    <row r="130" spans="1:7" x14ac:dyDescent="0.2">
      <c r="A130" t="s">
        <v>93</v>
      </c>
      <c r="B130" t="s">
        <v>78</v>
      </c>
      <c r="C130" t="s">
        <v>81</v>
      </c>
      <c r="D130" s="2">
        <v>321791.1847934589</v>
      </c>
      <c r="E130" s="2">
        <v>0</v>
      </c>
      <c r="F130" s="200">
        <f t="shared" si="4"/>
        <v>2020</v>
      </c>
      <c r="G130" s="200">
        <f t="shared" ref="G130:G145" si="6">MONTH(DATEVALUE(LEFT(B130,3)&amp;"1"))</f>
        <v>10</v>
      </c>
    </row>
    <row r="131" spans="1:7" x14ac:dyDescent="0.2">
      <c r="A131" t="s">
        <v>95</v>
      </c>
      <c r="B131" t="s">
        <v>78</v>
      </c>
      <c r="C131" t="s">
        <v>81</v>
      </c>
      <c r="D131" s="2">
        <v>2301332.7116824328</v>
      </c>
      <c r="E131" s="2">
        <v>0</v>
      </c>
      <c r="F131" s="200">
        <f t="shared" ref="F131:F145" si="7">YEAR(B131)</f>
        <v>2020</v>
      </c>
      <c r="G131" s="200">
        <f t="shared" si="6"/>
        <v>10</v>
      </c>
    </row>
    <row r="132" spans="1:7" x14ac:dyDescent="0.2">
      <c r="A132" t="s">
        <v>94</v>
      </c>
      <c r="B132" t="s">
        <v>78</v>
      </c>
      <c r="C132" t="s">
        <v>81</v>
      </c>
      <c r="D132" s="2">
        <v>523947.91897377273</v>
      </c>
      <c r="E132" s="2">
        <v>0</v>
      </c>
      <c r="F132" s="200">
        <f t="shared" si="7"/>
        <v>2020</v>
      </c>
      <c r="G132" s="200">
        <f t="shared" si="6"/>
        <v>10</v>
      </c>
    </row>
    <row r="133" spans="1:7" x14ac:dyDescent="0.2">
      <c r="A133" t="s">
        <v>96</v>
      </c>
      <c r="B133" t="s">
        <v>78</v>
      </c>
      <c r="C133" t="s">
        <v>81</v>
      </c>
      <c r="D133" s="2">
        <v>500857.48607929307</v>
      </c>
      <c r="E133" s="2">
        <v>0</v>
      </c>
      <c r="F133" s="200">
        <f t="shared" si="7"/>
        <v>2020</v>
      </c>
      <c r="G133" s="200">
        <f t="shared" si="6"/>
        <v>10</v>
      </c>
    </row>
    <row r="134" spans="1:7" x14ac:dyDescent="0.2">
      <c r="A134" t="s">
        <v>93</v>
      </c>
      <c r="B134" t="s">
        <v>65</v>
      </c>
      <c r="C134" t="s">
        <v>81</v>
      </c>
      <c r="D134" s="2">
        <v>0</v>
      </c>
      <c r="E134" s="2">
        <v>227502.72576</v>
      </c>
      <c r="F134" s="200">
        <f t="shared" si="7"/>
        <v>2018</v>
      </c>
      <c r="G134" s="200">
        <f t="shared" si="6"/>
        <v>9</v>
      </c>
    </row>
    <row r="135" spans="1:7" x14ac:dyDescent="0.2">
      <c r="A135" t="s">
        <v>95</v>
      </c>
      <c r="B135" t="s">
        <v>65</v>
      </c>
      <c r="C135" t="s">
        <v>81</v>
      </c>
      <c r="D135" s="2">
        <v>1436998.2440070002</v>
      </c>
      <c r="E135" s="2">
        <v>1674938.810178</v>
      </c>
      <c r="F135" s="200">
        <f t="shared" si="7"/>
        <v>2018</v>
      </c>
      <c r="G135" s="200">
        <f t="shared" si="6"/>
        <v>9</v>
      </c>
    </row>
    <row r="136" spans="1:7" x14ac:dyDescent="0.2">
      <c r="A136" t="s">
        <v>94</v>
      </c>
      <c r="B136" t="s">
        <v>65</v>
      </c>
      <c r="C136" t="s">
        <v>81</v>
      </c>
      <c r="D136" s="2">
        <v>0</v>
      </c>
      <c r="E136" s="2">
        <v>50288.517924</v>
      </c>
      <c r="F136" s="200">
        <f t="shared" si="7"/>
        <v>2018</v>
      </c>
      <c r="G136" s="200">
        <f t="shared" si="6"/>
        <v>9</v>
      </c>
    </row>
    <row r="137" spans="1:7" x14ac:dyDescent="0.2">
      <c r="A137" t="s">
        <v>96</v>
      </c>
      <c r="B137" t="s">
        <v>65</v>
      </c>
      <c r="C137" t="s">
        <v>81</v>
      </c>
      <c r="D137" s="2">
        <v>319376.109879</v>
      </c>
      <c r="E137" s="2">
        <v>541344.75562200008</v>
      </c>
      <c r="F137" s="200">
        <f t="shared" si="7"/>
        <v>2018</v>
      </c>
      <c r="G137" s="200">
        <f t="shared" si="6"/>
        <v>9</v>
      </c>
    </row>
    <row r="138" spans="1:7" x14ac:dyDescent="0.2">
      <c r="A138" t="s">
        <v>93</v>
      </c>
      <c r="B138" t="s">
        <v>43</v>
      </c>
      <c r="C138" t="s">
        <v>81</v>
      </c>
      <c r="D138" s="2">
        <v>290691.92278441746</v>
      </c>
      <c r="E138" s="2">
        <v>331060.42609420029</v>
      </c>
      <c r="F138" s="200">
        <f t="shared" si="7"/>
        <v>2019</v>
      </c>
      <c r="G138" s="200">
        <f t="shared" si="6"/>
        <v>9</v>
      </c>
    </row>
    <row r="139" spans="1:7" x14ac:dyDescent="0.2">
      <c r="A139" t="s">
        <v>95</v>
      </c>
      <c r="B139" t="s">
        <v>43</v>
      </c>
      <c r="C139" t="s">
        <v>81</v>
      </c>
      <c r="D139" s="2">
        <v>1851913.2238326708</v>
      </c>
      <c r="E139" s="2">
        <v>1950435.1278270097</v>
      </c>
      <c r="F139" s="200">
        <f t="shared" si="7"/>
        <v>2019</v>
      </c>
      <c r="G139" s="200">
        <f t="shared" si="6"/>
        <v>9</v>
      </c>
    </row>
    <row r="140" spans="1:7" x14ac:dyDescent="0.2">
      <c r="A140" t="s">
        <v>94</v>
      </c>
      <c r="B140" t="s">
        <v>43</v>
      </c>
      <c r="C140" t="s">
        <v>81</v>
      </c>
      <c r="D140" s="2">
        <v>142093.33290025912</v>
      </c>
      <c r="E140" s="2">
        <v>171632.5823685728</v>
      </c>
      <c r="F140" s="200">
        <f t="shared" si="7"/>
        <v>2019</v>
      </c>
      <c r="G140" s="200">
        <f t="shared" si="6"/>
        <v>9</v>
      </c>
    </row>
    <row r="141" spans="1:7" x14ac:dyDescent="0.2">
      <c r="A141" t="s">
        <v>96</v>
      </c>
      <c r="B141" t="s">
        <v>43</v>
      </c>
      <c r="C141" t="s">
        <v>81</v>
      </c>
      <c r="D141" s="2">
        <v>406005.5439128108</v>
      </c>
      <c r="E141" s="2">
        <v>424094.41453268973</v>
      </c>
      <c r="F141" s="200">
        <f t="shared" si="7"/>
        <v>2019</v>
      </c>
      <c r="G141" s="200">
        <f t="shared" si="6"/>
        <v>9</v>
      </c>
    </row>
    <row r="142" spans="1:7" x14ac:dyDescent="0.2">
      <c r="A142" t="s">
        <v>93</v>
      </c>
      <c r="B142" t="s">
        <v>77</v>
      </c>
      <c r="C142" t="s">
        <v>81</v>
      </c>
      <c r="D142" s="2">
        <v>316451.14682598162</v>
      </c>
      <c r="E142" s="2">
        <v>0</v>
      </c>
      <c r="F142" s="200">
        <f t="shared" si="7"/>
        <v>2020</v>
      </c>
      <c r="G142" s="200">
        <f t="shared" si="6"/>
        <v>9</v>
      </c>
    </row>
    <row r="143" spans="1:7" x14ac:dyDescent="0.2">
      <c r="A143" t="s">
        <v>95</v>
      </c>
      <c r="B143" t="s">
        <v>77</v>
      </c>
      <c r="C143" t="s">
        <v>81</v>
      </c>
      <c r="D143" s="2">
        <v>2108243.1813156572</v>
      </c>
      <c r="E143" s="2">
        <v>0</v>
      </c>
      <c r="F143" s="200">
        <f t="shared" si="7"/>
        <v>2020</v>
      </c>
      <c r="G143" s="200">
        <f t="shared" si="6"/>
        <v>9</v>
      </c>
    </row>
    <row r="144" spans="1:7" x14ac:dyDescent="0.2">
      <c r="A144" t="s">
        <v>94</v>
      </c>
      <c r="B144" t="s">
        <v>77</v>
      </c>
      <c r="C144" t="s">
        <v>81</v>
      </c>
      <c r="D144" s="2">
        <v>483500.73124126293</v>
      </c>
      <c r="E144" s="2">
        <v>0</v>
      </c>
      <c r="F144" s="200">
        <f t="shared" si="7"/>
        <v>2020</v>
      </c>
      <c r="G144" s="200">
        <f t="shared" si="6"/>
        <v>9</v>
      </c>
    </row>
    <row r="145" spans="1:7" x14ac:dyDescent="0.2">
      <c r="A145" t="s">
        <v>96</v>
      </c>
      <c r="B145" t="s">
        <v>77</v>
      </c>
      <c r="C145" t="s">
        <v>81</v>
      </c>
      <c r="D145" s="2">
        <v>456199.9366006644</v>
      </c>
      <c r="E145" s="2">
        <v>0</v>
      </c>
      <c r="F145" s="200">
        <f t="shared" si="7"/>
        <v>2020</v>
      </c>
      <c r="G145" s="200">
        <f t="shared" si="6"/>
        <v>9</v>
      </c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</sheetData>
  <autoFilter ref="A1:E145" xr:uid="{17868622-D261-467F-9B5C-D971DF5967FC}"/>
  <pageMargins left="0.7" right="0.7" top="0.75" bottom="0.75" header="0.3" footer="0.3"/>
  <customProperties>
    <customPr name="_pios_id" r:id="rId1"/>
    <customPr name="FPMExcelClientCellBasedFunctionStatus" r:id="rId2"/>
    <customPr name="FPMExcelClientRefreshTime" r:id="rId3"/>
  </customProperties>
  <drawing r:id="rId4"/>
  <legacyDrawing r:id="rId5"/>
  <controls>
    <mc:AlternateContent xmlns:mc="http://schemas.openxmlformats.org/markup-compatibility/2006">
      <mc:Choice Requires="x14">
        <control shapeId="558084" r:id="rId6" name="AnalyzerDynReport000tb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1228725</xdr:colOff>
                <xdr:row>0</xdr:row>
                <xdr:rowOff>0</xdr:rowOff>
              </to>
            </anchor>
          </controlPr>
        </control>
      </mc:Choice>
      <mc:Fallback>
        <control shapeId="558084" r:id="rId6" name="AnalyzerDynReport000tb1"/>
      </mc:Fallback>
    </mc:AlternateContent>
    <mc:AlternateContent xmlns:mc="http://schemas.openxmlformats.org/markup-compatibility/2006">
      <mc:Choice Requires="x14">
        <control shapeId="558083" r:id="rId8" name="MultipleReportManagerInfotb1">
          <controlPr defaultSize="0" autoLine="0" autoPict="0" r:id="rId9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1228725</xdr:colOff>
                <xdr:row>0</xdr:row>
                <xdr:rowOff>0</xdr:rowOff>
              </to>
            </anchor>
          </controlPr>
        </control>
      </mc:Choice>
      <mc:Fallback>
        <control shapeId="558083" r:id="rId8" name="MultipleReportManagerInfotb1"/>
      </mc:Fallback>
    </mc:AlternateContent>
    <mc:AlternateContent xmlns:mc="http://schemas.openxmlformats.org/markup-compatibility/2006">
      <mc:Choice Requires="x14">
        <control shapeId="558082" r:id="rId10" name="ConnectionDescriptorsInfotb1">
          <controlPr defaultSize="0" autoLine="0" autoPict="0" r:id="rId11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1228725</xdr:colOff>
                <xdr:row>0</xdr:row>
                <xdr:rowOff>0</xdr:rowOff>
              </to>
            </anchor>
          </controlPr>
        </control>
      </mc:Choice>
      <mc:Fallback>
        <control shapeId="558082" r:id="rId10" name="ConnectionDescriptorsInfotb1"/>
      </mc:Fallback>
    </mc:AlternateContent>
    <mc:AlternateContent xmlns:mc="http://schemas.openxmlformats.org/markup-compatibility/2006">
      <mc:Choice Requires="x14">
        <control shapeId="558081" r:id="rId12" name="FPMExcelClientSheetOptionstb1">
          <controlPr defaultSize="0" autoLine="0" autoPict="0" r:id="rId13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1228725</xdr:colOff>
                <xdr:row>0</xdr:row>
                <xdr:rowOff>0</xdr:rowOff>
              </to>
            </anchor>
          </controlPr>
        </control>
      </mc:Choice>
      <mc:Fallback>
        <control shapeId="558081" r:id="rId12" name="FPMExcelClientSheetOptionstb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74E48-0228-4F6A-8492-03904940AC22}">
  <sheetPr codeName="Sheet9">
    <tabColor rgb="FF8FCFAD"/>
  </sheetPr>
  <dimension ref="A1:E1153"/>
  <sheetViews>
    <sheetView showGridLines="0" workbookViewId="0">
      <selection activeCell="B1" sqref="B1"/>
    </sheetView>
  </sheetViews>
  <sheetFormatPr defaultRowHeight="12.75" x14ac:dyDescent="0.2"/>
  <cols>
    <col min="1" max="1" width="11.28515625" bestFit="1" customWidth="1"/>
    <col min="2" max="2" width="19.140625" customWidth="1"/>
  </cols>
  <sheetData>
    <row r="1" spans="1:5" x14ac:dyDescent="0.2">
      <c r="A1" s="5" t="s">
        <v>123</v>
      </c>
      <c r="B1" s="5" t="s">
        <v>55</v>
      </c>
      <c r="C1" s="5" t="s">
        <v>56</v>
      </c>
      <c r="D1" s="5" t="str">
        <f>Mapping!B3</f>
        <v>Budget</v>
      </c>
      <c r="E1" s="5" t="str">
        <f>Mapping!B2</f>
        <v>Actual</v>
      </c>
    </row>
    <row r="2" spans="1:5" x14ac:dyDescent="0.2">
      <c r="A2" t="s">
        <v>93</v>
      </c>
      <c r="B2" t="s">
        <v>60</v>
      </c>
      <c r="C2" t="s">
        <v>81</v>
      </c>
      <c r="D2" s="2">
        <v>0</v>
      </c>
      <c r="E2" s="2">
        <v>0</v>
      </c>
    </row>
    <row r="3" spans="1:5" x14ac:dyDescent="0.2">
      <c r="A3" t="s">
        <v>93</v>
      </c>
      <c r="B3" t="s">
        <v>60</v>
      </c>
      <c r="C3" t="s">
        <v>81</v>
      </c>
      <c r="D3" s="2">
        <v>0</v>
      </c>
      <c r="E3" s="2">
        <v>0</v>
      </c>
    </row>
    <row r="4" spans="1:5" x14ac:dyDescent="0.2">
      <c r="A4" t="s">
        <v>93</v>
      </c>
      <c r="B4" t="s">
        <v>60</v>
      </c>
      <c r="C4" t="s">
        <v>81</v>
      </c>
      <c r="D4" s="2">
        <v>0</v>
      </c>
      <c r="E4" s="2">
        <v>46</v>
      </c>
    </row>
    <row r="5" spans="1:5" x14ac:dyDescent="0.2">
      <c r="A5" t="s">
        <v>93</v>
      </c>
      <c r="B5" t="s">
        <v>60</v>
      </c>
      <c r="C5" t="s">
        <v>81</v>
      </c>
      <c r="D5" s="2">
        <v>0</v>
      </c>
      <c r="E5" s="2">
        <v>12</v>
      </c>
    </row>
    <row r="6" spans="1:5" x14ac:dyDescent="0.2">
      <c r="A6" t="s">
        <v>95</v>
      </c>
      <c r="B6" t="s">
        <v>60</v>
      </c>
      <c r="C6" t="s">
        <v>81</v>
      </c>
      <c r="D6" s="2">
        <v>0</v>
      </c>
      <c r="E6" s="2">
        <v>0</v>
      </c>
    </row>
    <row r="7" spans="1:5" x14ac:dyDescent="0.2">
      <c r="A7" t="s">
        <v>95</v>
      </c>
      <c r="B7" t="s">
        <v>60</v>
      </c>
      <c r="C7" t="s">
        <v>81</v>
      </c>
      <c r="D7" s="2">
        <v>0</v>
      </c>
      <c r="E7" s="2">
        <v>0</v>
      </c>
    </row>
    <row r="8" spans="1:5" x14ac:dyDescent="0.2">
      <c r="A8" t="s">
        <v>95</v>
      </c>
      <c r="B8" t="s">
        <v>60</v>
      </c>
      <c r="C8" t="s">
        <v>81</v>
      </c>
      <c r="D8" s="2">
        <v>0</v>
      </c>
      <c r="E8" s="2">
        <v>0</v>
      </c>
    </row>
    <row r="9" spans="1:5" x14ac:dyDescent="0.2">
      <c r="A9" t="s">
        <v>95</v>
      </c>
      <c r="B9" t="s">
        <v>60</v>
      </c>
      <c r="C9" t="s">
        <v>81</v>
      </c>
      <c r="D9" s="2">
        <v>0</v>
      </c>
      <c r="E9" s="2">
        <v>0</v>
      </c>
    </row>
    <row r="10" spans="1:5" x14ac:dyDescent="0.2">
      <c r="A10" t="s">
        <v>95</v>
      </c>
      <c r="B10" t="s">
        <v>60</v>
      </c>
      <c r="C10" t="s">
        <v>81</v>
      </c>
      <c r="D10" s="2">
        <v>0</v>
      </c>
      <c r="E10" s="2">
        <v>0</v>
      </c>
    </row>
    <row r="11" spans="1:5" x14ac:dyDescent="0.2">
      <c r="A11" t="s">
        <v>95</v>
      </c>
      <c r="B11" t="s">
        <v>60</v>
      </c>
      <c r="C11" t="s">
        <v>81</v>
      </c>
      <c r="D11" s="2">
        <v>0</v>
      </c>
      <c r="E11" s="2">
        <v>0</v>
      </c>
    </row>
    <row r="12" spans="1:5" x14ac:dyDescent="0.2">
      <c r="A12" t="s">
        <v>95</v>
      </c>
      <c r="B12" t="s">
        <v>60</v>
      </c>
      <c r="C12" t="s">
        <v>81</v>
      </c>
      <c r="D12" s="2">
        <v>0</v>
      </c>
      <c r="E12" s="2">
        <v>198</v>
      </c>
    </row>
    <row r="13" spans="1:5" x14ac:dyDescent="0.2">
      <c r="A13" t="s">
        <v>95</v>
      </c>
      <c r="B13" t="s">
        <v>60</v>
      </c>
      <c r="C13" t="s">
        <v>81</v>
      </c>
      <c r="D13" s="2">
        <v>0</v>
      </c>
      <c r="E13" s="2">
        <v>300</v>
      </c>
    </row>
    <row r="14" spans="1:5" x14ac:dyDescent="0.2">
      <c r="A14" t="s">
        <v>95</v>
      </c>
      <c r="B14" t="s">
        <v>60</v>
      </c>
      <c r="C14" t="s">
        <v>81</v>
      </c>
      <c r="D14" s="2">
        <v>0</v>
      </c>
      <c r="E14" s="2">
        <v>0</v>
      </c>
    </row>
    <row r="15" spans="1:5" x14ac:dyDescent="0.2">
      <c r="A15" t="s">
        <v>95</v>
      </c>
      <c r="B15" t="s">
        <v>60</v>
      </c>
      <c r="C15" t="s">
        <v>81</v>
      </c>
      <c r="D15" s="2">
        <v>0</v>
      </c>
      <c r="E15" s="2">
        <v>292</v>
      </c>
    </row>
    <row r="16" spans="1:5" x14ac:dyDescent="0.2">
      <c r="A16" t="s">
        <v>95</v>
      </c>
      <c r="B16" t="s">
        <v>60</v>
      </c>
      <c r="C16" t="s">
        <v>81</v>
      </c>
      <c r="D16" s="2">
        <v>0</v>
      </c>
      <c r="E16" s="2">
        <v>0</v>
      </c>
    </row>
    <row r="17" spans="1:5" x14ac:dyDescent="0.2">
      <c r="A17" t="s">
        <v>95</v>
      </c>
      <c r="B17" t="s">
        <v>60</v>
      </c>
      <c r="C17" t="s">
        <v>81</v>
      </c>
      <c r="D17" s="2">
        <v>0</v>
      </c>
      <c r="E17" s="2">
        <v>0</v>
      </c>
    </row>
    <row r="18" spans="1:5" x14ac:dyDescent="0.2">
      <c r="A18" t="s">
        <v>95</v>
      </c>
      <c r="B18" t="s">
        <v>60</v>
      </c>
      <c r="C18" t="s">
        <v>81</v>
      </c>
      <c r="D18" s="2">
        <v>0</v>
      </c>
      <c r="E18" s="2">
        <v>314</v>
      </c>
    </row>
    <row r="19" spans="1:5" x14ac:dyDescent="0.2">
      <c r="A19" t="s">
        <v>95</v>
      </c>
      <c r="B19" t="s">
        <v>60</v>
      </c>
      <c r="C19" t="s">
        <v>81</v>
      </c>
      <c r="D19" s="2">
        <v>0</v>
      </c>
      <c r="E19" s="2">
        <v>0</v>
      </c>
    </row>
    <row r="20" spans="1:5" x14ac:dyDescent="0.2">
      <c r="A20" t="s">
        <v>94</v>
      </c>
      <c r="B20" t="s">
        <v>60</v>
      </c>
      <c r="C20" t="s">
        <v>81</v>
      </c>
      <c r="D20" s="2">
        <v>0</v>
      </c>
      <c r="E20" s="2">
        <v>0</v>
      </c>
    </row>
    <row r="21" spans="1:5" x14ac:dyDescent="0.2">
      <c r="A21" t="s">
        <v>94</v>
      </c>
      <c r="B21" t="s">
        <v>60</v>
      </c>
      <c r="C21" t="s">
        <v>81</v>
      </c>
      <c r="D21" s="2">
        <v>0</v>
      </c>
      <c r="E21" s="2">
        <v>0</v>
      </c>
    </row>
    <row r="22" spans="1:5" x14ac:dyDescent="0.2">
      <c r="A22" t="s">
        <v>94</v>
      </c>
      <c r="B22" t="s">
        <v>60</v>
      </c>
      <c r="C22" t="s">
        <v>81</v>
      </c>
      <c r="D22" s="2">
        <v>0</v>
      </c>
      <c r="E22" s="2">
        <v>0</v>
      </c>
    </row>
    <row r="23" spans="1:5" x14ac:dyDescent="0.2">
      <c r="A23" t="s">
        <v>94</v>
      </c>
      <c r="B23" t="s">
        <v>60</v>
      </c>
      <c r="C23" t="s">
        <v>81</v>
      </c>
      <c r="D23" s="2">
        <v>0</v>
      </c>
      <c r="E23" s="2">
        <v>32</v>
      </c>
    </row>
    <row r="24" spans="1:5" x14ac:dyDescent="0.2">
      <c r="A24" t="s">
        <v>94</v>
      </c>
      <c r="B24" t="s">
        <v>60</v>
      </c>
      <c r="C24" t="s">
        <v>81</v>
      </c>
      <c r="D24" s="2">
        <v>0</v>
      </c>
      <c r="E24" s="2">
        <v>0</v>
      </c>
    </row>
    <row r="25" spans="1:5" x14ac:dyDescent="0.2">
      <c r="A25" t="s">
        <v>94</v>
      </c>
      <c r="B25" t="s">
        <v>60</v>
      </c>
      <c r="C25" t="s">
        <v>81</v>
      </c>
      <c r="D25" s="2">
        <v>0</v>
      </c>
      <c r="E25" s="2">
        <v>12</v>
      </c>
    </row>
    <row r="26" spans="1:5" x14ac:dyDescent="0.2">
      <c r="A26" t="s">
        <v>94</v>
      </c>
      <c r="B26" t="s">
        <v>60</v>
      </c>
      <c r="C26" t="s">
        <v>81</v>
      </c>
      <c r="D26" s="2">
        <v>0</v>
      </c>
      <c r="E26" s="2">
        <v>0</v>
      </c>
    </row>
    <row r="27" spans="1:5" x14ac:dyDescent="0.2">
      <c r="A27" t="s">
        <v>96</v>
      </c>
      <c r="B27" t="s">
        <v>60</v>
      </c>
      <c r="C27" t="s">
        <v>81</v>
      </c>
      <c r="D27" s="2">
        <v>0</v>
      </c>
      <c r="E27" s="2">
        <v>170</v>
      </c>
    </row>
    <row r="28" spans="1:5" x14ac:dyDescent="0.2">
      <c r="A28" t="s">
        <v>96</v>
      </c>
      <c r="B28" t="s">
        <v>60</v>
      </c>
      <c r="C28" t="s">
        <v>81</v>
      </c>
      <c r="D28" s="2">
        <v>0</v>
      </c>
      <c r="E28" s="2">
        <v>90</v>
      </c>
    </row>
    <row r="29" spans="1:5" x14ac:dyDescent="0.2">
      <c r="A29" t="s">
        <v>96</v>
      </c>
      <c r="B29" t="s">
        <v>60</v>
      </c>
      <c r="C29" t="s">
        <v>81</v>
      </c>
      <c r="D29" s="2">
        <v>0</v>
      </c>
      <c r="E29" s="2">
        <v>0</v>
      </c>
    </row>
    <row r="30" spans="1:5" x14ac:dyDescent="0.2">
      <c r="A30" t="s">
        <v>96</v>
      </c>
      <c r="B30" t="s">
        <v>60</v>
      </c>
      <c r="C30" t="s">
        <v>81</v>
      </c>
      <c r="D30" s="2">
        <v>0</v>
      </c>
      <c r="E30" s="2">
        <v>8</v>
      </c>
    </row>
    <row r="31" spans="1:5" x14ac:dyDescent="0.2">
      <c r="A31" t="s">
        <v>96</v>
      </c>
      <c r="B31" t="s">
        <v>60</v>
      </c>
      <c r="C31" t="s">
        <v>81</v>
      </c>
      <c r="D31" s="2">
        <v>0</v>
      </c>
      <c r="E31" s="2">
        <v>0</v>
      </c>
    </row>
    <row r="32" spans="1:5" x14ac:dyDescent="0.2">
      <c r="A32" t="s">
        <v>96</v>
      </c>
      <c r="B32" t="s">
        <v>60</v>
      </c>
      <c r="C32" t="s">
        <v>81</v>
      </c>
      <c r="D32" s="2">
        <v>0</v>
      </c>
      <c r="E32" s="2">
        <v>0</v>
      </c>
    </row>
    <row r="33" spans="1:5" x14ac:dyDescent="0.2">
      <c r="A33" t="s">
        <v>96</v>
      </c>
      <c r="B33" t="s">
        <v>60</v>
      </c>
      <c r="C33" t="s">
        <v>81</v>
      </c>
      <c r="D33" s="2">
        <v>0</v>
      </c>
      <c r="E33" s="2">
        <v>0</v>
      </c>
    </row>
    <row r="34" spans="1:5" x14ac:dyDescent="0.2">
      <c r="A34" t="s">
        <v>93</v>
      </c>
      <c r="B34" t="s">
        <v>38</v>
      </c>
      <c r="C34" t="s">
        <v>81</v>
      </c>
      <c r="D34" s="2">
        <v>0</v>
      </c>
      <c r="E34" s="2">
        <v>0</v>
      </c>
    </row>
    <row r="35" spans="1:5" x14ac:dyDescent="0.2">
      <c r="A35" t="s">
        <v>93</v>
      </c>
      <c r="B35" t="s">
        <v>38</v>
      </c>
      <c r="C35" t="s">
        <v>81</v>
      </c>
      <c r="D35" s="2">
        <v>0</v>
      </c>
      <c r="E35" s="2">
        <v>0</v>
      </c>
    </row>
    <row r="36" spans="1:5" x14ac:dyDescent="0.2">
      <c r="A36" t="s">
        <v>93</v>
      </c>
      <c r="B36" t="s">
        <v>38</v>
      </c>
      <c r="C36" t="s">
        <v>81</v>
      </c>
      <c r="D36" s="2">
        <v>50.2220522</v>
      </c>
      <c r="E36" s="2">
        <v>60</v>
      </c>
    </row>
    <row r="37" spans="1:5" x14ac:dyDescent="0.2">
      <c r="A37" t="s">
        <v>93</v>
      </c>
      <c r="B37" t="s">
        <v>38</v>
      </c>
      <c r="C37" t="s">
        <v>81</v>
      </c>
      <c r="D37" s="2">
        <v>27.503734999999999</v>
      </c>
      <c r="E37" s="2">
        <v>16</v>
      </c>
    </row>
    <row r="38" spans="1:5" x14ac:dyDescent="0.2">
      <c r="A38" t="s">
        <v>95</v>
      </c>
      <c r="B38" t="s">
        <v>38</v>
      </c>
      <c r="C38" t="s">
        <v>81</v>
      </c>
      <c r="D38" s="2">
        <v>0</v>
      </c>
      <c r="E38" s="2">
        <v>0</v>
      </c>
    </row>
    <row r="39" spans="1:5" x14ac:dyDescent="0.2">
      <c r="A39" t="s">
        <v>95</v>
      </c>
      <c r="B39" t="s">
        <v>38</v>
      </c>
      <c r="C39" t="s">
        <v>81</v>
      </c>
      <c r="D39" s="2">
        <v>0</v>
      </c>
      <c r="E39" s="2">
        <v>0</v>
      </c>
    </row>
    <row r="40" spans="1:5" x14ac:dyDescent="0.2">
      <c r="A40" t="s">
        <v>95</v>
      </c>
      <c r="B40" t="s">
        <v>38</v>
      </c>
      <c r="C40" t="s">
        <v>81</v>
      </c>
      <c r="D40" s="2">
        <v>0</v>
      </c>
      <c r="E40" s="2">
        <v>0</v>
      </c>
    </row>
    <row r="41" spans="1:5" x14ac:dyDescent="0.2">
      <c r="A41" t="s">
        <v>95</v>
      </c>
      <c r="B41" t="s">
        <v>38</v>
      </c>
      <c r="C41" t="s">
        <v>81</v>
      </c>
      <c r="D41" s="2">
        <v>0</v>
      </c>
      <c r="E41" s="2">
        <v>0</v>
      </c>
    </row>
    <row r="42" spans="1:5" x14ac:dyDescent="0.2">
      <c r="A42" t="s">
        <v>95</v>
      </c>
      <c r="B42" t="s">
        <v>38</v>
      </c>
      <c r="C42" t="s">
        <v>81</v>
      </c>
      <c r="D42" s="2">
        <v>0</v>
      </c>
      <c r="E42" s="2">
        <v>0</v>
      </c>
    </row>
    <row r="43" spans="1:5" x14ac:dyDescent="0.2">
      <c r="A43" t="s">
        <v>95</v>
      </c>
      <c r="B43" t="s">
        <v>38</v>
      </c>
      <c r="C43" t="s">
        <v>81</v>
      </c>
      <c r="D43" s="2">
        <v>0</v>
      </c>
      <c r="E43" s="2">
        <v>0</v>
      </c>
    </row>
    <row r="44" spans="1:5" x14ac:dyDescent="0.2">
      <c r="A44" t="s">
        <v>95</v>
      </c>
      <c r="B44" t="s">
        <v>38</v>
      </c>
      <c r="C44" t="s">
        <v>81</v>
      </c>
      <c r="D44" s="2">
        <v>204.83180540000001</v>
      </c>
      <c r="E44" s="2">
        <v>280</v>
      </c>
    </row>
    <row r="45" spans="1:5" x14ac:dyDescent="0.2">
      <c r="A45" t="s">
        <v>95</v>
      </c>
      <c r="B45" t="s">
        <v>38</v>
      </c>
      <c r="C45" t="s">
        <v>81</v>
      </c>
      <c r="D45" s="2">
        <v>282.73556780000001</v>
      </c>
      <c r="E45" s="2">
        <v>338</v>
      </c>
    </row>
    <row r="46" spans="1:5" x14ac:dyDescent="0.2">
      <c r="A46" t="s">
        <v>95</v>
      </c>
      <c r="B46" t="s">
        <v>38</v>
      </c>
      <c r="C46" t="s">
        <v>81</v>
      </c>
      <c r="D46" s="2">
        <v>0</v>
      </c>
      <c r="E46" s="2">
        <v>0</v>
      </c>
    </row>
    <row r="47" spans="1:5" x14ac:dyDescent="0.2">
      <c r="A47" t="s">
        <v>95</v>
      </c>
      <c r="B47" t="s">
        <v>38</v>
      </c>
      <c r="C47" t="s">
        <v>81</v>
      </c>
      <c r="D47" s="2">
        <v>566.1364006</v>
      </c>
      <c r="E47" s="2">
        <v>394</v>
      </c>
    </row>
    <row r="48" spans="1:5" x14ac:dyDescent="0.2">
      <c r="A48" t="s">
        <v>95</v>
      </c>
      <c r="B48" t="s">
        <v>38</v>
      </c>
      <c r="C48" t="s">
        <v>81</v>
      </c>
      <c r="D48" s="2">
        <v>0</v>
      </c>
      <c r="E48" s="2">
        <v>0</v>
      </c>
    </row>
    <row r="49" spans="1:5" x14ac:dyDescent="0.2">
      <c r="A49" t="s">
        <v>95</v>
      </c>
      <c r="B49" t="s">
        <v>38</v>
      </c>
      <c r="C49" t="s">
        <v>81</v>
      </c>
      <c r="D49" s="2">
        <v>0</v>
      </c>
      <c r="E49" s="2">
        <v>0</v>
      </c>
    </row>
    <row r="50" spans="1:5" x14ac:dyDescent="0.2">
      <c r="A50" t="s">
        <v>95</v>
      </c>
      <c r="B50" t="s">
        <v>38</v>
      </c>
      <c r="C50" t="s">
        <v>81</v>
      </c>
      <c r="D50" s="2">
        <v>302.57237359999999</v>
      </c>
      <c r="E50" s="2">
        <v>570</v>
      </c>
    </row>
    <row r="51" spans="1:5" x14ac:dyDescent="0.2">
      <c r="A51" t="s">
        <v>95</v>
      </c>
      <c r="B51" t="s">
        <v>38</v>
      </c>
      <c r="C51" t="s">
        <v>81</v>
      </c>
      <c r="D51" s="2">
        <v>0</v>
      </c>
      <c r="E51" s="2">
        <v>0</v>
      </c>
    </row>
    <row r="52" spans="1:5" x14ac:dyDescent="0.2">
      <c r="A52" t="s">
        <v>94</v>
      </c>
      <c r="B52" t="s">
        <v>38</v>
      </c>
      <c r="C52" t="s">
        <v>81</v>
      </c>
      <c r="D52" s="2">
        <v>0</v>
      </c>
      <c r="E52" s="2">
        <v>0</v>
      </c>
    </row>
    <row r="53" spans="1:5" x14ac:dyDescent="0.2">
      <c r="A53" t="s">
        <v>94</v>
      </c>
      <c r="B53" t="s">
        <v>38</v>
      </c>
      <c r="C53" t="s">
        <v>81</v>
      </c>
      <c r="D53" s="2">
        <v>0</v>
      </c>
      <c r="E53" s="2">
        <v>0</v>
      </c>
    </row>
    <row r="54" spans="1:5" x14ac:dyDescent="0.2">
      <c r="A54" t="s">
        <v>94</v>
      </c>
      <c r="B54" t="s">
        <v>38</v>
      </c>
      <c r="C54" t="s">
        <v>81</v>
      </c>
      <c r="D54" s="2">
        <v>0</v>
      </c>
      <c r="E54" s="2">
        <v>0</v>
      </c>
    </row>
    <row r="55" spans="1:5" x14ac:dyDescent="0.2">
      <c r="A55" t="s">
        <v>94</v>
      </c>
      <c r="B55" t="s">
        <v>38</v>
      </c>
      <c r="C55" t="s">
        <v>81</v>
      </c>
      <c r="D55" s="2">
        <v>75.1270284</v>
      </c>
      <c r="E55" s="2">
        <v>66</v>
      </c>
    </row>
    <row r="56" spans="1:5" x14ac:dyDescent="0.2">
      <c r="A56" t="s">
        <v>94</v>
      </c>
      <c r="B56" t="s">
        <v>38</v>
      </c>
      <c r="C56" t="s">
        <v>81</v>
      </c>
      <c r="D56" s="2">
        <v>0</v>
      </c>
      <c r="E56" s="2">
        <v>0</v>
      </c>
    </row>
    <row r="57" spans="1:5" x14ac:dyDescent="0.2">
      <c r="A57" t="s">
        <v>94</v>
      </c>
      <c r="B57" t="s">
        <v>38</v>
      </c>
      <c r="C57" t="s">
        <v>81</v>
      </c>
      <c r="D57" s="2">
        <v>72.309457199999997</v>
      </c>
      <c r="E57" s="2">
        <v>26</v>
      </c>
    </row>
    <row r="58" spans="1:5" x14ac:dyDescent="0.2">
      <c r="A58" t="s">
        <v>94</v>
      </c>
      <c r="B58" t="s">
        <v>38</v>
      </c>
      <c r="C58" t="s">
        <v>81</v>
      </c>
      <c r="D58" s="2">
        <v>0</v>
      </c>
      <c r="E58" s="2">
        <v>0</v>
      </c>
    </row>
    <row r="59" spans="1:5" x14ac:dyDescent="0.2">
      <c r="A59" t="s">
        <v>96</v>
      </c>
      <c r="B59" t="s">
        <v>38</v>
      </c>
      <c r="C59" t="s">
        <v>81</v>
      </c>
      <c r="D59" s="2">
        <v>164.5069364</v>
      </c>
      <c r="E59" s="2">
        <v>254</v>
      </c>
    </row>
    <row r="60" spans="1:5" x14ac:dyDescent="0.2">
      <c r="A60" t="s">
        <v>96</v>
      </c>
      <c r="B60" t="s">
        <v>38</v>
      </c>
      <c r="C60" t="s">
        <v>81</v>
      </c>
      <c r="D60" s="2">
        <v>109.252227</v>
      </c>
      <c r="E60" s="2">
        <v>106</v>
      </c>
    </row>
    <row r="61" spans="1:5" x14ac:dyDescent="0.2">
      <c r="A61" t="s">
        <v>96</v>
      </c>
      <c r="B61" t="s">
        <v>38</v>
      </c>
      <c r="C61" t="s">
        <v>81</v>
      </c>
      <c r="D61" s="2">
        <v>0</v>
      </c>
      <c r="E61" s="2">
        <v>6</v>
      </c>
    </row>
    <row r="62" spans="1:5" x14ac:dyDescent="0.2">
      <c r="A62" t="s">
        <v>96</v>
      </c>
      <c r="B62" t="s">
        <v>38</v>
      </c>
      <c r="C62" t="s">
        <v>81</v>
      </c>
      <c r="D62" s="2">
        <v>75.742202399999996</v>
      </c>
      <c r="E62" s="2">
        <v>40</v>
      </c>
    </row>
    <row r="63" spans="1:5" x14ac:dyDescent="0.2">
      <c r="A63" t="s">
        <v>96</v>
      </c>
      <c r="B63" t="s">
        <v>38</v>
      </c>
      <c r="C63" t="s">
        <v>81</v>
      </c>
      <c r="D63" s="2">
        <v>0</v>
      </c>
      <c r="E63" s="2">
        <v>0</v>
      </c>
    </row>
    <row r="64" spans="1:5" x14ac:dyDescent="0.2">
      <c r="A64" t="s">
        <v>96</v>
      </c>
      <c r="B64" t="s">
        <v>38</v>
      </c>
      <c r="C64" t="s">
        <v>81</v>
      </c>
      <c r="D64" s="2">
        <v>0</v>
      </c>
      <c r="E64" s="2">
        <v>0</v>
      </c>
    </row>
    <row r="65" spans="1:5" x14ac:dyDescent="0.2">
      <c r="A65" t="s">
        <v>96</v>
      </c>
      <c r="B65" t="s">
        <v>38</v>
      </c>
      <c r="C65" t="s">
        <v>81</v>
      </c>
      <c r="D65" s="2">
        <v>0</v>
      </c>
      <c r="E65" s="2">
        <v>0</v>
      </c>
    </row>
    <row r="66" spans="1:5" x14ac:dyDescent="0.2">
      <c r="A66" t="s">
        <v>93</v>
      </c>
      <c r="B66" t="s">
        <v>72</v>
      </c>
      <c r="C66" t="s">
        <v>81</v>
      </c>
      <c r="D66" s="2">
        <v>0</v>
      </c>
      <c r="E66" s="2">
        <v>0</v>
      </c>
    </row>
    <row r="67" spans="1:5" x14ac:dyDescent="0.2">
      <c r="A67" t="s">
        <v>93</v>
      </c>
      <c r="B67" t="s">
        <v>72</v>
      </c>
      <c r="C67" t="s">
        <v>81</v>
      </c>
      <c r="D67" s="2">
        <v>0</v>
      </c>
      <c r="E67" s="2">
        <v>0</v>
      </c>
    </row>
    <row r="68" spans="1:5" x14ac:dyDescent="0.2">
      <c r="A68" t="s">
        <v>93</v>
      </c>
      <c r="B68" t="s">
        <v>72</v>
      </c>
      <c r="C68" t="s">
        <v>81</v>
      </c>
      <c r="D68" s="2">
        <v>56.409815999999999</v>
      </c>
      <c r="E68" s="2">
        <v>64</v>
      </c>
    </row>
    <row r="69" spans="1:5" x14ac:dyDescent="0.2">
      <c r="A69" t="s">
        <v>93</v>
      </c>
      <c r="B69" t="s">
        <v>72</v>
      </c>
      <c r="C69" t="s">
        <v>81</v>
      </c>
      <c r="D69" s="2">
        <v>41.590834800000003</v>
      </c>
      <c r="E69" s="2">
        <v>10</v>
      </c>
    </row>
    <row r="70" spans="1:5" x14ac:dyDescent="0.2">
      <c r="A70" t="s">
        <v>95</v>
      </c>
      <c r="B70" t="s">
        <v>72</v>
      </c>
      <c r="C70" t="s">
        <v>81</v>
      </c>
      <c r="D70" s="2">
        <v>0</v>
      </c>
      <c r="E70" s="2">
        <v>0</v>
      </c>
    </row>
    <row r="71" spans="1:5" x14ac:dyDescent="0.2">
      <c r="A71" t="s">
        <v>95</v>
      </c>
      <c r="B71" t="s">
        <v>72</v>
      </c>
      <c r="C71" t="s">
        <v>81</v>
      </c>
      <c r="D71" s="2">
        <v>0</v>
      </c>
      <c r="E71" s="2">
        <v>0</v>
      </c>
    </row>
    <row r="72" spans="1:5" x14ac:dyDescent="0.2">
      <c r="A72" t="s">
        <v>95</v>
      </c>
      <c r="B72" t="s">
        <v>72</v>
      </c>
      <c r="C72" t="s">
        <v>81</v>
      </c>
      <c r="D72" s="2">
        <v>0</v>
      </c>
      <c r="E72" s="2">
        <v>0</v>
      </c>
    </row>
    <row r="73" spans="1:5" x14ac:dyDescent="0.2">
      <c r="A73" t="s">
        <v>95</v>
      </c>
      <c r="B73" t="s">
        <v>72</v>
      </c>
      <c r="C73" t="s">
        <v>81</v>
      </c>
      <c r="D73" s="2">
        <v>0</v>
      </c>
      <c r="E73" s="2">
        <v>0</v>
      </c>
    </row>
    <row r="74" spans="1:5" x14ac:dyDescent="0.2">
      <c r="A74" t="s">
        <v>95</v>
      </c>
      <c r="B74" t="s">
        <v>72</v>
      </c>
      <c r="C74" t="s">
        <v>81</v>
      </c>
      <c r="D74" s="2">
        <v>0</v>
      </c>
      <c r="E74" s="2">
        <v>0</v>
      </c>
    </row>
    <row r="75" spans="1:5" x14ac:dyDescent="0.2">
      <c r="A75" t="s">
        <v>95</v>
      </c>
      <c r="B75" t="s">
        <v>72</v>
      </c>
      <c r="C75" t="s">
        <v>81</v>
      </c>
      <c r="D75" s="2">
        <v>0</v>
      </c>
      <c r="E75" s="2">
        <v>0</v>
      </c>
    </row>
    <row r="76" spans="1:5" x14ac:dyDescent="0.2">
      <c r="A76" t="s">
        <v>95</v>
      </c>
      <c r="B76" t="s">
        <v>72</v>
      </c>
      <c r="C76" t="s">
        <v>81</v>
      </c>
      <c r="D76" s="2">
        <v>255.4687136</v>
      </c>
      <c r="E76" s="2">
        <v>234</v>
      </c>
    </row>
    <row r="77" spans="1:5" x14ac:dyDescent="0.2">
      <c r="A77" t="s">
        <v>95</v>
      </c>
      <c r="B77" t="s">
        <v>72</v>
      </c>
      <c r="C77" t="s">
        <v>81</v>
      </c>
      <c r="D77" s="2">
        <v>306.8825938</v>
      </c>
      <c r="E77" s="2">
        <v>342</v>
      </c>
    </row>
    <row r="78" spans="1:5" x14ac:dyDescent="0.2">
      <c r="A78" t="s">
        <v>95</v>
      </c>
      <c r="B78" t="s">
        <v>72</v>
      </c>
      <c r="C78" t="s">
        <v>81</v>
      </c>
      <c r="D78" s="2">
        <v>0</v>
      </c>
      <c r="E78" s="2">
        <v>0</v>
      </c>
    </row>
    <row r="79" spans="1:5" x14ac:dyDescent="0.2">
      <c r="A79" t="s">
        <v>95</v>
      </c>
      <c r="B79" t="s">
        <v>72</v>
      </c>
      <c r="C79" t="s">
        <v>81</v>
      </c>
      <c r="D79" s="2">
        <v>713.74152360000005</v>
      </c>
      <c r="E79" s="2">
        <v>344</v>
      </c>
    </row>
    <row r="80" spans="1:5" x14ac:dyDescent="0.2">
      <c r="A80" t="s">
        <v>95</v>
      </c>
      <c r="B80" t="s">
        <v>72</v>
      </c>
      <c r="C80" t="s">
        <v>81</v>
      </c>
      <c r="D80" s="2">
        <v>0</v>
      </c>
      <c r="E80" s="2">
        <v>0</v>
      </c>
    </row>
    <row r="81" spans="1:5" x14ac:dyDescent="0.2">
      <c r="A81" t="s">
        <v>95</v>
      </c>
      <c r="B81" t="s">
        <v>72</v>
      </c>
      <c r="C81" t="s">
        <v>81</v>
      </c>
      <c r="D81" s="2">
        <v>0</v>
      </c>
      <c r="E81" s="2">
        <v>0</v>
      </c>
    </row>
    <row r="82" spans="1:5" x14ac:dyDescent="0.2">
      <c r="A82" t="s">
        <v>95</v>
      </c>
      <c r="B82" t="s">
        <v>72</v>
      </c>
      <c r="C82" t="s">
        <v>81</v>
      </c>
      <c r="D82" s="2">
        <v>495.6481718</v>
      </c>
      <c r="E82" s="2">
        <v>478</v>
      </c>
    </row>
    <row r="83" spans="1:5" x14ac:dyDescent="0.2">
      <c r="A83" t="s">
        <v>95</v>
      </c>
      <c r="B83" t="s">
        <v>72</v>
      </c>
      <c r="C83" t="s">
        <v>81</v>
      </c>
      <c r="D83" s="2">
        <v>0</v>
      </c>
      <c r="E83" s="2">
        <v>0</v>
      </c>
    </row>
    <row r="84" spans="1:5" x14ac:dyDescent="0.2">
      <c r="A84" t="s">
        <v>94</v>
      </c>
      <c r="B84" t="s">
        <v>72</v>
      </c>
      <c r="C84" t="s">
        <v>81</v>
      </c>
      <c r="D84" s="2">
        <v>0</v>
      </c>
      <c r="E84" s="2">
        <v>0</v>
      </c>
    </row>
    <row r="85" spans="1:5" x14ac:dyDescent="0.2">
      <c r="A85" t="s">
        <v>94</v>
      </c>
      <c r="B85" t="s">
        <v>72</v>
      </c>
      <c r="C85" t="s">
        <v>81</v>
      </c>
      <c r="D85" s="2">
        <v>0</v>
      </c>
      <c r="E85" s="2">
        <v>0</v>
      </c>
    </row>
    <row r="86" spans="1:5" x14ac:dyDescent="0.2">
      <c r="A86" t="s">
        <v>94</v>
      </c>
      <c r="B86" t="s">
        <v>72</v>
      </c>
      <c r="C86" t="s">
        <v>81</v>
      </c>
      <c r="D86" s="2">
        <v>0</v>
      </c>
      <c r="E86" s="2">
        <v>0</v>
      </c>
    </row>
    <row r="87" spans="1:5" x14ac:dyDescent="0.2">
      <c r="A87" t="s">
        <v>94</v>
      </c>
      <c r="B87" t="s">
        <v>72</v>
      </c>
      <c r="C87" t="s">
        <v>81</v>
      </c>
      <c r="D87" s="2">
        <v>295.82346719999998</v>
      </c>
      <c r="E87" s="2">
        <v>254</v>
      </c>
    </row>
    <row r="88" spans="1:5" x14ac:dyDescent="0.2">
      <c r="A88" t="s">
        <v>94</v>
      </c>
      <c r="B88" t="s">
        <v>72</v>
      </c>
      <c r="C88" t="s">
        <v>81</v>
      </c>
      <c r="D88" s="2">
        <v>0</v>
      </c>
      <c r="E88" s="2">
        <v>0</v>
      </c>
    </row>
    <row r="89" spans="1:5" x14ac:dyDescent="0.2">
      <c r="A89" t="s">
        <v>94</v>
      </c>
      <c r="B89" t="s">
        <v>72</v>
      </c>
      <c r="C89" t="s">
        <v>81</v>
      </c>
      <c r="D89" s="2">
        <v>135.48457540000001</v>
      </c>
      <c r="E89" s="2">
        <v>60</v>
      </c>
    </row>
    <row r="90" spans="1:5" x14ac:dyDescent="0.2">
      <c r="A90" t="s">
        <v>94</v>
      </c>
      <c r="B90" t="s">
        <v>72</v>
      </c>
      <c r="C90" t="s">
        <v>81</v>
      </c>
      <c r="D90" s="2">
        <v>142.874157</v>
      </c>
      <c r="E90" s="2">
        <v>2</v>
      </c>
    </row>
    <row r="91" spans="1:5" x14ac:dyDescent="0.2">
      <c r="A91" t="s">
        <v>96</v>
      </c>
      <c r="B91" t="s">
        <v>72</v>
      </c>
      <c r="C91" t="s">
        <v>81</v>
      </c>
      <c r="D91" s="2">
        <v>219.47629739999999</v>
      </c>
      <c r="E91" s="2">
        <v>230</v>
      </c>
    </row>
    <row r="92" spans="1:5" x14ac:dyDescent="0.2">
      <c r="A92" t="s">
        <v>96</v>
      </c>
      <c r="B92" t="s">
        <v>72</v>
      </c>
      <c r="C92" t="s">
        <v>81</v>
      </c>
      <c r="D92" s="2">
        <v>211.72720419999999</v>
      </c>
      <c r="E92" s="2">
        <v>86</v>
      </c>
    </row>
    <row r="93" spans="1:5" x14ac:dyDescent="0.2">
      <c r="A93" t="s">
        <v>96</v>
      </c>
      <c r="B93" t="s">
        <v>72</v>
      </c>
      <c r="C93" t="s">
        <v>81</v>
      </c>
      <c r="D93" s="2">
        <v>87.807912799999997</v>
      </c>
      <c r="E93" s="2">
        <v>0</v>
      </c>
    </row>
    <row r="94" spans="1:5" x14ac:dyDescent="0.2">
      <c r="A94" t="s">
        <v>96</v>
      </c>
      <c r="B94" t="s">
        <v>72</v>
      </c>
      <c r="C94" t="s">
        <v>81</v>
      </c>
      <c r="D94" s="2">
        <v>80.495389200000005</v>
      </c>
      <c r="E94" s="2">
        <v>10</v>
      </c>
    </row>
    <row r="95" spans="1:5" x14ac:dyDescent="0.2">
      <c r="A95" t="s">
        <v>96</v>
      </c>
      <c r="B95" t="s">
        <v>72</v>
      </c>
      <c r="C95" t="s">
        <v>81</v>
      </c>
      <c r="D95" s="2">
        <v>0</v>
      </c>
      <c r="E95" s="2">
        <v>0</v>
      </c>
    </row>
    <row r="96" spans="1:5" x14ac:dyDescent="0.2">
      <c r="A96" t="s">
        <v>96</v>
      </c>
      <c r="B96" t="s">
        <v>72</v>
      </c>
      <c r="C96" t="s">
        <v>81</v>
      </c>
      <c r="D96" s="2">
        <v>0</v>
      </c>
      <c r="E96" s="2">
        <v>0</v>
      </c>
    </row>
    <row r="97" spans="1:5" x14ac:dyDescent="0.2">
      <c r="A97" t="s">
        <v>96</v>
      </c>
      <c r="B97" t="s">
        <v>72</v>
      </c>
      <c r="C97" t="s">
        <v>81</v>
      </c>
      <c r="D97" s="2">
        <v>0</v>
      </c>
      <c r="E97" s="2">
        <v>0</v>
      </c>
    </row>
    <row r="98" spans="1:5" x14ac:dyDescent="0.2">
      <c r="A98" t="s">
        <v>93</v>
      </c>
      <c r="B98" t="s">
        <v>64</v>
      </c>
      <c r="C98" t="s">
        <v>81</v>
      </c>
      <c r="D98" s="2">
        <v>0</v>
      </c>
      <c r="E98" s="2">
        <v>0</v>
      </c>
    </row>
    <row r="99" spans="1:5" x14ac:dyDescent="0.2">
      <c r="A99" t="s">
        <v>93</v>
      </c>
      <c r="B99" t="s">
        <v>64</v>
      </c>
      <c r="C99" t="s">
        <v>81</v>
      </c>
      <c r="D99" s="2">
        <v>0</v>
      </c>
      <c r="E99" s="2">
        <v>0</v>
      </c>
    </row>
    <row r="100" spans="1:5" x14ac:dyDescent="0.2">
      <c r="A100" t="s">
        <v>93</v>
      </c>
      <c r="B100" t="s">
        <v>64</v>
      </c>
      <c r="C100" t="s">
        <v>81</v>
      </c>
      <c r="D100" s="2">
        <v>0</v>
      </c>
      <c r="E100" s="2">
        <v>54</v>
      </c>
    </row>
    <row r="101" spans="1:5" x14ac:dyDescent="0.2">
      <c r="A101" t="s">
        <v>93</v>
      </c>
      <c r="B101" t="s">
        <v>64</v>
      </c>
      <c r="C101" t="s">
        <v>81</v>
      </c>
      <c r="D101" s="2">
        <v>0</v>
      </c>
      <c r="E101" s="2">
        <v>18</v>
      </c>
    </row>
    <row r="102" spans="1:5" x14ac:dyDescent="0.2">
      <c r="A102" t="s">
        <v>95</v>
      </c>
      <c r="B102" t="s">
        <v>64</v>
      </c>
      <c r="C102" t="s">
        <v>81</v>
      </c>
      <c r="D102" s="2">
        <v>0</v>
      </c>
      <c r="E102" s="2">
        <v>0</v>
      </c>
    </row>
    <row r="103" spans="1:5" x14ac:dyDescent="0.2">
      <c r="A103" t="s">
        <v>95</v>
      </c>
      <c r="B103" t="s">
        <v>64</v>
      </c>
      <c r="C103" t="s">
        <v>81</v>
      </c>
      <c r="D103" s="2">
        <v>0</v>
      </c>
      <c r="E103" s="2">
        <v>0</v>
      </c>
    </row>
    <row r="104" spans="1:5" x14ac:dyDescent="0.2">
      <c r="A104" t="s">
        <v>95</v>
      </c>
      <c r="B104" t="s">
        <v>64</v>
      </c>
      <c r="C104" t="s">
        <v>81</v>
      </c>
      <c r="D104" s="2">
        <v>0</v>
      </c>
      <c r="E104" s="2">
        <v>0</v>
      </c>
    </row>
    <row r="105" spans="1:5" x14ac:dyDescent="0.2">
      <c r="A105" t="s">
        <v>95</v>
      </c>
      <c r="B105" t="s">
        <v>64</v>
      </c>
      <c r="C105" t="s">
        <v>81</v>
      </c>
      <c r="D105" s="2">
        <v>0</v>
      </c>
      <c r="E105" s="2">
        <v>0</v>
      </c>
    </row>
    <row r="106" spans="1:5" x14ac:dyDescent="0.2">
      <c r="A106" t="s">
        <v>95</v>
      </c>
      <c r="B106" t="s">
        <v>64</v>
      </c>
      <c r="C106" t="s">
        <v>81</v>
      </c>
      <c r="D106" s="2">
        <v>0</v>
      </c>
      <c r="E106" s="2">
        <v>0</v>
      </c>
    </row>
    <row r="107" spans="1:5" x14ac:dyDescent="0.2">
      <c r="A107" t="s">
        <v>95</v>
      </c>
      <c r="B107" t="s">
        <v>64</v>
      </c>
      <c r="C107" t="s">
        <v>81</v>
      </c>
      <c r="D107" s="2">
        <v>0</v>
      </c>
      <c r="E107" s="2">
        <v>0</v>
      </c>
    </row>
    <row r="108" spans="1:5" x14ac:dyDescent="0.2">
      <c r="A108" t="s">
        <v>95</v>
      </c>
      <c r="B108" t="s">
        <v>64</v>
      </c>
      <c r="C108" t="s">
        <v>81</v>
      </c>
      <c r="D108" s="2">
        <v>0</v>
      </c>
      <c r="E108" s="2">
        <v>244</v>
      </c>
    </row>
    <row r="109" spans="1:5" x14ac:dyDescent="0.2">
      <c r="A109" t="s">
        <v>95</v>
      </c>
      <c r="B109" t="s">
        <v>64</v>
      </c>
      <c r="C109" t="s">
        <v>81</v>
      </c>
      <c r="D109" s="2">
        <v>0</v>
      </c>
      <c r="E109" s="2">
        <v>318</v>
      </c>
    </row>
    <row r="110" spans="1:5" x14ac:dyDescent="0.2">
      <c r="A110" t="s">
        <v>95</v>
      </c>
      <c r="B110" t="s">
        <v>64</v>
      </c>
      <c r="C110" t="s">
        <v>81</v>
      </c>
      <c r="D110" s="2">
        <v>0</v>
      </c>
      <c r="E110" s="2">
        <v>0</v>
      </c>
    </row>
    <row r="111" spans="1:5" x14ac:dyDescent="0.2">
      <c r="A111" t="s">
        <v>95</v>
      </c>
      <c r="B111" t="s">
        <v>64</v>
      </c>
      <c r="C111" t="s">
        <v>81</v>
      </c>
      <c r="D111" s="2">
        <v>0</v>
      </c>
      <c r="E111" s="2">
        <v>338</v>
      </c>
    </row>
    <row r="112" spans="1:5" x14ac:dyDescent="0.2">
      <c r="A112" t="s">
        <v>95</v>
      </c>
      <c r="B112" t="s">
        <v>64</v>
      </c>
      <c r="C112" t="s">
        <v>81</v>
      </c>
      <c r="D112" s="2">
        <v>0</v>
      </c>
      <c r="E112" s="2">
        <v>0</v>
      </c>
    </row>
    <row r="113" spans="1:5" x14ac:dyDescent="0.2">
      <c r="A113" t="s">
        <v>95</v>
      </c>
      <c r="B113" t="s">
        <v>64</v>
      </c>
      <c r="C113" t="s">
        <v>81</v>
      </c>
      <c r="D113" s="2">
        <v>0</v>
      </c>
      <c r="E113" s="2">
        <v>0</v>
      </c>
    </row>
    <row r="114" spans="1:5" x14ac:dyDescent="0.2">
      <c r="A114" t="s">
        <v>95</v>
      </c>
      <c r="B114" t="s">
        <v>64</v>
      </c>
      <c r="C114" t="s">
        <v>81</v>
      </c>
      <c r="D114" s="2">
        <v>0</v>
      </c>
      <c r="E114" s="2">
        <v>410</v>
      </c>
    </row>
    <row r="115" spans="1:5" x14ac:dyDescent="0.2">
      <c r="A115" t="s">
        <v>95</v>
      </c>
      <c r="B115" t="s">
        <v>64</v>
      </c>
      <c r="C115" t="s">
        <v>81</v>
      </c>
      <c r="D115" s="2">
        <v>0</v>
      </c>
      <c r="E115" s="2">
        <v>0</v>
      </c>
    </row>
    <row r="116" spans="1:5" x14ac:dyDescent="0.2">
      <c r="A116" t="s">
        <v>94</v>
      </c>
      <c r="B116" t="s">
        <v>64</v>
      </c>
      <c r="C116" t="s">
        <v>81</v>
      </c>
      <c r="D116" s="2">
        <v>0</v>
      </c>
      <c r="E116" s="2">
        <v>0</v>
      </c>
    </row>
    <row r="117" spans="1:5" x14ac:dyDescent="0.2">
      <c r="A117" t="s">
        <v>94</v>
      </c>
      <c r="B117" t="s">
        <v>64</v>
      </c>
      <c r="C117" t="s">
        <v>81</v>
      </c>
      <c r="D117" s="2">
        <v>0</v>
      </c>
      <c r="E117" s="2">
        <v>0</v>
      </c>
    </row>
    <row r="118" spans="1:5" x14ac:dyDescent="0.2">
      <c r="A118" t="s">
        <v>94</v>
      </c>
      <c r="B118" t="s">
        <v>64</v>
      </c>
      <c r="C118" t="s">
        <v>81</v>
      </c>
      <c r="D118" s="2">
        <v>0</v>
      </c>
      <c r="E118" s="2">
        <v>0</v>
      </c>
    </row>
    <row r="119" spans="1:5" x14ac:dyDescent="0.2">
      <c r="A119" t="s">
        <v>94</v>
      </c>
      <c r="B119" t="s">
        <v>64</v>
      </c>
      <c r="C119" t="s">
        <v>81</v>
      </c>
      <c r="D119" s="2">
        <v>0</v>
      </c>
      <c r="E119" s="2">
        <v>44</v>
      </c>
    </row>
    <row r="120" spans="1:5" x14ac:dyDescent="0.2">
      <c r="A120" t="s">
        <v>94</v>
      </c>
      <c r="B120" t="s">
        <v>64</v>
      </c>
      <c r="C120" t="s">
        <v>81</v>
      </c>
      <c r="D120" s="2">
        <v>0</v>
      </c>
      <c r="E120" s="2">
        <v>0</v>
      </c>
    </row>
    <row r="121" spans="1:5" x14ac:dyDescent="0.2">
      <c r="A121" t="s">
        <v>94</v>
      </c>
      <c r="B121" t="s">
        <v>64</v>
      </c>
      <c r="C121" t="s">
        <v>81</v>
      </c>
      <c r="D121" s="2">
        <v>0</v>
      </c>
      <c r="E121" s="2">
        <v>12</v>
      </c>
    </row>
    <row r="122" spans="1:5" x14ac:dyDescent="0.2">
      <c r="A122" t="s">
        <v>94</v>
      </c>
      <c r="B122" t="s">
        <v>64</v>
      </c>
      <c r="C122" t="s">
        <v>81</v>
      </c>
      <c r="D122" s="2">
        <v>0</v>
      </c>
      <c r="E122" s="2">
        <v>0</v>
      </c>
    </row>
    <row r="123" spans="1:5" x14ac:dyDescent="0.2">
      <c r="A123" t="s">
        <v>96</v>
      </c>
      <c r="B123" t="s">
        <v>64</v>
      </c>
      <c r="C123" t="s">
        <v>81</v>
      </c>
      <c r="D123" s="2">
        <v>0</v>
      </c>
      <c r="E123" s="2">
        <v>148</v>
      </c>
    </row>
    <row r="124" spans="1:5" x14ac:dyDescent="0.2">
      <c r="A124" t="s">
        <v>96</v>
      </c>
      <c r="B124" t="s">
        <v>64</v>
      </c>
      <c r="C124" t="s">
        <v>81</v>
      </c>
      <c r="D124" s="2">
        <v>0</v>
      </c>
      <c r="E124" s="2">
        <v>88</v>
      </c>
    </row>
    <row r="125" spans="1:5" x14ac:dyDescent="0.2">
      <c r="A125" t="s">
        <v>96</v>
      </c>
      <c r="B125" t="s">
        <v>64</v>
      </c>
      <c r="C125" t="s">
        <v>81</v>
      </c>
      <c r="D125" s="2">
        <v>0</v>
      </c>
      <c r="E125" s="2">
        <v>0</v>
      </c>
    </row>
    <row r="126" spans="1:5" x14ac:dyDescent="0.2">
      <c r="A126" t="s">
        <v>96</v>
      </c>
      <c r="B126" t="s">
        <v>64</v>
      </c>
      <c r="C126" t="s">
        <v>81</v>
      </c>
      <c r="D126" s="2">
        <v>0</v>
      </c>
      <c r="E126" s="2">
        <v>38</v>
      </c>
    </row>
    <row r="127" spans="1:5" x14ac:dyDescent="0.2">
      <c r="A127" t="s">
        <v>96</v>
      </c>
      <c r="B127" t="s">
        <v>64</v>
      </c>
      <c r="C127" t="s">
        <v>81</v>
      </c>
      <c r="D127" s="2">
        <v>0</v>
      </c>
      <c r="E127" s="2">
        <v>0</v>
      </c>
    </row>
    <row r="128" spans="1:5" x14ac:dyDescent="0.2">
      <c r="A128" t="s">
        <v>96</v>
      </c>
      <c r="B128" t="s">
        <v>64</v>
      </c>
      <c r="C128" t="s">
        <v>81</v>
      </c>
      <c r="D128" s="2">
        <v>0</v>
      </c>
      <c r="E128" s="2">
        <v>0</v>
      </c>
    </row>
    <row r="129" spans="1:5" x14ac:dyDescent="0.2">
      <c r="A129" t="s">
        <v>96</v>
      </c>
      <c r="B129" t="s">
        <v>64</v>
      </c>
      <c r="C129" t="s">
        <v>81</v>
      </c>
      <c r="D129" s="2">
        <v>0</v>
      </c>
      <c r="E129" s="2">
        <v>0</v>
      </c>
    </row>
    <row r="130" spans="1:5" x14ac:dyDescent="0.2">
      <c r="A130" t="s">
        <v>93</v>
      </c>
      <c r="B130" t="s">
        <v>42</v>
      </c>
      <c r="C130" t="s">
        <v>81</v>
      </c>
      <c r="D130" s="2">
        <v>0</v>
      </c>
      <c r="E130" s="2">
        <v>0</v>
      </c>
    </row>
    <row r="131" spans="1:5" x14ac:dyDescent="0.2">
      <c r="A131" t="s">
        <v>93</v>
      </c>
      <c r="B131" t="s">
        <v>42</v>
      </c>
      <c r="C131" t="s">
        <v>81</v>
      </c>
      <c r="D131" s="2">
        <v>0</v>
      </c>
      <c r="E131" s="2">
        <v>0</v>
      </c>
    </row>
    <row r="132" spans="1:5" x14ac:dyDescent="0.2">
      <c r="A132" t="s">
        <v>93</v>
      </c>
      <c r="B132" t="s">
        <v>42</v>
      </c>
      <c r="C132" t="s">
        <v>81</v>
      </c>
      <c r="D132" s="2">
        <v>52.300889400000003</v>
      </c>
      <c r="E132" s="2">
        <v>44</v>
      </c>
    </row>
    <row r="133" spans="1:5" x14ac:dyDescent="0.2">
      <c r="A133" t="s">
        <v>93</v>
      </c>
      <c r="B133" t="s">
        <v>42</v>
      </c>
      <c r="C133" t="s">
        <v>81</v>
      </c>
      <c r="D133" s="2">
        <v>33.224708999999997</v>
      </c>
      <c r="E133" s="2">
        <v>28</v>
      </c>
    </row>
    <row r="134" spans="1:5" x14ac:dyDescent="0.2">
      <c r="A134" t="s">
        <v>95</v>
      </c>
      <c r="B134" t="s">
        <v>42</v>
      </c>
      <c r="C134" t="s">
        <v>81</v>
      </c>
      <c r="D134" s="2">
        <v>0</v>
      </c>
      <c r="E134" s="2">
        <v>0</v>
      </c>
    </row>
    <row r="135" spans="1:5" x14ac:dyDescent="0.2">
      <c r="A135" t="s">
        <v>95</v>
      </c>
      <c r="B135" t="s">
        <v>42</v>
      </c>
      <c r="C135" t="s">
        <v>81</v>
      </c>
      <c r="D135" s="2">
        <v>0</v>
      </c>
      <c r="E135" s="2">
        <v>0</v>
      </c>
    </row>
    <row r="136" spans="1:5" x14ac:dyDescent="0.2">
      <c r="A136" t="s">
        <v>95</v>
      </c>
      <c r="B136" t="s">
        <v>42</v>
      </c>
      <c r="C136" t="s">
        <v>81</v>
      </c>
      <c r="D136" s="2">
        <v>0</v>
      </c>
      <c r="E136" s="2">
        <v>0</v>
      </c>
    </row>
    <row r="137" spans="1:5" x14ac:dyDescent="0.2">
      <c r="A137" t="s">
        <v>95</v>
      </c>
      <c r="B137" t="s">
        <v>42</v>
      </c>
      <c r="C137" t="s">
        <v>81</v>
      </c>
      <c r="D137" s="2">
        <v>0</v>
      </c>
      <c r="E137" s="2">
        <v>0</v>
      </c>
    </row>
    <row r="138" spans="1:5" x14ac:dyDescent="0.2">
      <c r="A138" t="s">
        <v>95</v>
      </c>
      <c r="B138" t="s">
        <v>42</v>
      </c>
      <c r="C138" t="s">
        <v>81</v>
      </c>
      <c r="D138" s="2">
        <v>0</v>
      </c>
      <c r="E138" s="2">
        <v>0</v>
      </c>
    </row>
    <row r="139" spans="1:5" x14ac:dyDescent="0.2">
      <c r="A139" t="s">
        <v>95</v>
      </c>
      <c r="B139" t="s">
        <v>42</v>
      </c>
      <c r="C139" t="s">
        <v>81</v>
      </c>
      <c r="D139" s="2">
        <v>0</v>
      </c>
      <c r="E139" s="2">
        <v>0</v>
      </c>
    </row>
    <row r="140" spans="1:5" x14ac:dyDescent="0.2">
      <c r="A140" t="s">
        <v>95</v>
      </c>
      <c r="B140" t="s">
        <v>42</v>
      </c>
      <c r="C140" t="s">
        <v>81</v>
      </c>
      <c r="D140" s="2">
        <v>253.69850740000001</v>
      </c>
      <c r="E140" s="2">
        <v>236</v>
      </c>
    </row>
    <row r="141" spans="1:5" x14ac:dyDescent="0.2">
      <c r="A141" t="s">
        <v>95</v>
      </c>
      <c r="B141" t="s">
        <v>42</v>
      </c>
      <c r="C141" t="s">
        <v>81</v>
      </c>
      <c r="D141" s="2">
        <v>282.96126839999999</v>
      </c>
      <c r="E141" s="2">
        <v>268</v>
      </c>
    </row>
    <row r="142" spans="1:5" x14ac:dyDescent="0.2">
      <c r="A142" t="s">
        <v>95</v>
      </c>
      <c r="B142" t="s">
        <v>42</v>
      </c>
      <c r="C142" t="s">
        <v>81</v>
      </c>
      <c r="D142" s="2">
        <v>0</v>
      </c>
      <c r="E142" s="2">
        <v>0</v>
      </c>
    </row>
    <row r="143" spans="1:5" x14ac:dyDescent="0.2">
      <c r="A143" t="s">
        <v>95</v>
      </c>
      <c r="B143" t="s">
        <v>42</v>
      </c>
      <c r="C143" t="s">
        <v>81</v>
      </c>
      <c r="D143" s="2">
        <v>602.89314620000005</v>
      </c>
      <c r="E143" s="2">
        <v>322</v>
      </c>
    </row>
    <row r="144" spans="1:5" x14ac:dyDescent="0.2">
      <c r="A144" t="s">
        <v>95</v>
      </c>
      <c r="B144" t="s">
        <v>42</v>
      </c>
      <c r="C144" t="s">
        <v>81</v>
      </c>
      <c r="D144" s="2">
        <v>0</v>
      </c>
      <c r="E144" s="2">
        <v>0</v>
      </c>
    </row>
    <row r="145" spans="1:5" x14ac:dyDescent="0.2">
      <c r="A145" t="s">
        <v>95</v>
      </c>
      <c r="B145" t="s">
        <v>42</v>
      </c>
      <c r="C145" t="s">
        <v>81</v>
      </c>
      <c r="D145" s="2">
        <v>0</v>
      </c>
      <c r="E145" s="2">
        <v>0</v>
      </c>
    </row>
    <row r="146" spans="1:5" x14ac:dyDescent="0.2">
      <c r="A146" t="s">
        <v>95</v>
      </c>
      <c r="B146" t="s">
        <v>42</v>
      </c>
      <c r="C146" t="s">
        <v>81</v>
      </c>
      <c r="D146" s="2">
        <v>333.08177360000002</v>
      </c>
      <c r="E146" s="2">
        <v>466</v>
      </c>
    </row>
    <row r="147" spans="1:5" x14ac:dyDescent="0.2">
      <c r="A147" t="s">
        <v>95</v>
      </c>
      <c r="B147" t="s">
        <v>42</v>
      </c>
      <c r="C147" t="s">
        <v>81</v>
      </c>
      <c r="D147" s="2">
        <v>0</v>
      </c>
      <c r="E147" s="2">
        <v>0</v>
      </c>
    </row>
    <row r="148" spans="1:5" x14ac:dyDescent="0.2">
      <c r="A148" t="s">
        <v>94</v>
      </c>
      <c r="B148" t="s">
        <v>42</v>
      </c>
      <c r="C148" t="s">
        <v>81</v>
      </c>
      <c r="D148" s="2">
        <v>0</v>
      </c>
      <c r="E148" s="2">
        <v>0</v>
      </c>
    </row>
    <row r="149" spans="1:5" x14ac:dyDescent="0.2">
      <c r="A149" t="s">
        <v>94</v>
      </c>
      <c r="B149" t="s">
        <v>42</v>
      </c>
      <c r="C149" t="s">
        <v>81</v>
      </c>
      <c r="D149" s="2">
        <v>0</v>
      </c>
      <c r="E149" s="2">
        <v>0</v>
      </c>
    </row>
    <row r="150" spans="1:5" x14ac:dyDescent="0.2">
      <c r="A150" t="s">
        <v>94</v>
      </c>
      <c r="B150" t="s">
        <v>42</v>
      </c>
      <c r="C150" t="s">
        <v>81</v>
      </c>
      <c r="D150" s="2">
        <v>0</v>
      </c>
      <c r="E150" s="2">
        <v>0</v>
      </c>
    </row>
    <row r="151" spans="1:5" x14ac:dyDescent="0.2">
      <c r="A151" t="s">
        <v>94</v>
      </c>
      <c r="B151" t="s">
        <v>42</v>
      </c>
      <c r="C151" t="s">
        <v>81</v>
      </c>
      <c r="D151" s="2">
        <v>108.9801282</v>
      </c>
      <c r="E151" s="2">
        <v>172</v>
      </c>
    </row>
    <row r="152" spans="1:5" x14ac:dyDescent="0.2">
      <c r="A152" t="s">
        <v>94</v>
      </c>
      <c r="B152" t="s">
        <v>42</v>
      </c>
      <c r="C152" t="s">
        <v>81</v>
      </c>
      <c r="D152" s="2">
        <v>0</v>
      </c>
      <c r="E152" s="2">
        <v>0</v>
      </c>
    </row>
    <row r="153" spans="1:5" x14ac:dyDescent="0.2">
      <c r="A153" t="s">
        <v>94</v>
      </c>
      <c r="B153" t="s">
        <v>42</v>
      </c>
      <c r="C153" t="s">
        <v>81</v>
      </c>
      <c r="D153" s="2">
        <v>103.5298076</v>
      </c>
      <c r="E153" s="2">
        <v>40</v>
      </c>
    </row>
    <row r="154" spans="1:5" x14ac:dyDescent="0.2">
      <c r="A154" t="s">
        <v>94</v>
      </c>
      <c r="B154" t="s">
        <v>42</v>
      </c>
      <c r="C154" t="s">
        <v>81</v>
      </c>
      <c r="D154" s="2">
        <v>0</v>
      </c>
      <c r="E154" s="2">
        <v>22</v>
      </c>
    </row>
    <row r="155" spans="1:5" x14ac:dyDescent="0.2">
      <c r="A155" t="s">
        <v>96</v>
      </c>
      <c r="B155" t="s">
        <v>42</v>
      </c>
      <c r="C155" t="s">
        <v>81</v>
      </c>
      <c r="D155" s="2">
        <v>154.59586859999999</v>
      </c>
      <c r="E155" s="2">
        <v>258</v>
      </c>
    </row>
    <row r="156" spans="1:5" x14ac:dyDescent="0.2">
      <c r="A156" t="s">
        <v>96</v>
      </c>
      <c r="B156" t="s">
        <v>42</v>
      </c>
      <c r="C156" t="s">
        <v>81</v>
      </c>
      <c r="D156" s="2">
        <v>115.8245106</v>
      </c>
      <c r="E156" s="2">
        <v>98</v>
      </c>
    </row>
    <row r="157" spans="1:5" x14ac:dyDescent="0.2">
      <c r="A157" t="s">
        <v>96</v>
      </c>
      <c r="B157" t="s">
        <v>42</v>
      </c>
      <c r="C157" t="s">
        <v>81</v>
      </c>
      <c r="D157" s="2">
        <v>0</v>
      </c>
      <c r="E157" s="2">
        <v>20</v>
      </c>
    </row>
    <row r="158" spans="1:5" x14ac:dyDescent="0.2">
      <c r="A158" t="s">
        <v>96</v>
      </c>
      <c r="B158" t="s">
        <v>42</v>
      </c>
      <c r="C158" t="s">
        <v>81</v>
      </c>
      <c r="D158" s="2">
        <v>68.943061799999995</v>
      </c>
      <c r="E158" s="2">
        <v>36</v>
      </c>
    </row>
    <row r="159" spans="1:5" x14ac:dyDescent="0.2">
      <c r="A159" t="s">
        <v>96</v>
      </c>
      <c r="B159" t="s">
        <v>42</v>
      </c>
      <c r="C159" t="s">
        <v>81</v>
      </c>
      <c r="D159" s="2">
        <v>0</v>
      </c>
      <c r="E159" s="2">
        <v>0</v>
      </c>
    </row>
    <row r="160" spans="1:5" x14ac:dyDescent="0.2">
      <c r="A160" t="s">
        <v>96</v>
      </c>
      <c r="B160" t="s">
        <v>42</v>
      </c>
      <c r="C160" t="s">
        <v>81</v>
      </c>
      <c r="D160" s="2">
        <v>0</v>
      </c>
      <c r="E160" s="2">
        <v>0</v>
      </c>
    </row>
    <row r="161" spans="1:5" x14ac:dyDescent="0.2">
      <c r="A161" t="s">
        <v>96</v>
      </c>
      <c r="B161" t="s">
        <v>42</v>
      </c>
      <c r="C161" t="s">
        <v>81</v>
      </c>
      <c r="D161" s="2">
        <v>0</v>
      </c>
      <c r="E161" s="2">
        <v>0</v>
      </c>
    </row>
    <row r="162" spans="1:5" x14ac:dyDescent="0.2">
      <c r="A162" t="s">
        <v>93</v>
      </c>
      <c r="B162" t="s">
        <v>76</v>
      </c>
      <c r="C162" t="s">
        <v>81</v>
      </c>
      <c r="D162" s="2">
        <v>0</v>
      </c>
      <c r="E162" s="2">
        <v>0</v>
      </c>
    </row>
    <row r="163" spans="1:5" x14ac:dyDescent="0.2">
      <c r="A163" t="s">
        <v>93</v>
      </c>
      <c r="B163" t="s">
        <v>76</v>
      </c>
      <c r="C163" t="s">
        <v>81</v>
      </c>
      <c r="D163" s="2">
        <v>0</v>
      </c>
      <c r="E163" s="2">
        <v>0</v>
      </c>
    </row>
    <row r="164" spans="1:5" x14ac:dyDescent="0.2">
      <c r="A164" t="s">
        <v>93</v>
      </c>
      <c r="B164" t="s">
        <v>76</v>
      </c>
      <c r="C164" t="s">
        <v>81</v>
      </c>
      <c r="D164" s="2">
        <v>47.871831399999998</v>
      </c>
      <c r="E164" s="2">
        <v>0</v>
      </c>
    </row>
    <row r="165" spans="1:5" x14ac:dyDescent="0.2">
      <c r="A165" t="s">
        <v>93</v>
      </c>
      <c r="B165" t="s">
        <v>76</v>
      </c>
      <c r="C165" t="s">
        <v>81</v>
      </c>
      <c r="D165" s="2">
        <v>45.7164614</v>
      </c>
      <c r="E165" s="2">
        <v>0</v>
      </c>
    </row>
    <row r="166" spans="1:5" x14ac:dyDescent="0.2">
      <c r="A166" t="s">
        <v>95</v>
      </c>
      <c r="B166" t="s">
        <v>76</v>
      </c>
      <c r="C166" t="s">
        <v>81</v>
      </c>
      <c r="D166" s="2">
        <v>0</v>
      </c>
      <c r="E166" s="2">
        <v>0</v>
      </c>
    </row>
    <row r="167" spans="1:5" x14ac:dyDescent="0.2">
      <c r="A167" t="s">
        <v>95</v>
      </c>
      <c r="B167" t="s">
        <v>76</v>
      </c>
      <c r="C167" t="s">
        <v>81</v>
      </c>
      <c r="D167" s="2">
        <v>0</v>
      </c>
      <c r="E167" s="2">
        <v>0</v>
      </c>
    </row>
    <row r="168" spans="1:5" x14ac:dyDescent="0.2">
      <c r="A168" t="s">
        <v>95</v>
      </c>
      <c r="B168" t="s">
        <v>76</v>
      </c>
      <c r="C168" t="s">
        <v>81</v>
      </c>
      <c r="D168" s="2">
        <v>0</v>
      </c>
      <c r="E168" s="2">
        <v>0</v>
      </c>
    </row>
    <row r="169" spans="1:5" x14ac:dyDescent="0.2">
      <c r="A169" t="s">
        <v>95</v>
      </c>
      <c r="B169" t="s">
        <v>76</v>
      </c>
      <c r="C169" t="s">
        <v>81</v>
      </c>
      <c r="D169" s="2">
        <v>0</v>
      </c>
      <c r="E169" s="2">
        <v>0</v>
      </c>
    </row>
    <row r="170" spans="1:5" x14ac:dyDescent="0.2">
      <c r="A170" t="s">
        <v>95</v>
      </c>
      <c r="B170" t="s">
        <v>76</v>
      </c>
      <c r="C170" t="s">
        <v>81</v>
      </c>
      <c r="D170" s="2">
        <v>0</v>
      </c>
      <c r="E170" s="2">
        <v>0</v>
      </c>
    </row>
    <row r="171" spans="1:5" x14ac:dyDescent="0.2">
      <c r="A171" t="s">
        <v>95</v>
      </c>
      <c r="B171" t="s">
        <v>76</v>
      </c>
      <c r="C171" t="s">
        <v>81</v>
      </c>
      <c r="D171" s="2">
        <v>0</v>
      </c>
      <c r="E171" s="2">
        <v>0</v>
      </c>
    </row>
    <row r="172" spans="1:5" x14ac:dyDescent="0.2">
      <c r="A172" t="s">
        <v>95</v>
      </c>
      <c r="B172" t="s">
        <v>76</v>
      </c>
      <c r="C172" t="s">
        <v>81</v>
      </c>
      <c r="D172" s="2">
        <v>226.08316740000001</v>
      </c>
      <c r="E172" s="2">
        <v>0</v>
      </c>
    </row>
    <row r="173" spans="1:5" x14ac:dyDescent="0.2">
      <c r="A173" t="s">
        <v>95</v>
      </c>
      <c r="B173" t="s">
        <v>76</v>
      </c>
      <c r="C173" t="s">
        <v>81</v>
      </c>
      <c r="D173" s="2">
        <v>254.72786840000001</v>
      </c>
      <c r="E173" s="2">
        <v>0</v>
      </c>
    </row>
    <row r="174" spans="1:5" x14ac:dyDescent="0.2">
      <c r="A174" t="s">
        <v>95</v>
      </c>
      <c r="B174" t="s">
        <v>76</v>
      </c>
      <c r="C174" t="s">
        <v>81</v>
      </c>
      <c r="D174" s="2">
        <v>0</v>
      </c>
      <c r="E174" s="2">
        <v>0</v>
      </c>
    </row>
    <row r="175" spans="1:5" x14ac:dyDescent="0.2">
      <c r="A175" t="s">
        <v>95</v>
      </c>
      <c r="B175" t="s">
        <v>76</v>
      </c>
      <c r="C175" t="s">
        <v>81</v>
      </c>
      <c r="D175" s="2">
        <v>605.82302900000002</v>
      </c>
      <c r="E175" s="2">
        <v>0</v>
      </c>
    </row>
    <row r="176" spans="1:5" x14ac:dyDescent="0.2">
      <c r="A176" t="s">
        <v>95</v>
      </c>
      <c r="B176" t="s">
        <v>76</v>
      </c>
      <c r="C176" t="s">
        <v>81</v>
      </c>
      <c r="D176" s="2">
        <v>0</v>
      </c>
      <c r="E176" s="2">
        <v>0</v>
      </c>
    </row>
    <row r="177" spans="1:5" x14ac:dyDescent="0.2">
      <c r="A177" t="s">
        <v>95</v>
      </c>
      <c r="B177" t="s">
        <v>76</v>
      </c>
      <c r="C177" t="s">
        <v>81</v>
      </c>
      <c r="D177" s="2">
        <v>0</v>
      </c>
      <c r="E177" s="2">
        <v>0</v>
      </c>
    </row>
    <row r="178" spans="1:5" x14ac:dyDescent="0.2">
      <c r="A178" t="s">
        <v>95</v>
      </c>
      <c r="B178" t="s">
        <v>76</v>
      </c>
      <c r="C178" t="s">
        <v>81</v>
      </c>
      <c r="D178" s="2">
        <v>444.45728819999999</v>
      </c>
      <c r="E178" s="2">
        <v>0</v>
      </c>
    </row>
    <row r="179" spans="1:5" x14ac:dyDescent="0.2">
      <c r="A179" t="s">
        <v>95</v>
      </c>
      <c r="B179" t="s">
        <v>76</v>
      </c>
      <c r="C179" t="s">
        <v>81</v>
      </c>
      <c r="D179" s="2">
        <v>0</v>
      </c>
      <c r="E179" s="2">
        <v>0</v>
      </c>
    </row>
    <row r="180" spans="1:5" x14ac:dyDescent="0.2">
      <c r="A180" t="s">
        <v>94</v>
      </c>
      <c r="B180" t="s">
        <v>76</v>
      </c>
      <c r="C180" t="s">
        <v>81</v>
      </c>
      <c r="D180" s="2">
        <v>0</v>
      </c>
      <c r="E180" s="2">
        <v>0</v>
      </c>
    </row>
    <row r="181" spans="1:5" x14ac:dyDescent="0.2">
      <c r="A181" t="s">
        <v>94</v>
      </c>
      <c r="B181" t="s">
        <v>76</v>
      </c>
      <c r="C181" t="s">
        <v>81</v>
      </c>
      <c r="D181" s="2">
        <v>0</v>
      </c>
      <c r="E181" s="2">
        <v>0</v>
      </c>
    </row>
    <row r="182" spans="1:5" x14ac:dyDescent="0.2">
      <c r="A182" t="s">
        <v>94</v>
      </c>
      <c r="B182" t="s">
        <v>76</v>
      </c>
      <c r="C182" t="s">
        <v>81</v>
      </c>
      <c r="D182" s="2">
        <v>0</v>
      </c>
      <c r="E182" s="2">
        <v>0</v>
      </c>
    </row>
    <row r="183" spans="1:5" x14ac:dyDescent="0.2">
      <c r="A183" t="s">
        <v>94</v>
      </c>
      <c r="B183" t="s">
        <v>76</v>
      </c>
      <c r="C183" t="s">
        <v>81</v>
      </c>
      <c r="D183" s="2">
        <v>454.7836082</v>
      </c>
      <c r="E183" s="2">
        <v>0</v>
      </c>
    </row>
    <row r="184" spans="1:5" x14ac:dyDescent="0.2">
      <c r="A184" t="s">
        <v>94</v>
      </c>
      <c r="B184" t="s">
        <v>76</v>
      </c>
      <c r="C184" t="s">
        <v>81</v>
      </c>
      <c r="D184" s="2">
        <v>0</v>
      </c>
      <c r="E184" s="2">
        <v>0</v>
      </c>
    </row>
    <row r="185" spans="1:5" x14ac:dyDescent="0.2">
      <c r="A185" t="s">
        <v>94</v>
      </c>
      <c r="B185" t="s">
        <v>76</v>
      </c>
      <c r="C185" t="s">
        <v>81</v>
      </c>
      <c r="D185" s="2">
        <v>185.01951099999999</v>
      </c>
      <c r="E185" s="2">
        <v>0</v>
      </c>
    </row>
    <row r="186" spans="1:5" x14ac:dyDescent="0.2">
      <c r="A186" t="s">
        <v>94</v>
      </c>
      <c r="B186" t="s">
        <v>76</v>
      </c>
      <c r="C186" t="s">
        <v>81</v>
      </c>
      <c r="D186" s="2">
        <v>147.0013032</v>
      </c>
      <c r="E186" s="2">
        <v>0</v>
      </c>
    </row>
    <row r="187" spans="1:5" x14ac:dyDescent="0.2">
      <c r="A187" t="s">
        <v>96</v>
      </c>
      <c r="B187" t="s">
        <v>76</v>
      </c>
      <c r="C187" t="s">
        <v>81</v>
      </c>
      <c r="D187" s="2">
        <v>242.014096</v>
      </c>
      <c r="E187" s="2">
        <v>0</v>
      </c>
    </row>
    <row r="188" spans="1:5" x14ac:dyDescent="0.2">
      <c r="A188" t="s">
        <v>96</v>
      </c>
      <c r="B188" t="s">
        <v>76</v>
      </c>
      <c r="C188" t="s">
        <v>81</v>
      </c>
      <c r="D188" s="2">
        <v>180.98213519999999</v>
      </c>
      <c r="E188" s="2">
        <v>0</v>
      </c>
    </row>
    <row r="189" spans="1:5" x14ac:dyDescent="0.2">
      <c r="A189" t="s">
        <v>96</v>
      </c>
      <c r="B189" t="s">
        <v>76</v>
      </c>
      <c r="C189" t="s">
        <v>81</v>
      </c>
      <c r="D189" s="2">
        <v>72.711719400000007</v>
      </c>
      <c r="E189" s="2">
        <v>0</v>
      </c>
    </row>
    <row r="190" spans="1:5" x14ac:dyDescent="0.2">
      <c r="A190" t="s">
        <v>96</v>
      </c>
      <c r="B190" t="s">
        <v>76</v>
      </c>
      <c r="C190" t="s">
        <v>81</v>
      </c>
      <c r="D190" s="2">
        <v>115.1337584</v>
      </c>
      <c r="E190" s="2">
        <v>0</v>
      </c>
    </row>
    <row r="191" spans="1:5" x14ac:dyDescent="0.2">
      <c r="A191" t="s">
        <v>96</v>
      </c>
      <c r="B191" t="s">
        <v>76</v>
      </c>
      <c r="C191" t="s">
        <v>81</v>
      </c>
      <c r="D191" s="2">
        <v>0</v>
      </c>
      <c r="E191" s="2">
        <v>0</v>
      </c>
    </row>
    <row r="192" spans="1:5" x14ac:dyDescent="0.2">
      <c r="A192" t="s">
        <v>96</v>
      </c>
      <c r="B192" t="s">
        <v>76</v>
      </c>
      <c r="C192" t="s">
        <v>81</v>
      </c>
      <c r="D192" s="2">
        <v>0</v>
      </c>
      <c r="E192" s="2">
        <v>0</v>
      </c>
    </row>
    <row r="193" spans="1:5" x14ac:dyDescent="0.2">
      <c r="A193" t="s">
        <v>96</v>
      </c>
      <c r="B193" t="s">
        <v>76</v>
      </c>
      <c r="C193" t="s">
        <v>81</v>
      </c>
      <c r="D193" s="2">
        <v>0</v>
      </c>
      <c r="E193" s="2">
        <v>0</v>
      </c>
    </row>
    <row r="194" spans="1:5" x14ac:dyDescent="0.2">
      <c r="A194" t="s">
        <v>93</v>
      </c>
      <c r="B194" t="s">
        <v>68</v>
      </c>
      <c r="C194" t="s">
        <v>81</v>
      </c>
      <c r="D194" s="2">
        <v>0</v>
      </c>
      <c r="E194" s="2">
        <v>0</v>
      </c>
    </row>
    <row r="195" spans="1:5" x14ac:dyDescent="0.2">
      <c r="A195" t="s">
        <v>93</v>
      </c>
      <c r="B195" t="s">
        <v>68</v>
      </c>
      <c r="C195" t="s">
        <v>81</v>
      </c>
      <c r="D195" s="2">
        <v>0</v>
      </c>
      <c r="E195" s="2">
        <v>0</v>
      </c>
    </row>
    <row r="196" spans="1:5" x14ac:dyDescent="0.2">
      <c r="A196" t="s">
        <v>93</v>
      </c>
      <c r="B196" t="s">
        <v>68</v>
      </c>
      <c r="C196" t="s">
        <v>81</v>
      </c>
      <c r="D196" s="2">
        <v>0</v>
      </c>
      <c r="E196" s="2">
        <v>66</v>
      </c>
    </row>
    <row r="197" spans="1:5" x14ac:dyDescent="0.2">
      <c r="A197" t="s">
        <v>93</v>
      </c>
      <c r="B197" t="s">
        <v>68</v>
      </c>
      <c r="C197" t="s">
        <v>81</v>
      </c>
      <c r="D197" s="2">
        <v>0</v>
      </c>
      <c r="E197" s="2">
        <v>22</v>
      </c>
    </row>
    <row r="198" spans="1:5" x14ac:dyDescent="0.2">
      <c r="A198" t="s">
        <v>95</v>
      </c>
      <c r="B198" t="s">
        <v>68</v>
      </c>
      <c r="C198" t="s">
        <v>81</v>
      </c>
      <c r="D198" s="2">
        <v>0</v>
      </c>
      <c r="E198" s="2">
        <v>0</v>
      </c>
    </row>
    <row r="199" spans="1:5" x14ac:dyDescent="0.2">
      <c r="A199" t="s">
        <v>95</v>
      </c>
      <c r="B199" t="s">
        <v>68</v>
      </c>
      <c r="C199" t="s">
        <v>81</v>
      </c>
      <c r="D199" s="2">
        <v>0</v>
      </c>
      <c r="E199" s="2">
        <v>0</v>
      </c>
    </row>
    <row r="200" spans="1:5" x14ac:dyDescent="0.2">
      <c r="A200" t="s">
        <v>95</v>
      </c>
      <c r="B200" t="s">
        <v>68</v>
      </c>
      <c r="C200" t="s">
        <v>81</v>
      </c>
      <c r="D200" s="2">
        <v>0</v>
      </c>
      <c r="E200" s="2">
        <v>0</v>
      </c>
    </row>
    <row r="201" spans="1:5" x14ac:dyDescent="0.2">
      <c r="A201" t="s">
        <v>95</v>
      </c>
      <c r="B201" t="s">
        <v>68</v>
      </c>
      <c r="C201" t="s">
        <v>81</v>
      </c>
      <c r="D201" s="2">
        <v>0</v>
      </c>
      <c r="E201" s="2">
        <v>0</v>
      </c>
    </row>
    <row r="202" spans="1:5" x14ac:dyDescent="0.2">
      <c r="A202" t="s">
        <v>95</v>
      </c>
      <c r="B202" t="s">
        <v>68</v>
      </c>
      <c r="C202" t="s">
        <v>81</v>
      </c>
      <c r="D202" s="2">
        <v>0</v>
      </c>
      <c r="E202" s="2">
        <v>0</v>
      </c>
    </row>
    <row r="203" spans="1:5" x14ac:dyDescent="0.2">
      <c r="A203" t="s">
        <v>95</v>
      </c>
      <c r="B203" t="s">
        <v>68</v>
      </c>
      <c r="C203" t="s">
        <v>81</v>
      </c>
      <c r="D203" s="2">
        <v>0</v>
      </c>
      <c r="E203" s="2">
        <v>0</v>
      </c>
    </row>
    <row r="204" spans="1:5" x14ac:dyDescent="0.2">
      <c r="A204" t="s">
        <v>95</v>
      </c>
      <c r="B204" t="s">
        <v>68</v>
      </c>
      <c r="C204" t="s">
        <v>81</v>
      </c>
      <c r="D204" s="2">
        <v>0</v>
      </c>
      <c r="E204" s="2">
        <v>300</v>
      </c>
    </row>
    <row r="205" spans="1:5" x14ac:dyDescent="0.2">
      <c r="A205" t="s">
        <v>95</v>
      </c>
      <c r="B205" t="s">
        <v>68</v>
      </c>
      <c r="C205" t="s">
        <v>81</v>
      </c>
      <c r="D205" s="2">
        <v>0</v>
      </c>
      <c r="E205" s="2">
        <v>346</v>
      </c>
    </row>
    <row r="206" spans="1:5" x14ac:dyDescent="0.2">
      <c r="A206" t="s">
        <v>95</v>
      </c>
      <c r="B206" t="s">
        <v>68</v>
      </c>
      <c r="C206" t="s">
        <v>81</v>
      </c>
      <c r="D206" s="2">
        <v>0</v>
      </c>
      <c r="E206" s="2">
        <v>0</v>
      </c>
    </row>
    <row r="207" spans="1:5" x14ac:dyDescent="0.2">
      <c r="A207" t="s">
        <v>95</v>
      </c>
      <c r="B207" t="s">
        <v>68</v>
      </c>
      <c r="C207" t="s">
        <v>81</v>
      </c>
      <c r="D207" s="2">
        <v>0</v>
      </c>
      <c r="E207" s="2">
        <v>352</v>
      </c>
    </row>
    <row r="208" spans="1:5" x14ac:dyDescent="0.2">
      <c r="A208" t="s">
        <v>95</v>
      </c>
      <c r="B208" t="s">
        <v>68</v>
      </c>
      <c r="C208" t="s">
        <v>81</v>
      </c>
      <c r="D208" s="2">
        <v>0</v>
      </c>
      <c r="E208" s="2">
        <v>0</v>
      </c>
    </row>
    <row r="209" spans="1:5" x14ac:dyDescent="0.2">
      <c r="A209" t="s">
        <v>95</v>
      </c>
      <c r="B209" t="s">
        <v>68</v>
      </c>
      <c r="C209" t="s">
        <v>81</v>
      </c>
      <c r="D209" s="2">
        <v>0</v>
      </c>
      <c r="E209" s="2">
        <v>0</v>
      </c>
    </row>
    <row r="210" spans="1:5" x14ac:dyDescent="0.2">
      <c r="A210" t="s">
        <v>95</v>
      </c>
      <c r="B210" t="s">
        <v>68</v>
      </c>
      <c r="C210" t="s">
        <v>81</v>
      </c>
      <c r="D210" s="2">
        <v>0</v>
      </c>
      <c r="E210" s="2">
        <v>312</v>
      </c>
    </row>
    <row r="211" spans="1:5" x14ac:dyDescent="0.2">
      <c r="A211" t="s">
        <v>95</v>
      </c>
      <c r="B211" t="s">
        <v>68</v>
      </c>
      <c r="C211" t="s">
        <v>81</v>
      </c>
      <c r="D211" s="2">
        <v>0</v>
      </c>
      <c r="E211" s="2">
        <v>0</v>
      </c>
    </row>
    <row r="212" spans="1:5" x14ac:dyDescent="0.2">
      <c r="A212" t="s">
        <v>94</v>
      </c>
      <c r="B212" t="s">
        <v>68</v>
      </c>
      <c r="C212" t="s">
        <v>81</v>
      </c>
      <c r="D212" s="2">
        <v>0</v>
      </c>
      <c r="E212" s="2">
        <v>0</v>
      </c>
    </row>
    <row r="213" spans="1:5" x14ac:dyDescent="0.2">
      <c r="A213" t="s">
        <v>94</v>
      </c>
      <c r="B213" t="s">
        <v>68</v>
      </c>
      <c r="C213" t="s">
        <v>81</v>
      </c>
      <c r="D213" s="2">
        <v>0</v>
      </c>
      <c r="E213" s="2">
        <v>0</v>
      </c>
    </row>
    <row r="214" spans="1:5" x14ac:dyDescent="0.2">
      <c r="A214" t="s">
        <v>94</v>
      </c>
      <c r="B214" t="s">
        <v>68</v>
      </c>
      <c r="C214" t="s">
        <v>81</v>
      </c>
      <c r="D214" s="2">
        <v>0</v>
      </c>
      <c r="E214" s="2">
        <v>0</v>
      </c>
    </row>
    <row r="215" spans="1:5" x14ac:dyDescent="0.2">
      <c r="A215" t="s">
        <v>94</v>
      </c>
      <c r="B215" t="s">
        <v>68</v>
      </c>
      <c r="C215" t="s">
        <v>81</v>
      </c>
      <c r="D215" s="2">
        <v>0</v>
      </c>
      <c r="E215" s="2">
        <v>72</v>
      </c>
    </row>
    <row r="216" spans="1:5" x14ac:dyDescent="0.2">
      <c r="A216" t="s">
        <v>94</v>
      </c>
      <c r="B216" t="s">
        <v>68</v>
      </c>
      <c r="C216" t="s">
        <v>81</v>
      </c>
      <c r="D216" s="2">
        <v>0</v>
      </c>
      <c r="E216" s="2">
        <v>0</v>
      </c>
    </row>
    <row r="217" spans="1:5" x14ac:dyDescent="0.2">
      <c r="A217" t="s">
        <v>94</v>
      </c>
      <c r="B217" t="s">
        <v>68</v>
      </c>
      <c r="C217" t="s">
        <v>81</v>
      </c>
      <c r="D217" s="2">
        <v>0</v>
      </c>
      <c r="E217" s="2">
        <v>20</v>
      </c>
    </row>
    <row r="218" spans="1:5" x14ac:dyDescent="0.2">
      <c r="A218" t="s">
        <v>94</v>
      </c>
      <c r="B218" t="s">
        <v>68</v>
      </c>
      <c r="C218" t="s">
        <v>81</v>
      </c>
      <c r="D218" s="2">
        <v>0</v>
      </c>
      <c r="E218" s="2">
        <v>0</v>
      </c>
    </row>
    <row r="219" spans="1:5" x14ac:dyDescent="0.2">
      <c r="A219" t="s">
        <v>96</v>
      </c>
      <c r="B219" t="s">
        <v>68</v>
      </c>
      <c r="C219" t="s">
        <v>81</v>
      </c>
      <c r="D219" s="2">
        <v>0</v>
      </c>
      <c r="E219" s="2">
        <v>272</v>
      </c>
    </row>
    <row r="220" spans="1:5" x14ac:dyDescent="0.2">
      <c r="A220" t="s">
        <v>96</v>
      </c>
      <c r="B220" t="s">
        <v>68</v>
      </c>
      <c r="C220" t="s">
        <v>81</v>
      </c>
      <c r="D220" s="2">
        <v>0</v>
      </c>
      <c r="E220" s="2">
        <v>94</v>
      </c>
    </row>
    <row r="221" spans="1:5" x14ac:dyDescent="0.2">
      <c r="A221" t="s">
        <v>96</v>
      </c>
      <c r="B221" t="s">
        <v>68</v>
      </c>
      <c r="C221" t="s">
        <v>81</v>
      </c>
      <c r="D221" s="2">
        <v>0</v>
      </c>
      <c r="E221" s="2">
        <v>0</v>
      </c>
    </row>
    <row r="222" spans="1:5" x14ac:dyDescent="0.2">
      <c r="A222" t="s">
        <v>96</v>
      </c>
      <c r="B222" t="s">
        <v>68</v>
      </c>
      <c r="C222" t="s">
        <v>81</v>
      </c>
      <c r="D222" s="2">
        <v>0</v>
      </c>
      <c r="E222" s="2">
        <v>44</v>
      </c>
    </row>
    <row r="223" spans="1:5" x14ac:dyDescent="0.2">
      <c r="A223" t="s">
        <v>96</v>
      </c>
      <c r="B223" t="s">
        <v>68</v>
      </c>
      <c r="C223" t="s">
        <v>81</v>
      </c>
      <c r="D223" s="2">
        <v>0</v>
      </c>
      <c r="E223" s="2">
        <v>0</v>
      </c>
    </row>
    <row r="224" spans="1:5" x14ac:dyDescent="0.2">
      <c r="A224" t="s">
        <v>96</v>
      </c>
      <c r="B224" t="s">
        <v>68</v>
      </c>
      <c r="C224" t="s">
        <v>81</v>
      </c>
      <c r="D224" s="2">
        <v>0</v>
      </c>
      <c r="E224" s="2">
        <v>0</v>
      </c>
    </row>
    <row r="225" spans="1:5" x14ac:dyDescent="0.2">
      <c r="A225" t="s">
        <v>96</v>
      </c>
      <c r="B225" t="s">
        <v>68</v>
      </c>
      <c r="C225" t="s">
        <v>81</v>
      </c>
      <c r="D225" s="2">
        <v>0</v>
      </c>
      <c r="E225" s="2">
        <v>0</v>
      </c>
    </row>
    <row r="226" spans="1:5" x14ac:dyDescent="0.2">
      <c r="A226" t="s">
        <v>93</v>
      </c>
      <c r="B226" t="s">
        <v>46</v>
      </c>
      <c r="C226" t="s">
        <v>81</v>
      </c>
      <c r="D226" s="2">
        <v>0</v>
      </c>
      <c r="E226" s="2">
        <v>0</v>
      </c>
    </row>
    <row r="227" spans="1:5" x14ac:dyDescent="0.2">
      <c r="A227" t="s">
        <v>93</v>
      </c>
      <c r="B227" t="s">
        <v>46</v>
      </c>
      <c r="C227" t="s">
        <v>81</v>
      </c>
      <c r="D227" s="2">
        <v>0</v>
      </c>
      <c r="E227" s="2">
        <v>0</v>
      </c>
    </row>
    <row r="228" spans="1:5" x14ac:dyDescent="0.2">
      <c r="A228" t="s">
        <v>93</v>
      </c>
      <c r="B228" t="s">
        <v>46</v>
      </c>
      <c r="C228" t="s">
        <v>81</v>
      </c>
      <c r="D228" s="2">
        <v>67.128708399999994</v>
      </c>
      <c r="E228" s="2">
        <v>32</v>
      </c>
    </row>
    <row r="229" spans="1:5" x14ac:dyDescent="0.2">
      <c r="A229" t="s">
        <v>93</v>
      </c>
      <c r="B229" t="s">
        <v>46</v>
      </c>
      <c r="C229" t="s">
        <v>81</v>
      </c>
      <c r="D229" s="2">
        <v>52.774257599999999</v>
      </c>
      <c r="E229" s="2">
        <v>32</v>
      </c>
    </row>
    <row r="230" spans="1:5" x14ac:dyDescent="0.2">
      <c r="A230" t="s">
        <v>95</v>
      </c>
      <c r="B230" t="s">
        <v>46</v>
      </c>
      <c r="C230" t="s">
        <v>81</v>
      </c>
      <c r="D230" s="2">
        <v>0</v>
      </c>
      <c r="E230" s="2">
        <v>0</v>
      </c>
    </row>
    <row r="231" spans="1:5" x14ac:dyDescent="0.2">
      <c r="A231" t="s">
        <v>95</v>
      </c>
      <c r="B231" t="s">
        <v>46</v>
      </c>
      <c r="C231" t="s">
        <v>81</v>
      </c>
      <c r="D231" s="2">
        <v>0</v>
      </c>
      <c r="E231" s="2">
        <v>0</v>
      </c>
    </row>
    <row r="232" spans="1:5" x14ac:dyDescent="0.2">
      <c r="A232" t="s">
        <v>95</v>
      </c>
      <c r="B232" t="s">
        <v>46</v>
      </c>
      <c r="C232" t="s">
        <v>81</v>
      </c>
      <c r="D232" s="2">
        <v>0</v>
      </c>
      <c r="E232" s="2">
        <v>0</v>
      </c>
    </row>
    <row r="233" spans="1:5" x14ac:dyDescent="0.2">
      <c r="A233" t="s">
        <v>95</v>
      </c>
      <c r="B233" t="s">
        <v>46</v>
      </c>
      <c r="C233" t="s">
        <v>81</v>
      </c>
      <c r="D233" s="2">
        <v>0</v>
      </c>
      <c r="E233" s="2">
        <v>0</v>
      </c>
    </row>
    <row r="234" spans="1:5" x14ac:dyDescent="0.2">
      <c r="A234" t="s">
        <v>95</v>
      </c>
      <c r="B234" t="s">
        <v>46</v>
      </c>
      <c r="C234" t="s">
        <v>81</v>
      </c>
      <c r="D234" s="2">
        <v>0</v>
      </c>
      <c r="E234" s="2">
        <v>0</v>
      </c>
    </row>
    <row r="235" spans="1:5" x14ac:dyDescent="0.2">
      <c r="A235" t="s">
        <v>95</v>
      </c>
      <c r="B235" t="s">
        <v>46</v>
      </c>
      <c r="C235" t="s">
        <v>81</v>
      </c>
      <c r="D235" s="2">
        <v>0</v>
      </c>
      <c r="E235" s="2">
        <v>0</v>
      </c>
    </row>
    <row r="236" spans="1:5" x14ac:dyDescent="0.2">
      <c r="A236" t="s">
        <v>95</v>
      </c>
      <c r="B236" t="s">
        <v>46</v>
      </c>
      <c r="C236" t="s">
        <v>81</v>
      </c>
      <c r="D236" s="2">
        <v>260.39846840000001</v>
      </c>
      <c r="E236" s="2">
        <v>324</v>
      </c>
    </row>
    <row r="237" spans="1:5" x14ac:dyDescent="0.2">
      <c r="A237" t="s">
        <v>95</v>
      </c>
      <c r="B237" t="s">
        <v>46</v>
      </c>
      <c r="C237" t="s">
        <v>81</v>
      </c>
      <c r="D237" s="2">
        <v>261.23838460000002</v>
      </c>
      <c r="E237" s="2">
        <v>342</v>
      </c>
    </row>
    <row r="238" spans="1:5" x14ac:dyDescent="0.2">
      <c r="A238" t="s">
        <v>95</v>
      </c>
      <c r="B238" t="s">
        <v>46</v>
      </c>
      <c r="C238" t="s">
        <v>81</v>
      </c>
      <c r="D238" s="2">
        <v>0</v>
      </c>
      <c r="E238" s="2">
        <v>0</v>
      </c>
    </row>
    <row r="239" spans="1:5" x14ac:dyDescent="0.2">
      <c r="A239" t="s">
        <v>95</v>
      </c>
      <c r="B239" t="s">
        <v>46</v>
      </c>
      <c r="C239" t="s">
        <v>81</v>
      </c>
      <c r="D239" s="2">
        <v>614.32730779999997</v>
      </c>
      <c r="E239" s="2">
        <v>334</v>
      </c>
    </row>
    <row r="240" spans="1:5" x14ac:dyDescent="0.2">
      <c r="A240" t="s">
        <v>95</v>
      </c>
      <c r="B240" t="s">
        <v>46</v>
      </c>
      <c r="C240" t="s">
        <v>81</v>
      </c>
      <c r="D240" s="2">
        <v>0</v>
      </c>
      <c r="E240" s="2">
        <v>0</v>
      </c>
    </row>
    <row r="241" spans="1:5" x14ac:dyDescent="0.2">
      <c r="A241" t="s">
        <v>95</v>
      </c>
      <c r="B241" t="s">
        <v>46</v>
      </c>
      <c r="C241" t="s">
        <v>81</v>
      </c>
      <c r="D241" s="2">
        <v>0</v>
      </c>
      <c r="E241" s="2">
        <v>0</v>
      </c>
    </row>
    <row r="242" spans="1:5" x14ac:dyDescent="0.2">
      <c r="A242" t="s">
        <v>95</v>
      </c>
      <c r="B242" t="s">
        <v>46</v>
      </c>
      <c r="C242" t="s">
        <v>81</v>
      </c>
      <c r="D242" s="2">
        <v>337.44650419999999</v>
      </c>
      <c r="E242" s="2">
        <v>544</v>
      </c>
    </row>
    <row r="243" spans="1:5" x14ac:dyDescent="0.2">
      <c r="A243" t="s">
        <v>95</v>
      </c>
      <c r="B243" t="s">
        <v>46</v>
      </c>
      <c r="C243" t="s">
        <v>81</v>
      </c>
      <c r="D243" s="2">
        <v>0</v>
      </c>
      <c r="E243" s="2">
        <v>0</v>
      </c>
    </row>
    <row r="244" spans="1:5" x14ac:dyDescent="0.2">
      <c r="A244" t="s">
        <v>94</v>
      </c>
      <c r="B244" t="s">
        <v>46</v>
      </c>
      <c r="C244" t="s">
        <v>81</v>
      </c>
      <c r="D244" s="2">
        <v>0</v>
      </c>
      <c r="E244" s="2">
        <v>0</v>
      </c>
    </row>
    <row r="245" spans="1:5" x14ac:dyDescent="0.2">
      <c r="A245" t="s">
        <v>94</v>
      </c>
      <c r="B245" t="s">
        <v>46</v>
      </c>
      <c r="C245" t="s">
        <v>81</v>
      </c>
      <c r="D245" s="2">
        <v>0</v>
      </c>
      <c r="E245" s="2">
        <v>0</v>
      </c>
    </row>
    <row r="246" spans="1:5" x14ac:dyDescent="0.2">
      <c r="A246" t="s">
        <v>94</v>
      </c>
      <c r="B246" t="s">
        <v>46</v>
      </c>
      <c r="C246" t="s">
        <v>81</v>
      </c>
      <c r="D246" s="2">
        <v>0</v>
      </c>
      <c r="E246" s="2">
        <v>0</v>
      </c>
    </row>
    <row r="247" spans="1:5" x14ac:dyDescent="0.2">
      <c r="A247" t="s">
        <v>94</v>
      </c>
      <c r="B247" t="s">
        <v>46</v>
      </c>
      <c r="C247" t="s">
        <v>81</v>
      </c>
      <c r="D247" s="2">
        <v>130.0002312</v>
      </c>
      <c r="E247" s="2">
        <v>284</v>
      </c>
    </row>
    <row r="248" spans="1:5" x14ac:dyDescent="0.2">
      <c r="A248" t="s">
        <v>94</v>
      </c>
      <c r="B248" t="s">
        <v>46</v>
      </c>
      <c r="C248" t="s">
        <v>81</v>
      </c>
      <c r="D248" s="2">
        <v>0</v>
      </c>
      <c r="E248" s="2">
        <v>0</v>
      </c>
    </row>
    <row r="249" spans="1:5" x14ac:dyDescent="0.2">
      <c r="A249" t="s">
        <v>94</v>
      </c>
      <c r="B249" t="s">
        <v>46</v>
      </c>
      <c r="C249" t="s">
        <v>81</v>
      </c>
      <c r="D249" s="2">
        <v>116.9996534</v>
      </c>
      <c r="E249" s="2">
        <v>92</v>
      </c>
    </row>
    <row r="250" spans="1:5" x14ac:dyDescent="0.2">
      <c r="A250" t="s">
        <v>94</v>
      </c>
      <c r="B250" t="s">
        <v>46</v>
      </c>
      <c r="C250" t="s">
        <v>81</v>
      </c>
      <c r="D250" s="2">
        <v>0</v>
      </c>
      <c r="E250" s="2">
        <v>50</v>
      </c>
    </row>
    <row r="251" spans="1:5" x14ac:dyDescent="0.2">
      <c r="A251" t="s">
        <v>96</v>
      </c>
      <c r="B251" t="s">
        <v>46</v>
      </c>
      <c r="C251" t="s">
        <v>81</v>
      </c>
      <c r="D251" s="2">
        <v>191.30270060000001</v>
      </c>
      <c r="E251" s="2">
        <v>220</v>
      </c>
    </row>
    <row r="252" spans="1:5" x14ac:dyDescent="0.2">
      <c r="A252" t="s">
        <v>96</v>
      </c>
      <c r="B252" t="s">
        <v>46</v>
      </c>
      <c r="C252" t="s">
        <v>81</v>
      </c>
      <c r="D252" s="2">
        <v>148.58348599999999</v>
      </c>
      <c r="E252" s="2">
        <v>90</v>
      </c>
    </row>
    <row r="253" spans="1:5" x14ac:dyDescent="0.2">
      <c r="A253" t="s">
        <v>96</v>
      </c>
      <c r="B253" t="s">
        <v>46</v>
      </c>
      <c r="C253" t="s">
        <v>81</v>
      </c>
      <c r="D253" s="2">
        <v>0</v>
      </c>
      <c r="E253" s="2">
        <v>6</v>
      </c>
    </row>
    <row r="254" spans="1:5" x14ac:dyDescent="0.2">
      <c r="A254" t="s">
        <v>96</v>
      </c>
      <c r="B254" t="s">
        <v>46</v>
      </c>
      <c r="C254" t="s">
        <v>81</v>
      </c>
      <c r="D254" s="2">
        <v>65.1252456</v>
      </c>
      <c r="E254" s="2">
        <v>50</v>
      </c>
    </row>
    <row r="255" spans="1:5" x14ac:dyDescent="0.2">
      <c r="A255" t="s">
        <v>96</v>
      </c>
      <c r="B255" t="s">
        <v>46</v>
      </c>
      <c r="C255" t="s">
        <v>81</v>
      </c>
      <c r="D255" s="2">
        <v>0</v>
      </c>
      <c r="E255" s="2">
        <v>0</v>
      </c>
    </row>
    <row r="256" spans="1:5" x14ac:dyDescent="0.2">
      <c r="A256" t="s">
        <v>96</v>
      </c>
      <c r="B256" t="s">
        <v>46</v>
      </c>
      <c r="C256" t="s">
        <v>81</v>
      </c>
      <c r="D256" s="2">
        <v>0</v>
      </c>
      <c r="E256" s="2">
        <v>0</v>
      </c>
    </row>
    <row r="257" spans="1:5" x14ac:dyDescent="0.2">
      <c r="A257" t="s">
        <v>96</v>
      </c>
      <c r="B257" t="s">
        <v>46</v>
      </c>
      <c r="C257" t="s">
        <v>81</v>
      </c>
      <c r="D257" s="2">
        <v>0</v>
      </c>
      <c r="E257" s="2">
        <v>0</v>
      </c>
    </row>
    <row r="258" spans="1:5" x14ac:dyDescent="0.2">
      <c r="A258" t="s">
        <v>93</v>
      </c>
      <c r="B258" t="s">
        <v>80</v>
      </c>
      <c r="C258" t="s">
        <v>81</v>
      </c>
      <c r="D258" s="2">
        <v>0</v>
      </c>
      <c r="E258" s="2">
        <v>0</v>
      </c>
    </row>
    <row r="259" spans="1:5" x14ac:dyDescent="0.2">
      <c r="A259" t="s">
        <v>93</v>
      </c>
      <c r="B259" t="s">
        <v>80</v>
      </c>
      <c r="C259" t="s">
        <v>81</v>
      </c>
      <c r="D259" s="2">
        <v>0</v>
      </c>
      <c r="E259" s="2">
        <v>0</v>
      </c>
    </row>
    <row r="260" spans="1:5" x14ac:dyDescent="0.2">
      <c r="A260" t="s">
        <v>93</v>
      </c>
      <c r="B260" t="s">
        <v>80</v>
      </c>
      <c r="C260" t="s">
        <v>81</v>
      </c>
      <c r="D260" s="2">
        <v>58.432226999999997</v>
      </c>
      <c r="E260" s="2">
        <v>0</v>
      </c>
    </row>
    <row r="261" spans="1:5" x14ac:dyDescent="0.2">
      <c r="A261" t="s">
        <v>93</v>
      </c>
      <c r="B261" t="s">
        <v>80</v>
      </c>
      <c r="C261" t="s">
        <v>81</v>
      </c>
      <c r="D261" s="2">
        <v>31.969545400000001</v>
      </c>
      <c r="E261" s="2">
        <v>0</v>
      </c>
    </row>
    <row r="262" spans="1:5" x14ac:dyDescent="0.2">
      <c r="A262" t="s">
        <v>95</v>
      </c>
      <c r="B262" t="s">
        <v>80</v>
      </c>
      <c r="C262" t="s">
        <v>81</v>
      </c>
      <c r="D262" s="2">
        <v>0</v>
      </c>
      <c r="E262" s="2">
        <v>0</v>
      </c>
    </row>
    <row r="263" spans="1:5" x14ac:dyDescent="0.2">
      <c r="A263" t="s">
        <v>95</v>
      </c>
      <c r="B263" t="s">
        <v>80</v>
      </c>
      <c r="C263" t="s">
        <v>81</v>
      </c>
      <c r="D263" s="2">
        <v>0</v>
      </c>
      <c r="E263" s="2">
        <v>0</v>
      </c>
    </row>
    <row r="264" spans="1:5" x14ac:dyDescent="0.2">
      <c r="A264" t="s">
        <v>95</v>
      </c>
      <c r="B264" t="s">
        <v>80</v>
      </c>
      <c r="C264" t="s">
        <v>81</v>
      </c>
      <c r="D264" s="2">
        <v>0</v>
      </c>
      <c r="E264" s="2">
        <v>0</v>
      </c>
    </row>
    <row r="265" spans="1:5" x14ac:dyDescent="0.2">
      <c r="A265" t="s">
        <v>95</v>
      </c>
      <c r="B265" t="s">
        <v>80</v>
      </c>
      <c r="C265" t="s">
        <v>81</v>
      </c>
      <c r="D265" s="2">
        <v>0</v>
      </c>
      <c r="E265" s="2">
        <v>0</v>
      </c>
    </row>
    <row r="266" spans="1:5" x14ac:dyDescent="0.2">
      <c r="A266" t="s">
        <v>95</v>
      </c>
      <c r="B266" t="s">
        <v>80</v>
      </c>
      <c r="C266" t="s">
        <v>81</v>
      </c>
      <c r="D266" s="2">
        <v>0</v>
      </c>
      <c r="E266" s="2">
        <v>0</v>
      </c>
    </row>
    <row r="267" spans="1:5" x14ac:dyDescent="0.2">
      <c r="A267" t="s">
        <v>95</v>
      </c>
      <c r="B267" t="s">
        <v>80</v>
      </c>
      <c r="C267" t="s">
        <v>81</v>
      </c>
      <c r="D267" s="2">
        <v>0</v>
      </c>
      <c r="E267" s="2">
        <v>0</v>
      </c>
    </row>
    <row r="268" spans="1:5" x14ac:dyDescent="0.2">
      <c r="A268" t="s">
        <v>95</v>
      </c>
      <c r="B268" t="s">
        <v>80</v>
      </c>
      <c r="C268" t="s">
        <v>81</v>
      </c>
      <c r="D268" s="2">
        <v>286.94262479999998</v>
      </c>
      <c r="E268" s="2">
        <v>0</v>
      </c>
    </row>
    <row r="269" spans="1:5" x14ac:dyDescent="0.2">
      <c r="A269" t="s">
        <v>95</v>
      </c>
      <c r="B269" t="s">
        <v>80</v>
      </c>
      <c r="C269" t="s">
        <v>81</v>
      </c>
      <c r="D269" s="2">
        <v>370.03214379999997</v>
      </c>
      <c r="E269" s="2">
        <v>0</v>
      </c>
    </row>
    <row r="270" spans="1:5" x14ac:dyDescent="0.2">
      <c r="A270" t="s">
        <v>95</v>
      </c>
      <c r="B270" t="s">
        <v>80</v>
      </c>
      <c r="C270" t="s">
        <v>81</v>
      </c>
      <c r="D270" s="2">
        <v>0</v>
      </c>
      <c r="E270" s="2">
        <v>0</v>
      </c>
    </row>
    <row r="271" spans="1:5" x14ac:dyDescent="0.2">
      <c r="A271" t="s">
        <v>95</v>
      </c>
      <c r="B271" t="s">
        <v>80</v>
      </c>
      <c r="C271" t="s">
        <v>81</v>
      </c>
      <c r="D271" s="2">
        <v>728.32596839999997</v>
      </c>
      <c r="E271" s="2">
        <v>0</v>
      </c>
    </row>
    <row r="272" spans="1:5" x14ac:dyDescent="0.2">
      <c r="A272" t="s">
        <v>95</v>
      </c>
      <c r="B272" t="s">
        <v>80</v>
      </c>
      <c r="C272" t="s">
        <v>81</v>
      </c>
      <c r="D272" s="2">
        <v>0</v>
      </c>
      <c r="E272" s="2">
        <v>0</v>
      </c>
    </row>
    <row r="273" spans="1:5" x14ac:dyDescent="0.2">
      <c r="A273" t="s">
        <v>95</v>
      </c>
      <c r="B273" t="s">
        <v>80</v>
      </c>
      <c r="C273" t="s">
        <v>81</v>
      </c>
      <c r="D273" s="2">
        <v>0</v>
      </c>
      <c r="E273" s="2">
        <v>0</v>
      </c>
    </row>
    <row r="274" spans="1:5" x14ac:dyDescent="0.2">
      <c r="A274" t="s">
        <v>95</v>
      </c>
      <c r="B274" t="s">
        <v>80</v>
      </c>
      <c r="C274" t="s">
        <v>81</v>
      </c>
      <c r="D274" s="2">
        <v>430.66202759999999</v>
      </c>
      <c r="E274" s="2">
        <v>0</v>
      </c>
    </row>
    <row r="275" spans="1:5" x14ac:dyDescent="0.2">
      <c r="A275" t="s">
        <v>95</v>
      </c>
      <c r="B275" t="s">
        <v>80</v>
      </c>
      <c r="C275" t="s">
        <v>81</v>
      </c>
      <c r="D275" s="2">
        <v>0</v>
      </c>
      <c r="E275" s="2">
        <v>0</v>
      </c>
    </row>
    <row r="276" spans="1:5" x14ac:dyDescent="0.2">
      <c r="A276" t="s">
        <v>94</v>
      </c>
      <c r="B276" t="s">
        <v>80</v>
      </c>
      <c r="C276" t="s">
        <v>81</v>
      </c>
      <c r="D276" s="2">
        <v>0</v>
      </c>
      <c r="E276" s="2">
        <v>0</v>
      </c>
    </row>
    <row r="277" spans="1:5" x14ac:dyDescent="0.2">
      <c r="A277" t="s">
        <v>94</v>
      </c>
      <c r="B277" t="s">
        <v>80</v>
      </c>
      <c r="C277" t="s">
        <v>81</v>
      </c>
      <c r="D277" s="2">
        <v>0</v>
      </c>
      <c r="E277" s="2">
        <v>0</v>
      </c>
    </row>
    <row r="278" spans="1:5" x14ac:dyDescent="0.2">
      <c r="A278" t="s">
        <v>94</v>
      </c>
      <c r="B278" t="s">
        <v>80</v>
      </c>
      <c r="C278" t="s">
        <v>81</v>
      </c>
      <c r="D278" s="2">
        <v>0</v>
      </c>
      <c r="E278" s="2">
        <v>0</v>
      </c>
    </row>
    <row r="279" spans="1:5" x14ac:dyDescent="0.2">
      <c r="A279" t="s">
        <v>94</v>
      </c>
      <c r="B279" t="s">
        <v>80</v>
      </c>
      <c r="C279" t="s">
        <v>81</v>
      </c>
      <c r="D279" s="2">
        <v>652.56037240000001</v>
      </c>
      <c r="E279" s="2">
        <v>0</v>
      </c>
    </row>
    <row r="280" spans="1:5" x14ac:dyDescent="0.2">
      <c r="A280" t="s">
        <v>94</v>
      </c>
      <c r="B280" t="s">
        <v>80</v>
      </c>
      <c r="C280" t="s">
        <v>81</v>
      </c>
      <c r="D280" s="2">
        <v>0</v>
      </c>
      <c r="E280" s="2">
        <v>0</v>
      </c>
    </row>
    <row r="281" spans="1:5" x14ac:dyDescent="0.2">
      <c r="A281" t="s">
        <v>94</v>
      </c>
      <c r="B281" t="s">
        <v>80</v>
      </c>
      <c r="C281" t="s">
        <v>81</v>
      </c>
      <c r="D281" s="2">
        <v>237.53244720000001</v>
      </c>
      <c r="E281" s="2">
        <v>0</v>
      </c>
    </row>
    <row r="282" spans="1:5" x14ac:dyDescent="0.2">
      <c r="A282" t="s">
        <v>94</v>
      </c>
      <c r="B282" t="s">
        <v>80</v>
      </c>
      <c r="C282" t="s">
        <v>81</v>
      </c>
      <c r="D282" s="2">
        <v>154.4278386</v>
      </c>
      <c r="E282" s="2">
        <v>0</v>
      </c>
    </row>
    <row r="283" spans="1:5" x14ac:dyDescent="0.2">
      <c r="A283" t="s">
        <v>96</v>
      </c>
      <c r="B283" t="s">
        <v>80</v>
      </c>
      <c r="C283" t="s">
        <v>81</v>
      </c>
      <c r="D283" s="2">
        <v>231.9087136</v>
      </c>
      <c r="E283" s="2">
        <v>0</v>
      </c>
    </row>
    <row r="284" spans="1:5" x14ac:dyDescent="0.2">
      <c r="A284" t="s">
        <v>96</v>
      </c>
      <c r="B284" t="s">
        <v>80</v>
      </c>
      <c r="C284" t="s">
        <v>81</v>
      </c>
      <c r="D284" s="2">
        <v>150.6631108</v>
      </c>
      <c r="E284" s="2">
        <v>0</v>
      </c>
    </row>
    <row r="285" spans="1:5" x14ac:dyDescent="0.2">
      <c r="A285" t="s">
        <v>96</v>
      </c>
      <c r="B285" t="s">
        <v>80</v>
      </c>
      <c r="C285" t="s">
        <v>81</v>
      </c>
      <c r="D285" s="2">
        <v>99.332417199999995</v>
      </c>
      <c r="E285" s="2">
        <v>0</v>
      </c>
    </row>
    <row r="286" spans="1:5" x14ac:dyDescent="0.2">
      <c r="A286" t="s">
        <v>96</v>
      </c>
      <c r="B286" t="s">
        <v>80</v>
      </c>
      <c r="C286" t="s">
        <v>81</v>
      </c>
      <c r="D286" s="2">
        <v>93.129697399999998</v>
      </c>
      <c r="E286" s="2">
        <v>0</v>
      </c>
    </row>
    <row r="287" spans="1:5" x14ac:dyDescent="0.2">
      <c r="A287" t="s">
        <v>96</v>
      </c>
      <c r="B287" t="s">
        <v>80</v>
      </c>
      <c r="C287" t="s">
        <v>81</v>
      </c>
      <c r="D287" s="2">
        <v>0</v>
      </c>
      <c r="E287" s="2">
        <v>0</v>
      </c>
    </row>
    <row r="288" spans="1:5" x14ac:dyDescent="0.2">
      <c r="A288" t="s">
        <v>96</v>
      </c>
      <c r="B288" t="s">
        <v>80</v>
      </c>
      <c r="C288" t="s">
        <v>81</v>
      </c>
      <c r="D288" s="2">
        <v>0</v>
      </c>
      <c r="E288" s="2">
        <v>0</v>
      </c>
    </row>
    <row r="289" spans="1:5" x14ac:dyDescent="0.2">
      <c r="A289" t="s">
        <v>96</v>
      </c>
      <c r="B289" t="s">
        <v>80</v>
      </c>
      <c r="C289" t="s">
        <v>81</v>
      </c>
      <c r="D289" s="2">
        <v>0</v>
      </c>
      <c r="E289" s="2">
        <v>0</v>
      </c>
    </row>
    <row r="290" spans="1:5" x14ac:dyDescent="0.2">
      <c r="A290" t="s">
        <v>93</v>
      </c>
      <c r="B290" t="s">
        <v>58</v>
      </c>
      <c r="C290" t="s">
        <v>81</v>
      </c>
      <c r="D290" s="2">
        <v>0</v>
      </c>
      <c r="E290" s="2">
        <v>0</v>
      </c>
    </row>
    <row r="291" spans="1:5" x14ac:dyDescent="0.2">
      <c r="A291" t="s">
        <v>93</v>
      </c>
      <c r="B291" t="s">
        <v>58</v>
      </c>
      <c r="C291" t="s">
        <v>81</v>
      </c>
      <c r="D291" s="2">
        <v>0</v>
      </c>
      <c r="E291" s="2">
        <v>0</v>
      </c>
    </row>
    <row r="292" spans="1:5" x14ac:dyDescent="0.2">
      <c r="A292" t="s">
        <v>93</v>
      </c>
      <c r="B292" t="s">
        <v>58</v>
      </c>
      <c r="C292" t="s">
        <v>81</v>
      </c>
      <c r="D292" s="2">
        <v>0</v>
      </c>
      <c r="E292" s="2">
        <v>42</v>
      </c>
    </row>
    <row r="293" spans="1:5" x14ac:dyDescent="0.2">
      <c r="A293" t="s">
        <v>93</v>
      </c>
      <c r="B293" t="s">
        <v>58</v>
      </c>
      <c r="C293" t="s">
        <v>81</v>
      </c>
      <c r="D293" s="2">
        <v>0</v>
      </c>
      <c r="E293" s="2">
        <v>10</v>
      </c>
    </row>
    <row r="294" spans="1:5" x14ac:dyDescent="0.2">
      <c r="A294" t="s">
        <v>95</v>
      </c>
      <c r="B294" t="s">
        <v>58</v>
      </c>
      <c r="C294" t="s">
        <v>81</v>
      </c>
      <c r="D294" s="2">
        <v>0</v>
      </c>
      <c r="E294" s="2">
        <v>0</v>
      </c>
    </row>
    <row r="295" spans="1:5" x14ac:dyDescent="0.2">
      <c r="A295" t="s">
        <v>95</v>
      </c>
      <c r="B295" t="s">
        <v>58</v>
      </c>
      <c r="C295" t="s">
        <v>81</v>
      </c>
      <c r="D295" s="2">
        <v>0</v>
      </c>
      <c r="E295" s="2">
        <v>0</v>
      </c>
    </row>
    <row r="296" spans="1:5" x14ac:dyDescent="0.2">
      <c r="A296" t="s">
        <v>95</v>
      </c>
      <c r="B296" t="s">
        <v>58</v>
      </c>
      <c r="C296" t="s">
        <v>81</v>
      </c>
      <c r="D296" s="2">
        <v>0</v>
      </c>
      <c r="E296" s="2">
        <v>0</v>
      </c>
    </row>
    <row r="297" spans="1:5" x14ac:dyDescent="0.2">
      <c r="A297" t="s">
        <v>95</v>
      </c>
      <c r="B297" t="s">
        <v>58</v>
      </c>
      <c r="C297" t="s">
        <v>81</v>
      </c>
      <c r="D297" s="2">
        <v>0</v>
      </c>
      <c r="E297" s="2">
        <v>0</v>
      </c>
    </row>
    <row r="298" spans="1:5" x14ac:dyDescent="0.2">
      <c r="A298" t="s">
        <v>95</v>
      </c>
      <c r="B298" t="s">
        <v>58</v>
      </c>
      <c r="C298" t="s">
        <v>81</v>
      </c>
      <c r="D298" s="2">
        <v>0</v>
      </c>
      <c r="E298" s="2">
        <v>0</v>
      </c>
    </row>
    <row r="299" spans="1:5" x14ac:dyDescent="0.2">
      <c r="A299" t="s">
        <v>95</v>
      </c>
      <c r="B299" t="s">
        <v>58</v>
      </c>
      <c r="C299" t="s">
        <v>81</v>
      </c>
      <c r="D299" s="2">
        <v>0</v>
      </c>
      <c r="E299" s="2">
        <v>0</v>
      </c>
    </row>
    <row r="300" spans="1:5" x14ac:dyDescent="0.2">
      <c r="A300" t="s">
        <v>95</v>
      </c>
      <c r="B300" t="s">
        <v>58</v>
      </c>
      <c r="C300" t="s">
        <v>81</v>
      </c>
      <c r="D300" s="2">
        <v>0</v>
      </c>
      <c r="E300" s="2">
        <v>196</v>
      </c>
    </row>
    <row r="301" spans="1:5" x14ac:dyDescent="0.2">
      <c r="A301" t="s">
        <v>95</v>
      </c>
      <c r="B301" t="s">
        <v>58</v>
      </c>
      <c r="C301" t="s">
        <v>81</v>
      </c>
      <c r="D301" s="2">
        <v>0</v>
      </c>
      <c r="E301" s="2">
        <v>270</v>
      </c>
    </row>
    <row r="302" spans="1:5" x14ac:dyDescent="0.2">
      <c r="A302" t="s">
        <v>95</v>
      </c>
      <c r="B302" t="s">
        <v>58</v>
      </c>
      <c r="C302" t="s">
        <v>81</v>
      </c>
      <c r="D302" s="2">
        <v>0</v>
      </c>
      <c r="E302" s="2">
        <v>0</v>
      </c>
    </row>
    <row r="303" spans="1:5" x14ac:dyDescent="0.2">
      <c r="A303" t="s">
        <v>95</v>
      </c>
      <c r="B303" t="s">
        <v>58</v>
      </c>
      <c r="C303" t="s">
        <v>81</v>
      </c>
      <c r="D303" s="2">
        <v>0</v>
      </c>
      <c r="E303" s="2">
        <v>258</v>
      </c>
    </row>
    <row r="304" spans="1:5" x14ac:dyDescent="0.2">
      <c r="A304" t="s">
        <v>95</v>
      </c>
      <c r="B304" t="s">
        <v>58</v>
      </c>
      <c r="C304" t="s">
        <v>81</v>
      </c>
      <c r="D304" s="2">
        <v>0</v>
      </c>
      <c r="E304" s="2">
        <v>0</v>
      </c>
    </row>
    <row r="305" spans="1:5" x14ac:dyDescent="0.2">
      <c r="A305" t="s">
        <v>95</v>
      </c>
      <c r="B305" t="s">
        <v>58</v>
      </c>
      <c r="C305" t="s">
        <v>81</v>
      </c>
      <c r="D305" s="2">
        <v>0</v>
      </c>
      <c r="E305" s="2">
        <v>0</v>
      </c>
    </row>
    <row r="306" spans="1:5" x14ac:dyDescent="0.2">
      <c r="A306" t="s">
        <v>95</v>
      </c>
      <c r="B306" t="s">
        <v>58</v>
      </c>
      <c r="C306" t="s">
        <v>81</v>
      </c>
      <c r="D306" s="2">
        <v>0</v>
      </c>
      <c r="E306" s="2">
        <v>316</v>
      </c>
    </row>
    <row r="307" spans="1:5" x14ac:dyDescent="0.2">
      <c r="A307" t="s">
        <v>95</v>
      </c>
      <c r="B307" t="s">
        <v>58</v>
      </c>
      <c r="C307" t="s">
        <v>81</v>
      </c>
      <c r="D307" s="2">
        <v>0</v>
      </c>
      <c r="E307" s="2">
        <v>0</v>
      </c>
    </row>
    <row r="308" spans="1:5" x14ac:dyDescent="0.2">
      <c r="A308" t="s">
        <v>94</v>
      </c>
      <c r="B308" t="s">
        <v>58</v>
      </c>
      <c r="C308" t="s">
        <v>81</v>
      </c>
      <c r="D308" s="2">
        <v>0</v>
      </c>
      <c r="E308" s="2">
        <v>0</v>
      </c>
    </row>
    <row r="309" spans="1:5" x14ac:dyDescent="0.2">
      <c r="A309" t="s">
        <v>94</v>
      </c>
      <c r="B309" t="s">
        <v>58</v>
      </c>
      <c r="C309" t="s">
        <v>81</v>
      </c>
      <c r="D309" s="2">
        <v>0</v>
      </c>
      <c r="E309" s="2">
        <v>0</v>
      </c>
    </row>
    <row r="310" spans="1:5" x14ac:dyDescent="0.2">
      <c r="A310" t="s">
        <v>94</v>
      </c>
      <c r="B310" t="s">
        <v>58</v>
      </c>
      <c r="C310" t="s">
        <v>81</v>
      </c>
      <c r="D310" s="2">
        <v>0</v>
      </c>
      <c r="E310" s="2">
        <v>0</v>
      </c>
    </row>
    <row r="311" spans="1:5" x14ac:dyDescent="0.2">
      <c r="A311" t="s">
        <v>94</v>
      </c>
      <c r="B311" t="s">
        <v>58</v>
      </c>
      <c r="C311" t="s">
        <v>81</v>
      </c>
      <c r="D311" s="2">
        <v>0</v>
      </c>
      <c r="E311" s="2">
        <v>26</v>
      </c>
    </row>
    <row r="312" spans="1:5" x14ac:dyDescent="0.2">
      <c r="A312" t="s">
        <v>94</v>
      </c>
      <c r="B312" t="s">
        <v>58</v>
      </c>
      <c r="C312" t="s">
        <v>81</v>
      </c>
      <c r="D312" s="2">
        <v>0</v>
      </c>
      <c r="E312" s="2">
        <v>0</v>
      </c>
    </row>
    <row r="313" spans="1:5" x14ac:dyDescent="0.2">
      <c r="A313" t="s">
        <v>94</v>
      </c>
      <c r="B313" t="s">
        <v>58</v>
      </c>
      <c r="C313" t="s">
        <v>81</v>
      </c>
      <c r="D313" s="2">
        <v>0</v>
      </c>
      <c r="E313" s="2">
        <v>2</v>
      </c>
    </row>
    <row r="314" spans="1:5" x14ac:dyDescent="0.2">
      <c r="A314" t="s">
        <v>94</v>
      </c>
      <c r="B314" t="s">
        <v>58</v>
      </c>
      <c r="C314" t="s">
        <v>81</v>
      </c>
      <c r="D314" s="2">
        <v>0</v>
      </c>
      <c r="E314" s="2">
        <v>0</v>
      </c>
    </row>
    <row r="315" spans="1:5" x14ac:dyDescent="0.2">
      <c r="A315" t="s">
        <v>96</v>
      </c>
      <c r="B315" t="s">
        <v>58</v>
      </c>
      <c r="C315" t="s">
        <v>81</v>
      </c>
      <c r="D315" s="2">
        <v>0</v>
      </c>
      <c r="E315" s="2">
        <v>156</v>
      </c>
    </row>
    <row r="316" spans="1:5" x14ac:dyDescent="0.2">
      <c r="A316" t="s">
        <v>96</v>
      </c>
      <c r="B316" t="s">
        <v>58</v>
      </c>
      <c r="C316" t="s">
        <v>81</v>
      </c>
      <c r="D316" s="2">
        <v>0</v>
      </c>
      <c r="E316" s="2">
        <v>48</v>
      </c>
    </row>
    <row r="317" spans="1:5" x14ac:dyDescent="0.2">
      <c r="A317" t="s">
        <v>96</v>
      </c>
      <c r="B317" t="s">
        <v>58</v>
      </c>
      <c r="C317" t="s">
        <v>81</v>
      </c>
      <c r="D317" s="2">
        <v>0</v>
      </c>
      <c r="E317" s="2">
        <v>0</v>
      </c>
    </row>
    <row r="318" spans="1:5" x14ac:dyDescent="0.2">
      <c r="A318" t="s">
        <v>96</v>
      </c>
      <c r="B318" t="s">
        <v>58</v>
      </c>
      <c r="C318" t="s">
        <v>81</v>
      </c>
      <c r="D318" s="2">
        <v>0</v>
      </c>
      <c r="E318" s="2">
        <v>20</v>
      </c>
    </row>
    <row r="319" spans="1:5" x14ac:dyDescent="0.2">
      <c r="A319" t="s">
        <v>96</v>
      </c>
      <c r="B319" t="s">
        <v>58</v>
      </c>
      <c r="C319" t="s">
        <v>81</v>
      </c>
      <c r="D319" s="2">
        <v>0</v>
      </c>
      <c r="E319" s="2">
        <v>0</v>
      </c>
    </row>
    <row r="320" spans="1:5" x14ac:dyDescent="0.2">
      <c r="A320" t="s">
        <v>96</v>
      </c>
      <c r="B320" t="s">
        <v>58</v>
      </c>
      <c r="C320" t="s">
        <v>81</v>
      </c>
      <c r="D320" s="2">
        <v>0</v>
      </c>
      <c r="E320" s="2">
        <v>0</v>
      </c>
    </row>
    <row r="321" spans="1:5" x14ac:dyDescent="0.2">
      <c r="A321" t="s">
        <v>96</v>
      </c>
      <c r="B321" t="s">
        <v>58</v>
      </c>
      <c r="C321" t="s">
        <v>81</v>
      </c>
      <c r="D321" s="2">
        <v>0</v>
      </c>
      <c r="E321" s="2">
        <v>0</v>
      </c>
    </row>
    <row r="322" spans="1:5" x14ac:dyDescent="0.2">
      <c r="A322" t="s">
        <v>93</v>
      </c>
      <c r="B322" t="s">
        <v>36</v>
      </c>
      <c r="C322" t="s">
        <v>81</v>
      </c>
      <c r="D322" s="2">
        <v>0</v>
      </c>
      <c r="E322" s="2">
        <v>0</v>
      </c>
    </row>
    <row r="323" spans="1:5" x14ac:dyDescent="0.2">
      <c r="A323" t="s">
        <v>93</v>
      </c>
      <c r="B323" t="s">
        <v>36</v>
      </c>
      <c r="C323" t="s">
        <v>81</v>
      </c>
      <c r="D323" s="2">
        <v>0</v>
      </c>
      <c r="E323" s="2">
        <v>0</v>
      </c>
    </row>
    <row r="324" spans="1:5" x14ac:dyDescent="0.2">
      <c r="A324" t="s">
        <v>93</v>
      </c>
      <c r="B324" t="s">
        <v>36</v>
      </c>
      <c r="C324" t="s">
        <v>81</v>
      </c>
      <c r="D324" s="2">
        <v>42.834868399999998</v>
      </c>
      <c r="E324" s="2">
        <v>50</v>
      </c>
    </row>
    <row r="325" spans="1:5" x14ac:dyDescent="0.2">
      <c r="A325" t="s">
        <v>93</v>
      </c>
      <c r="B325" t="s">
        <v>36</v>
      </c>
      <c r="C325" t="s">
        <v>81</v>
      </c>
      <c r="D325" s="2">
        <v>21.408806200000001</v>
      </c>
      <c r="E325" s="2">
        <v>28</v>
      </c>
    </row>
    <row r="326" spans="1:5" x14ac:dyDescent="0.2">
      <c r="A326" t="s">
        <v>95</v>
      </c>
      <c r="B326" t="s">
        <v>36</v>
      </c>
      <c r="C326" t="s">
        <v>81</v>
      </c>
      <c r="D326" s="2">
        <v>0</v>
      </c>
      <c r="E326" s="2">
        <v>0</v>
      </c>
    </row>
    <row r="327" spans="1:5" x14ac:dyDescent="0.2">
      <c r="A327" t="s">
        <v>95</v>
      </c>
      <c r="B327" t="s">
        <v>36</v>
      </c>
      <c r="C327" t="s">
        <v>81</v>
      </c>
      <c r="D327" s="2">
        <v>0</v>
      </c>
      <c r="E327" s="2">
        <v>0</v>
      </c>
    </row>
    <row r="328" spans="1:5" x14ac:dyDescent="0.2">
      <c r="A328" t="s">
        <v>95</v>
      </c>
      <c r="B328" t="s">
        <v>36</v>
      </c>
      <c r="C328" t="s">
        <v>81</v>
      </c>
      <c r="D328" s="2">
        <v>0</v>
      </c>
      <c r="E328" s="2">
        <v>0</v>
      </c>
    </row>
    <row r="329" spans="1:5" x14ac:dyDescent="0.2">
      <c r="A329" t="s">
        <v>95</v>
      </c>
      <c r="B329" t="s">
        <v>36</v>
      </c>
      <c r="C329" t="s">
        <v>81</v>
      </c>
      <c r="D329" s="2">
        <v>0</v>
      </c>
      <c r="E329" s="2">
        <v>0</v>
      </c>
    </row>
    <row r="330" spans="1:5" x14ac:dyDescent="0.2">
      <c r="A330" t="s">
        <v>95</v>
      </c>
      <c r="B330" t="s">
        <v>36</v>
      </c>
      <c r="C330" t="s">
        <v>81</v>
      </c>
      <c r="D330" s="2">
        <v>0</v>
      </c>
      <c r="E330" s="2">
        <v>0</v>
      </c>
    </row>
    <row r="331" spans="1:5" x14ac:dyDescent="0.2">
      <c r="A331" t="s">
        <v>95</v>
      </c>
      <c r="B331" t="s">
        <v>36</v>
      </c>
      <c r="C331" t="s">
        <v>81</v>
      </c>
      <c r="D331" s="2">
        <v>0</v>
      </c>
      <c r="E331" s="2">
        <v>0</v>
      </c>
    </row>
    <row r="332" spans="1:5" x14ac:dyDescent="0.2">
      <c r="A332" t="s">
        <v>95</v>
      </c>
      <c r="B332" t="s">
        <v>36</v>
      </c>
      <c r="C332" t="s">
        <v>81</v>
      </c>
      <c r="D332" s="2">
        <v>207.1393794</v>
      </c>
      <c r="E332" s="2">
        <v>236</v>
      </c>
    </row>
    <row r="333" spans="1:5" x14ac:dyDescent="0.2">
      <c r="A333" t="s">
        <v>95</v>
      </c>
      <c r="B333" t="s">
        <v>36</v>
      </c>
      <c r="C333" t="s">
        <v>81</v>
      </c>
      <c r="D333" s="2">
        <v>252.7129386</v>
      </c>
      <c r="E333" s="2">
        <v>358</v>
      </c>
    </row>
    <row r="334" spans="1:5" x14ac:dyDescent="0.2">
      <c r="A334" t="s">
        <v>95</v>
      </c>
      <c r="B334" t="s">
        <v>36</v>
      </c>
      <c r="C334" t="s">
        <v>81</v>
      </c>
      <c r="D334" s="2">
        <v>0</v>
      </c>
      <c r="E334" s="2">
        <v>0</v>
      </c>
    </row>
    <row r="335" spans="1:5" x14ac:dyDescent="0.2">
      <c r="A335" t="s">
        <v>95</v>
      </c>
      <c r="B335" t="s">
        <v>36</v>
      </c>
      <c r="C335" t="s">
        <v>81</v>
      </c>
      <c r="D335" s="2">
        <v>541.67103759999998</v>
      </c>
      <c r="E335" s="2">
        <v>366</v>
      </c>
    </row>
    <row r="336" spans="1:5" x14ac:dyDescent="0.2">
      <c r="A336" t="s">
        <v>95</v>
      </c>
      <c r="B336" t="s">
        <v>36</v>
      </c>
      <c r="C336" t="s">
        <v>81</v>
      </c>
      <c r="D336" s="2">
        <v>0</v>
      </c>
      <c r="E336" s="2">
        <v>0</v>
      </c>
    </row>
    <row r="337" spans="1:5" x14ac:dyDescent="0.2">
      <c r="A337" t="s">
        <v>95</v>
      </c>
      <c r="B337" t="s">
        <v>36</v>
      </c>
      <c r="C337" t="s">
        <v>81</v>
      </c>
      <c r="D337" s="2">
        <v>0</v>
      </c>
      <c r="E337" s="2">
        <v>0</v>
      </c>
    </row>
    <row r="338" spans="1:5" x14ac:dyDescent="0.2">
      <c r="A338" t="s">
        <v>95</v>
      </c>
      <c r="B338" t="s">
        <v>36</v>
      </c>
      <c r="C338" t="s">
        <v>81</v>
      </c>
      <c r="D338" s="2">
        <v>302.47051340000002</v>
      </c>
      <c r="E338" s="2">
        <v>484</v>
      </c>
    </row>
    <row r="339" spans="1:5" x14ac:dyDescent="0.2">
      <c r="A339" t="s">
        <v>95</v>
      </c>
      <c r="B339" t="s">
        <v>36</v>
      </c>
      <c r="C339" t="s">
        <v>81</v>
      </c>
      <c r="D339" s="2">
        <v>0</v>
      </c>
      <c r="E339" s="2">
        <v>0</v>
      </c>
    </row>
    <row r="340" spans="1:5" x14ac:dyDescent="0.2">
      <c r="A340" t="s">
        <v>94</v>
      </c>
      <c r="B340" t="s">
        <v>36</v>
      </c>
      <c r="C340" t="s">
        <v>81</v>
      </c>
      <c r="D340" s="2">
        <v>0</v>
      </c>
      <c r="E340" s="2">
        <v>0</v>
      </c>
    </row>
    <row r="341" spans="1:5" x14ac:dyDescent="0.2">
      <c r="A341" t="s">
        <v>94</v>
      </c>
      <c r="B341" t="s">
        <v>36</v>
      </c>
      <c r="C341" t="s">
        <v>81</v>
      </c>
      <c r="D341" s="2">
        <v>0</v>
      </c>
      <c r="E341" s="2">
        <v>0</v>
      </c>
    </row>
    <row r="342" spans="1:5" x14ac:dyDescent="0.2">
      <c r="A342" t="s">
        <v>94</v>
      </c>
      <c r="B342" t="s">
        <v>36</v>
      </c>
      <c r="C342" t="s">
        <v>81</v>
      </c>
      <c r="D342" s="2">
        <v>0</v>
      </c>
      <c r="E342" s="2">
        <v>0</v>
      </c>
    </row>
    <row r="343" spans="1:5" x14ac:dyDescent="0.2">
      <c r="A343" t="s">
        <v>94</v>
      </c>
      <c r="B343" t="s">
        <v>36</v>
      </c>
      <c r="C343" t="s">
        <v>81</v>
      </c>
      <c r="D343" s="2">
        <v>55.445653</v>
      </c>
      <c r="E343" s="2">
        <v>56</v>
      </c>
    </row>
    <row r="344" spans="1:5" x14ac:dyDescent="0.2">
      <c r="A344" t="s">
        <v>94</v>
      </c>
      <c r="B344" t="s">
        <v>36</v>
      </c>
      <c r="C344" t="s">
        <v>81</v>
      </c>
      <c r="D344" s="2">
        <v>0</v>
      </c>
      <c r="E344" s="2">
        <v>0</v>
      </c>
    </row>
    <row r="345" spans="1:5" x14ac:dyDescent="0.2">
      <c r="A345" t="s">
        <v>94</v>
      </c>
      <c r="B345" t="s">
        <v>36</v>
      </c>
      <c r="C345" t="s">
        <v>81</v>
      </c>
      <c r="D345" s="2">
        <v>56.831520400000002</v>
      </c>
      <c r="E345" s="2">
        <v>18</v>
      </c>
    </row>
    <row r="346" spans="1:5" x14ac:dyDescent="0.2">
      <c r="A346" t="s">
        <v>94</v>
      </c>
      <c r="B346" t="s">
        <v>36</v>
      </c>
      <c r="C346" t="s">
        <v>81</v>
      </c>
      <c r="D346" s="2">
        <v>0</v>
      </c>
      <c r="E346" s="2">
        <v>0</v>
      </c>
    </row>
    <row r="347" spans="1:5" x14ac:dyDescent="0.2">
      <c r="A347" t="s">
        <v>96</v>
      </c>
      <c r="B347" t="s">
        <v>36</v>
      </c>
      <c r="C347" t="s">
        <v>81</v>
      </c>
      <c r="D347" s="2">
        <v>174.66466819999999</v>
      </c>
      <c r="E347" s="2">
        <v>220</v>
      </c>
    </row>
    <row r="348" spans="1:5" x14ac:dyDescent="0.2">
      <c r="A348" t="s">
        <v>96</v>
      </c>
      <c r="B348" t="s">
        <v>36</v>
      </c>
      <c r="C348" t="s">
        <v>81</v>
      </c>
      <c r="D348" s="2">
        <v>130.47582919999999</v>
      </c>
      <c r="E348" s="2">
        <v>70</v>
      </c>
    </row>
    <row r="349" spans="1:5" x14ac:dyDescent="0.2">
      <c r="A349" t="s">
        <v>96</v>
      </c>
      <c r="B349" t="s">
        <v>36</v>
      </c>
      <c r="C349" t="s">
        <v>81</v>
      </c>
      <c r="D349" s="2">
        <v>0</v>
      </c>
      <c r="E349" s="2">
        <v>0</v>
      </c>
    </row>
    <row r="350" spans="1:5" x14ac:dyDescent="0.2">
      <c r="A350" t="s">
        <v>96</v>
      </c>
      <c r="B350" t="s">
        <v>36</v>
      </c>
      <c r="C350" t="s">
        <v>81</v>
      </c>
      <c r="D350" s="2">
        <v>88.291028999999995</v>
      </c>
      <c r="E350" s="2">
        <v>34</v>
      </c>
    </row>
    <row r="351" spans="1:5" x14ac:dyDescent="0.2">
      <c r="A351" t="s">
        <v>96</v>
      </c>
      <c r="B351" t="s">
        <v>36</v>
      </c>
      <c r="C351" t="s">
        <v>81</v>
      </c>
      <c r="D351" s="2">
        <v>0</v>
      </c>
      <c r="E351" s="2">
        <v>0</v>
      </c>
    </row>
    <row r="352" spans="1:5" x14ac:dyDescent="0.2">
      <c r="A352" t="s">
        <v>96</v>
      </c>
      <c r="B352" t="s">
        <v>36</v>
      </c>
      <c r="C352" t="s">
        <v>81</v>
      </c>
      <c r="D352" s="2">
        <v>0</v>
      </c>
      <c r="E352" s="2">
        <v>0</v>
      </c>
    </row>
    <row r="353" spans="1:5" x14ac:dyDescent="0.2">
      <c r="A353" t="s">
        <v>96</v>
      </c>
      <c r="B353" t="s">
        <v>36</v>
      </c>
      <c r="C353" t="s">
        <v>81</v>
      </c>
      <c r="D353" s="2">
        <v>0</v>
      </c>
      <c r="E353" s="2">
        <v>0</v>
      </c>
    </row>
    <row r="354" spans="1:5" x14ac:dyDescent="0.2">
      <c r="A354" t="s">
        <v>93</v>
      </c>
      <c r="B354" t="s">
        <v>70</v>
      </c>
      <c r="C354" t="s">
        <v>81</v>
      </c>
      <c r="D354" s="2">
        <v>0</v>
      </c>
      <c r="E354" s="2">
        <v>0</v>
      </c>
    </row>
    <row r="355" spans="1:5" x14ac:dyDescent="0.2">
      <c r="A355" t="s">
        <v>93</v>
      </c>
      <c r="B355" t="s">
        <v>70</v>
      </c>
      <c r="C355" t="s">
        <v>81</v>
      </c>
      <c r="D355" s="2">
        <v>0</v>
      </c>
      <c r="E355" s="2">
        <v>0</v>
      </c>
    </row>
    <row r="356" spans="1:5" x14ac:dyDescent="0.2">
      <c r="A356" t="s">
        <v>93</v>
      </c>
      <c r="B356" t="s">
        <v>70</v>
      </c>
      <c r="C356" t="s">
        <v>81</v>
      </c>
      <c r="D356" s="2">
        <v>42.744267000000001</v>
      </c>
      <c r="E356" s="2">
        <v>46</v>
      </c>
    </row>
    <row r="357" spans="1:5" x14ac:dyDescent="0.2">
      <c r="A357" t="s">
        <v>93</v>
      </c>
      <c r="B357" t="s">
        <v>70</v>
      </c>
      <c r="C357" t="s">
        <v>81</v>
      </c>
      <c r="D357" s="2">
        <v>43.735456200000002</v>
      </c>
      <c r="E357" s="2">
        <v>30</v>
      </c>
    </row>
    <row r="358" spans="1:5" x14ac:dyDescent="0.2">
      <c r="A358" t="s">
        <v>95</v>
      </c>
      <c r="B358" t="s">
        <v>70</v>
      </c>
      <c r="C358" t="s">
        <v>81</v>
      </c>
      <c r="D358" s="2">
        <v>0</v>
      </c>
      <c r="E358" s="2">
        <v>0</v>
      </c>
    </row>
    <row r="359" spans="1:5" x14ac:dyDescent="0.2">
      <c r="A359" t="s">
        <v>95</v>
      </c>
      <c r="B359" t="s">
        <v>70</v>
      </c>
      <c r="C359" t="s">
        <v>81</v>
      </c>
      <c r="D359" s="2">
        <v>0</v>
      </c>
      <c r="E359" s="2">
        <v>0</v>
      </c>
    </row>
    <row r="360" spans="1:5" x14ac:dyDescent="0.2">
      <c r="A360" t="s">
        <v>95</v>
      </c>
      <c r="B360" t="s">
        <v>70</v>
      </c>
      <c r="C360" t="s">
        <v>81</v>
      </c>
      <c r="D360" s="2">
        <v>0</v>
      </c>
      <c r="E360" s="2">
        <v>0</v>
      </c>
    </row>
    <row r="361" spans="1:5" x14ac:dyDescent="0.2">
      <c r="A361" t="s">
        <v>95</v>
      </c>
      <c r="B361" t="s">
        <v>70</v>
      </c>
      <c r="C361" t="s">
        <v>81</v>
      </c>
      <c r="D361" s="2">
        <v>0</v>
      </c>
      <c r="E361" s="2">
        <v>0</v>
      </c>
    </row>
    <row r="362" spans="1:5" x14ac:dyDescent="0.2">
      <c r="A362" t="s">
        <v>95</v>
      </c>
      <c r="B362" t="s">
        <v>70</v>
      </c>
      <c r="C362" t="s">
        <v>81</v>
      </c>
      <c r="D362" s="2">
        <v>0</v>
      </c>
      <c r="E362" s="2">
        <v>0</v>
      </c>
    </row>
    <row r="363" spans="1:5" x14ac:dyDescent="0.2">
      <c r="A363" t="s">
        <v>95</v>
      </c>
      <c r="B363" t="s">
        <v>70</v>
      </c>
      <c r="C363" t="s">
        <v>81</v>
      </c>
      <c r="D363" s="2">
        <v>0</v>
      </c>
      <c r="E363" s="2">
        <v>0</v>
      </c>
    </row>
    <row r="364" spans="1:5" x14ac:dyDescent="0.2">
      <c r="A364" t="s">
        <v>95</v>
      </c>
      <c r="B364" t="s">
        <v>70</v>
      </c>
      <c r="C364" t="s">
        <v>81</v>
      </c>
      <c r="D364" s="2">
        <v>229.2780348</v>
      </c>
      <c r="E364" s="2">
        <v>232</v>
      </c>
    </row>
    <row r="365" spans="1:5" x14ac:dyDescent="0.2">
      <c r="A365" t="s">
        <v>95</v>
      </c>
      <c r="B365" t="s">
        <v>70</v>
      </c>
      <c r="C365" t="s">
        <v>81</v>
      </c>
      <c r="D365" s="2">
        <v>345.60033779999998</v>
      </c>
      <c r="E365" s="2">
        <v>318</v>
      </c>
    </row>
    <row r="366" spans="1:5" x14ac:dyDescent="0.2">
      <c r="A366" t="s">
        <v>95</v>
      </c>
      <c r="B366" t="s">
        <v>70</v>
      </c>
      <c r="C366" t="s">
        <v>81</v>
      </c>
      <c r="D366" s="2">
        <v>0</v>
      </c>
      <c r="E366" s="2">
        <v>0</v>
      </c>
    </row>
    <row r="367" spans="1:5" x14ac:dyDescent="0.2">
      <c r="A367" t="s">
        <v>95</v>
      </c>
      <c r="B367" t="s">
        <v>70</v>
      </c>
      <c r="C367" t="s">
        <v>81</v>
      </c>
      <c r="D367" s="2">
        <v>697.22245720000001</v>
      </c>
      <c r="E367" s="2">
        <v>350</v>
      </c>
    </row>
    <row r="368" spans="1:5" x14ac:dyDescent="0.2">
      <c r="A368" t="s">
        <v>95</v>
      </c>
      <c r="B368" t="s">
        <v>70</v>
      </c>
      <c r="C368" t="s">
        <v>81</v>
      </c>
      <c r="D368" s="2">
        <v>0</v>
      </c>
      <c r="E368" s="2">
        <v>0</v>
      </c>
    </row>
    <row r="369" spans="1:5" x14ac:dyDescent="0.2">
      <c r="A369" t="s">
        <v>95</v>
      </c>
      <c r="B369" t="s">
        <v>70</v>
      </c>
      <c r="C369" t="s">
        <v>81</v>
      </c>
      <c r="D369" s="2">
        <v>0</v>
      </c>
      <c r="E369" s="2">
        <v>0</v>
      </c>
    </row>
    <row r="370" spans="1:5" x14ac:dyDescent="0.2">
      <c r="A370" t="s">
        <v>95</v>
      </c>
      <c r="B370" t="s">
        <v>70</v>
      </c>
      <c r="C370" t="s">
        <v>81</v>
      </c>
      <c r="D370" s="2">
        <v>466.46150540000002</v>
      </c>
      <c r="E370" s="2">
        <v>458</v>
      </c>
    </row>
    <row r="371" spans="1:5" x14ac:dyDescent="0.2">
      <c r="A371" t="s">
        <v>95</v>
      </c>
      <c r="B371" t="s">
        <v>70</v>
      </c>
      <c r="C371" t="s">
        <v>81</v>
      </c>
      <c r="D371" s="2">
        <v>0</v>
      </c>
      <c r="E371" s="2">
        <v>0</v>
      </c>
    </row>
    <row r="372" spans="1:5" x14ac:dyDescent="0.2">
      <c r="A372" t="s">
        <v>94</v>
      </c>
      <c r="B372" t="s">
        <v>70</v>
      </c>
      <c r="C372" t="s">
        <v>81</v>
      </c>
      <c r="D372" s="2">
        <v>0</v>
      </c>
      <c r="E372" s="2">
        <v>0</v>
      </c>
    </row>
    <row r="373" spans="1:5" x14ac:dyDescent="0.2">
      <c r="A373" t="s">
        <v>94</v>
      </c>
      <c r="B373" t="s">
        <v>70</v>
      </c>
      <c r="C373" t="s">
        <v>81</v>
      </c>
      <c r="D373" s="2">
        <v>0</v>
      </c>
      <c r="E373" s="2">
        <v>0</v>
      </c>
    </row>
    <row r="374" spans="1:5" x14ac:dyDescent="0.2">
      <c r="A374" t="s">
        <v>94</v>
      </c>
      <c r="B374" t="s">
        <v>70</v>
      </c>
      <c r="C374" t="s">
        <v>81</v>
      </c>
      <c r="D374" s="2">
        <v>0</v>
      </c>
      <c r="E374" s="2">
        <v>0</v>
      </c>
    </row>
    <row r="375" spans="1:5" x14ac:dyDescent="0.2">
      <c r="A375" t="s">
        <v>94</v>
      </c>
      <c r="B375" t="s">
        <v>70</v>
      </c>
      <c r="C375" t="s">
        <v>81</v>
      </c>
      <c r="D375" s="2">
        <v>269.78448179999998</v>
      </c>
      <c r="E375" s="2">
        <v>250</v>
      </c>
    </row>
    <row r="376" spans="1:5" x14ac:dyDescent="0.2">
      <c r="A376" t="s">
        <v>94</v>
      </c>
      <c r="B376" t="s">
        <v>70</v>
      </c>
      <c r="C376" t="s">
        <v>81</v>
      </c>
      <c r="D376" s="2">
        <v>0</v>
      </c>
      <c r="E376" s="2">
        <v>0</v>
      </c>
    </row>
    <row r="377" spans="1:5" x14ac:dyDescent="0.2">
      <c r="A377" t="s">
        <v>94</v>
      </c>
      <c r="B377" t="s">
        <v>70</v>
      </c>
      <c r="C377" t="s">
        <v>81</v>
      </c>
      <c r="D377" s="2">
        <v>120.59696599999999</v>
      </c>
      <c r="E377" s="2">
        <v>70</v>
      </c>
    </row>
    <row r="378" spans="1:5" x14ac:dyDescent="0.2">
      <c r="A378" t="s">
        <v>94</v>
      </c>
      <c r="B378" t="s">
        <v>70</v>
      </c>
      <c r="C378" t="s">
        <v>81</v>
      </c>
      <c r="D378" s="2">
        <v>133.82525939999999</v>
      </c>
      <c r="E378" s="2">
        <v>36</v>
      </c>
    </row>
    <row r="379" spans="1:5" x14ac:dyDescent="0.2">
      <c r="A379" t="s">
        <v>96</v>
      </c>
      <c r="B379" t="s">
        <v>70</v>
      </c>
      <c r="C379" t="s">
        <v>81</v>
      </c>
      <c r="D379" s="2">
        <v>228.10890699999999</v>
      </c>
      <c r="E379" s="2">
        <v>214</v>
      </c>
    </row>
    <row r="380" spans="1:5" x14ac:dyDescent="0.2">
      <c r="A380" t="s">
        <v>96</v>
      </c>
      <c r="B380" t="s">
        <v>70</v>
      </c>
      <c r="C380" t="s">
        <v>81</v>
      </c>
      <c r="D380" s="2">
        <v>164.5832944</v>
      </c>
      <c r="E380" s="2">
        <v>92</v>
      </c>
    </row>
    <row r="381" spans="1:5" x14ac:dyDescent="0.2">
      <c r="A381" t="s">
        <v>96</v>
      </c>
      <c r="B381" t="s">
        <v>70</v>
      </c>
      <c r="C381" t="s">
        <v>81</v>
      </c>
      <c r="D381" s="2">
        <v>0</v>
      </c>
      <c r="E381" s="2">
        <v>0</v>
      </c>
    </row>
    <row r="382" spans="1:5" x14ac:dyDescent="0.2">
      <c r="A382" t="s">
        <v>96</v>
      </c>
      <c r="B382" t="s">
        <v>70</v>
      </c>
      <c r="C382" t="s">
        <v>81</v>
      </c>
      <c r="D382" s="2">
        <v>92.003110800000002</v>
      </c>
      <c r="E382" s="2">
        <v>50</v>
      </c>
    </row>
    <row r="383" spans="1:5" x14ac:dyDescent="0.2">
      <c r="A383" t="s">
        <v>96</v>
      </c>
      <c r="B383" t="s">
        <v>70</v>
      </c>
      <c r="C383" t="s">
        <v>81</v>
      </c>
      <c r="D383" s="2">
        <v>0</v>
      </c>
      <c r="E383" s="2">
        <v>0</v>
      </c>
    </row>
    <row r="384" spans="1:5" x14ac:dyDescent="0.2">
      <c r="A384" t="s">
        <v>96</v>
      </c>
      <c r="B384" t="s">
        <v>70</v>
      </c>
      <c r="C384" t="s">
        <v>81</v>
      </c>
      <c r="D384" s="2">
        <v>0</v>
      </c>
      <c r="E384" s="2">
        <v>0</v>
      </c>
    </row>
    <row r="385" spans="1:5" x14ac:dyDescent="0.2">
      <c r="A385" t="s">
        <v>96</v>
      </c>
      <c r="B385" t="s">
        <v>70</v>
      </c>
      <c r="C385" t="s">
        <v>81</v>
      </c>
      <c r="D385" s="2">
        <v>0</v>
      </c>
      <c r="E385" s="2">
        <v>0</v>
      </c>
    </row>
    <row r="386" spans="1:5" x14ac:dyDescent="0.2">
      <c r="A386" t="s">
        <v>93</v>
      </c>
      <c r="B386" t="s">
        <v>57</v>
      </c>
      <c r="C386" t="s">
        <v>81</v>
      </c>
      <c r="D386" s="2">
        <v>0</v>
      </c>
      <c r="E386" s="2">
        <v>0</v>
      </c>
    </row>
    <row r="387" spans="1:5" x14ac:dyDescent="0.2">
      <c r="A387" t="s">
        <v>93</v>
      </c>
      <c r="B387" t="s">
        <v>57</v>
      </c>
      <c r="C387" t="s">
        <v>81</v>
      </c>
      <c r="D387" s="2">
        <v>0</v>
      </c>
      <c r="E387" s="2">
        <v>0</v>
      </c>
    </row>
    <row r="388" spans="1:5" x14ac:dyDescent="0.2">
      <c r="A388" t="s">
        <v>93</v>
      </c>
      <c r="B388" t="s">
        <v>57</v>
      </c>
      <c r="C388" t="s">
        <v>81</v>
      </c>
      <c r="D388" s="2">
        <v>0</v>
      </c>
      <c r="E388" s="2">
        <v>36</v>
      </c>
    </row>
    <row r="389" spans="1:5" x14ac:dyDescent="0.2">
      <c r="A389" t="s">
        <v>93</v>
      </c>
      <c r="B389" t="s">
        <v>57</v>
      </c>
      <c r="C389" t="s">
        <v>81</v>
      </c>
      <c r="D389" s="2">
        <v>0</v>
      </c>
      <c r="E389" s="2">
        <v>8</v>
      </c>
    </row>
    <row r="390" spans="1:5" x14ac:dyDescent="0.2">
      <c r="A390" t="s">
        <v>95</v>
      </c>
      <c r="B390" t="s">
        <v>57</v>
      </c>
      <c r="C390" t="s">
        <v>81</v>
      </c>
      <c r="D390" s="2">
        <v>0</v>
      </c>
      <c r="E390" s="2">
        <v>0</v>
      </c>
    </row>
    <row r="391" spans="1:5" x14ac:dyDescent="0.2">
      <c r="A391" t="s">
        <v>95</v>
      </c>
      <c r="B391" t="s">
        <v>57</v>
      </c>
      <c r="C391" t="s">
        <v>81</v>
      </c>
      <c r="D391" s="2">
        <v>0</v>
      </c>
      <c r="E391" s="2">
        <v>0</v>
      </c>
    </row>
    <row r="392" spans="1:5" x14ac:dyDescent="0.2">
      <c r="A392" t="s">
        <v>95</v>
      </c>
      <c r="B392" t="s">
        <v>57</v>
      </c>
      <c r="C392" t="s">
        <v>81</v>
      </c>
      <c r="D392" s="2">
        <v>0</v>
      </c>
      <c r="E392" s="2">
        <v>0</v>
      </c>
    </row>
    <row r="393" spans="1:5" x14ac:dyDescent="0.2">
      <c r="A393" t="s">
        <v>95</v>
      </c>
      <c r="B393" t="s">
        <v>57</v>
      </c>
      <c r="C393" t="s">
        <v>81</v>
      </c>
      <c r="D393" s="2">
        <v>0</v>
      </c>
      <c r="E393" s="2">
        <v>0</v>
      </c>
    </row>
    <row r="394" spans="1:5" x14ac:dyDescent="0.2">
      <c r="A394" t="s">
        <v>95</v>
      </c>
      <c r="B394" t="s">
        <v>57</v>
      </c>
      <c r="C394" t="s">
        <v>81</v>
      </c>
      <c r="D394" s="2">
        <v>0</v>
      </c>
      <c r="E394" s="2">
        <v>0</v>
      </c>
    </row>
    <row r="395" spans="1:5" x14ac:dyDescent="0.2">
      <c r="A395" t="s">
        <v>95</v>
      </c>
      <c r="B395" t="s">
        <v>57</v>
      </c>
      <c r="C395" t="s">
        <v>81</v>
      </c>
      <c r="D395" s="2">
        <v>0</v>
      </c>
      <c r="E395" s="2">
        <v>0</v>
      </c>
    </row>
    <row r="396" spans="1:5" x14ac:dyDescent="0.2">
      <c r="A396" t="s">
        <v>95</v>
      </c>
      <c r="B396" t="s">
        <v>57</v>
      </c>
      <c r="C396" t="s">
        <v>81</v>
      </c>
      <c r="D396" s="2">
        <v>0</v>
      </c>
      <c r="E396" s="2">
        <v>206</v>
      </c>
    </row>
    <row r="397" spans="1:5" x14ac:dyDescent="0.2">
      <c r="A397" t="s">
        <v>95</v>
      </c>
      <c r="B397" t="s">
        <v>57</v>
      </c>
      <c r="C397" t="s">
        <v>81</v>
      </c>
      <c r="D397" s="2">
        <v>0</v>
      </c>
      <c r="E397" s="2">
        <v>242</v>
      </c>
    </row>
    <row r="398" spans="1:5" x14ac:dyDescent="0.2">
      <c r="A398" t="s">
        <v>95</v>
      </c>
      <c r="B398" t="s">
        <v>57</v>
      </c>
      <c r="C398" t="s">
        <v>81</v>
      </c>
      <c r="D398" s="2">
        <v>0</v>
      </c>
      <c r="E398" s="2">
        <v>0</v>
      </c>
    </row>
    <row r="399" spans="1:5" x14ac:dyDescent="0.2">
      <c r="A399" t="s">
        <v>95</v>
      </c>
      <c r="B399" t="s">
        <v>57</v>
      </c>
      <c r="C399" t="s">
        <v>81</v>
      </c>
      <c r="D399" s="2">
        <v>0</v>
      </c>
      <c r="E399" s="2">
        <v>248</v>
      </c>
    </row>
    <row r="400" spans="1:5" x14ac:dyDescent="0.2">
      <c r="A400" t="s">
        <v>95</v>
      </c>
      <c r="B400" t="s">
        <v>57</v>
      </c>
      <c r="C400" t="s">
        <v>81</v>
      </c>
      <c r="D400" s="2">
        <v>0</v>
      </c>
      <c r="E400" s="2">
        <v>0</v>
      </c>
    </row>
    <row r="401" spans="1:5" x14ac:dyDescent="0.2">
      <c r="A401" t="s">
        <v>95</v>
      </c>
      <c r="B401" t="s">
        <v>57</v>
      </c>
      <c r="C401" t="s">
        <v>81</v>
      </c>
      <c r="D401" s="2">
        <v>0</v>
      </c>
      <c r="E401" s="2">
        <v>0</v>
      </c>
    </row>
    <row r="402" spans="1:5" x14ac:dyDescent="0.2">
      <c r="A402" t="s">
        <v>95</v>
      </c>
      <c r="B402" t="s">
        <v>57</v>
      </c>
      <c r="C402" t="s">
        <v>81</v>
      </c>
      <c r="D402" s="2">
        <v>0</v>
      </c>
      <c r="E402" s="2">
        <v>296</v>
      </c>
    </row>
    <row r="403" spans="1:5" x14ac:dyDescent="0.2">
      <c r="A403" t="s">
        <v>95</v>
      </c>
      <c r="B403" t="s">
        <v>57</v>
      </c>
      <c r="C403" t="s">
        <v>81</v>
      </c>
      <c r="D403" s="2">
        <v>0</v>
      </c>
      <c r="E403" s="2">
        <v>0</v>
      </c>
    </row>
    <row r="404" spans="1:5" x14ac:dyDescent="0.2">
      <c r="A404" t="s">
        <v>94</v>
      </c>
      <c r="B404" t="s">
        <v>57</v>
      </c>
      <c r="C404" t="s">
        <v>81</v>
      </c>
      <c r="D404" s="2">
        <v>0</v>
      </c>
      <c r="E404" s="2">
        <v>0</v>
      </c>
    </row>
    <row r="405" spans="1:5" x14ac:dyDescent="0.2">
      <c r="A405" t="s">
        <v>94</v>
      </c>
      <c r="B405" t="s">
        <v>57</v>
      </c>
      <c r="C405" t="s">
        <v>81</v>
      </c>
      <c r="D405" s="2">
        <v>0</v>
      </c>
      <c r="E405" s="2">
        <v>0</v>
      </c>
    </row>
    <row r="406" spans="1:5" x14ac:dyDescent="0.2">
      <c r="A406" t="s">
        <v>94</v>
      </c>
      <c r="B406" t="s">
        <v>57</v>
      </c>
      <c r="C406" t="s">
        <v>81</v>
      </c>
      <c r="D406" s="2">
        <v>0</v>
      </c>
      <c r="E406" s="2">
        <v>0</v>
      </c>
    </row>
    <row r="407" spans="1:5" x14ac:dyDescent="0.2">
      <c r="A407" t="s">
        <v>94</v>
      </c>
      <c r="B407" t="s">
        <v>57</v>
      </c>
      <c r="C407" t="s">
        <v>81</v>
      </c>
      <c r="D407" s="2">
        <v>0</v>
      </c>
      <c r="E407" s="2">
        <v>28</v>
      </c>
    </row>
    <row r="408" spans="1:5" x14ac:dyDescent="0.2">
      <c r="A408" t="s">
        <v>94</v>
      </c>
      <c r="B408" t="s">
        <v>57</v>
      </c>
      <c r="C408" t="s">
        <v>81</v>
      </c>
      <c r="D408" s="2">
        <v>0</v>
      </c>
      <c r="E408" s="2">
        <v>0</v>
      </c>
    </row>
    <row r="409" spans="1:5" x14ac:dyDescent="0.2">
      <c r="A409" t="s">
        <v>94</v>
      </c>
      <c r="B409" t="s">
        <v>57</v>
      </c>
      <c r="C409" t="s">
        <v>81</v>
      </c>
      <c r="D409" s="2">
        <v>0</v>
      </c>
      <c r="E409" s="2">
        <v>6</v>
      </c>
    </row>
    <row r="410" spans="1:5" x14ac:dyDescent="0.2">
      <c r="A410" t="s">
        <v>94</v>
      </c>
      <c r="B410" t="s">
        <v>57</v>
      </c>
      <c r="C410" t="s">
        <v>81</v>
      </c>
      <c r="D410" s="2">
        <v>0</v>
      </c>
      <c r="E410" s="2">
        <v>0</v>
      </c>
    </row>
    <row r="411" spans="1:5" x14ac:dyDescent="0.2">
      <c r="A411" t="s">
        <v>96</v>
      </c>
      <c r="B411" t="s">
        <v>57</v>
      </c>
      <c r="C411" t="s">
        <v>81</v>
      </c>
      <c r="D411" s="2">
        <v>0</v>
      </c>
      <c r="E411" s="2">
        <v>150</v>
      </c>
    </row>
    <row r="412" spans="1:5" x14ac:dyDescent="0.2">
      <c r="A412" t="s">
        <v>96</v>
      </c>
      <c r="B412" t="s">
        <v>57</v>
      </c>
      <c r="C412" t="s">
        <v>81</v>
      </c>
      <c r="D412" s="2">
        <v>0</v>
      </c>
      <c r="E412" s="2">
        <v>18</v>
      </c>
    </row>
    <row r="413" spans="1:5" x14ac:dyDescent="0.2">
      <c r="A413" t="s">
        <v>96</v>
      </c>
      <c r="B413" t="s">
        <v>57</v>
      </c>
      <c r="C413" t="s">
        <v>81</v>
      </c>
      <c r="D413" s="2">
        <v>0</v>
      </c>
      <c r="E413" s="2">
        <v>0</v>
      </c>
    </row>
    <row r="414" spans="1:5" x14ac:dyDescent="0.2">
      <c r="A414" t="s">
        <v>96</v>
      </c>
      <c r="B414" t="s">
        <v>57</v>
      </c>
      <c r="C414" t="s">
        <v>81</v>
      </c>
      <c r="D414" s="2">
        <v>0</v>
      </c>
      <c r="E414" s="2">
        <v>20</v>
      </c>
    </row>
    <row r="415" spans="1:5" x14ac:dyDescent="0.2">
      <c r="A415" t="s">
        <v>96</v>
      </c>
      <c r="B415" t="s">
        <v>57</v>
      </c>
      <c r="C415" t="s">
        <v>81</v>
      </c>
      <c r="D415" s="2">
        <v>0</v>
      </c>
      <c r="E415" s="2">
        <v>0</v>
      </c>
    </row>
    <row r="416" spans="1:5" x14ac:dyDescent="0.2">
      <c r="A416" t="s">
        <v>96</v>
      </c>
      <c r="B416" t="s">
        <v>57</v>
      </c>
      <c r="C416" t="s">
        <v>81</v>
      </c>
      <c r="D416" s="2">
        <v>0</v>
      </c>
      <c r="E416" s="2">
        <v>0</v>
      </c>
    </row>
    <row r="417" spans="1:5" x14ac:dyDescent="0.2">
      <c r="A417" t="s">
        <v>96</v>
      </c>
      <c r="B417" t="s">
        <v>57</v>
      </c>
      <c r="C417" t="s">
        <v>81</v>
      </c>
      <c r="D417" s="2">
        <v>0</v>
      </c>
      <c r="E417" s="2">
        <v>0</v>
      </c>
    </row>
    <row r="418" spans="1:5" x14ac:dyDescent="0.2">
      <c r="A418" t="s">
        <v>93</v>
      </c>
      <c r="B418" t="s">
        <v>35</v>
      </c>
      <c r="C418" t="s">
        <v>81</v>
      </c>
      <c r="D418" s="2">
        <v>0</v>
      </c>
      <c r="E418" s="2">
        <v>0</v>
      </c>
    </row>
    <row r="419" spans="1:5" x14ac:dyDescent="0.2">
      <c r="A419" t="s">
        <v>93</v>
      </c>
      <c r="B419" t="s">
        <v>35</v>
      </c>
      <c r="C419" t="s">
        <v>81</v>
      </c>
      <c r="D419" s="2">
        <v>0</v>
      </c>
      <c r="E419" s="2">
        <v>0</v>
      </c>
    </row>
    <row r="420" spans="1:5" x14ac:dyDescent="0.2">
      <c r="A420" t="s">
        <v>93</v>
      </c>
      <c r="B420" t="s">
        <v>35</v>
      </c>
      <c r="C420" t="s">
        <v>81</v>
      </c>
      <c r="D420" s="2">
        <v>56.96443</v>
      </c>
      <c r="E420" s="2">
        <v>56</v>
      </c>
    </row>
    <row r="421" spans="1:5" x14ac:dyDescent="0.2">
      <c r="A421" t="s">
        <v>93</v>
      </c>
      <c r="B421" t="s">
        <v>35</v>
      </c>
      <c r="C421" t="s">
        <v>81</v>
      </c>
      <c r="D421" s="2">
        <v>30.985547199999999</v>
      </c>
      <c r="E421" s="2">
        <v>54</v>
      </c>
    </row>
    <row r="422" spans="1:5" x14ac:dyDescent="0.2">
      <c r="A422" t="s">
        <v>95</v>
      </c>
      <c r="B422" t="s">
        <v>35</v>
      </c>
      <c r="C422" t="s">
        <v>81</v>
      </c>
      <c r="D422" s="2">
        <v>0</v>
      </c>
      <c r="E422" s="2">
        <v>0</v>
      </c>
    </row>
    <row r="423" spans="1:5" x14ac:dyDescent="0.2">
      <c r="A423" t="s">
        <v>95</v>
      </c>
      <c r="B423" t="s">
        <v>35</v>
      </c>
      <c r="C423" t="s">
        <v>81</v>
      </c>
      <c r="D423" s="2">
        <v>0</v>
      </c>
      <c r="E423" s="2">
        <v>0</v>
      </c>
    </row>
    <row r="424" spans="1:5" x14ac:dyDescent="0.2">
      <c r="A424" t="s">
        <v>95</v>
      </c>
      <c r="B424" t="s">
        <v>35</v>
      </c>
      <c r="C424" t="s">
        <v>81</v>
      </c>
      <c r="D424" s="2">
        <v>0</v>
      </c>
      <c r="E424" s="2">
        <v>0</v>
      </c>
    </row>
    <row r="425" spans="1:5" x14ac:dyDescent="0.2">
      <c r="A425" t="s">
        <v>95</v>
      </c>
      <c r="B425" t="s">
        <v>35</v>
      </c>
      <c r="C425" t="s">
        <v>81</v>
      </c>
      <c r="D425" s="2">
        <v>0</v>
      </c>
      <c r="E425" s="2">
        <v>0</v>
      </c>
    </row>
    <row r="426" spans="1:5" x14ac:dyDescent="0.2">
      <c r="A426" t="s">
        <v>95</v>
      </c>
      <c r="B426" t="s">
        <v>35</v>
      </c>
      <c r="C426" t="s">
        <v>81</v>
      </c>
      <c r="D426" s="2">
        <v>0</v>
      </c>
      <c r="E426" s="2">
        <v>0</v>
      </c>
    </row>
    <row r="427" spans="1:5" x14ac:dyDescent="0.2">
      <c r="A427" t="s">
        <v>95</v>
      </c>
      <c r="B427" t="s">
        <v>35</v>
      </c>
      <c r="C427" t="s">
        <v>81</v>
      </c>
      <c r="D427" s="2">
        <v>0</v>
      </c>
      <c r="E427" s="2">
        <v>0</v>
      </c>
    </row>
    <row r="428" spans="1:5" x14ac:dyDescent="0.2">
      <c r="A428" t="s">
        <v>95</v>
      </c>
      <c r="B428" t="s">
        <v>35</v>
      </c>
      <c r="C428" t="s">
        <v>81</v>
      </c>
      <c r="D428" s="2">
        <v>245.61322519999999</v>
      </c>
      <c r="E428" s="2">
        <v>262</v>
      </c>
    </row>
    <row r="429" spans="1:5" x14ac:dyDescent="0.2">
      <c r="A429" t="s">
        <v>95</v>
      </c>
      <c r="B429" t="s">
        <v>35</v>
      </c>
      <c r="C429" t="s">
        <v>81</v>
      </c>
      <c r="D429" s="2">
        <v>257.0244184</v>
      </c>
      <c r="E429" s="2">
        <v>278</v>
      </c>
    </row>
    <row r="430" spans="1:5" x14ac:dyDescent="0.2">
      <c r="A430" t="s">
        <v>95</v>
      </c>
      <c r="B430" t="s">
        <v>35</v>
      </c>
      <c r="C430" t="s">
        <v>81</v>
      </c>
      <c r="D430" s="2">
        <v>0</v>
      </c>
      <c r="E430" s="2">
        <v>0</v>
      </c>
    </row>
    <row r="431" spans="1:5" x14ac:dyDescent="0.2">
      <c r="A431" t="s">
        <v>95</v>
      </c>
      <c r="B431" t="s">
        <v>35</v>
      </c>
      <c r="C431" t="s">
        <v>81</v>
      </c>
      <c r="D431" s="2">
        <v>587.05655160000003</v>
      </c>
      <c r="E431" s="2">
        <v>368</v>
      </c>
    </row>
    <row r="432" spans="1:5" x14ac:dyDescent="0.2">
      <c r="A432" t="s">
        <v>95</v>
      </c>
      <c r="B432" t="s">
        <v>35</v>
      </c>
      <c r="C432" t="s">
        <v>81</v>
      </c>
      <c r="D432" s="2">
        <v>0</v>
      </c>
      <c r="E432" s="2">
        <v>0</v>
      </c>
    </row>
    <row r="433" spans="1:5" x14ac:dyDescent="0.2">
      <c r="A433" t="s">
        <v>95</v>
      </c>
      <c r="B433" t="s">
        <v>35</v>
      </c>
      <c r="C433" t="s">
        <v>81</v>
      </c>
      <c r="D433" s="2">
        <v>0</v>
      </c>
      <c r="E433" s="2">
        <v>0</v>
      </c>
    </row>
    <row r="434" spans="1:5" x14ac:dyDescent="0.2">
      <c r="A434" t="s">
        <v>95</v>
      </c>
      <c r="B434" t="s">
        <v>35</v>
      </c>
      <c r="C434" t="s">
        <v>81</v>
      </c>
      <c r="D434" s="2">
        <v>321.07293179999999</v>
      </c>
      <c r="E434" s="2">
        <v>344</v>
      </c>
    </row>
    <row r="435" spans="1:5" x14ac:dyDescent="0.2">
      <c r="A435" t="s">
        <v>95</v>
      </c>
      <c r="B435" t="s">
        <v>35</v>
      </c>
      <c r="C435" t="s">
        <v>81</v>
      </c>
      <c r="D435" s="2">
        <v>0</v>
      </c>
      <c r="E435" s="2">
        <v>0</v>
      </c>
    </row>
    <row r="436" spans="1:5" x14ac:dyDescent="0.2">
      <c r="A436" t="s">
        <v>94</v>
      </c>
      <c r="B436" t="s">
        <v>35</v>
      </c>
      <c r="C436" t="s">
        <v>81</v>
      </c>
      <c r="D436" s="2">
        <v>0</v>
      </c>
      <c r="E436" s="2">
        <v>0</v>
      </c>
    </row>
    <row r="437" spans="1:5" x14ac:dyDescent="0.2">
      <c r="A437" t="s">
        <v>94</v>
      </c>
      <c r="B437" t="s">
        <v>35</v>
      </c>
      <c r="C437" t="s">
        <v>81</v>
      </c>
      <c r="D437" s="2">
        <v>0</v>
      </c>
      <c r="E437" s="2">
        <v>0</v>
      </c>
    </row>
    <row r="438" spans="1:5" x14ac:dyDescent="0.2">
      <c r="A438" t="s">
        <v>94</v>
      </c>
      <c r="B438" t="s">
        <v>35</v>
      </c>
      <c r="C438" t="s">
        <v>81</v>
      </c>
      <c r="D438" s="2">
        <v>0</v>
      </c>
      <c r="E438" s="2">
        <v>0</v>
      </c>
    </row>
    <row r="439" spans="1:5" x14ac:dyDescent="0.2">
      <c r="A439" t="s">
        <v>94</v>
      </c>
      <c r="B439" t="s">
        <v>35</v>
      </c>
      <c r="C439" t="s">
        <v>81</v>
      </c>
      <c r="D439" s="2">
        <v>64.8</v>
      </c>
      <c r="E439" s="2">
        <v>98</v>
      </c>
    </row>
    <row r="440" spans="1:5" x14ac:dyDescent="0.2">
      <c r="A440" t="s">
        <v>94</v>
      </c>
      <c r="B440" t="s">
        <v>35</v>
      </c>
      <c r="C440" t="s">
        <v>81</v>
      </c>
      <c r="D440" s="2">
        <v>0</v>
      </c>
      <c r="E440" s="2">
        <v>0</v>
      </c>
    </row>
    <row r="441" spans="1:5" x14ac:dyDescent="0.2">
      <c r="A441" t="s">
        <v>94</v>
      </c>
      <c r="B441" t="s">
        <v>35</v>
      </c>
      <c r="C441" t="s">
        <v>81</v>
      </c>
      <c r="D441" s="2">
        <v>64.8</v>
      </c>
      <c r="E441" s="2">
        <v>30</v>
      </c>
    </row>
    <row r="442" spans="1:5" x14ac:dyDescent="0.2">
      <c r="A442" t="s">
        <v>94</v>
      </c>
      <c r="B442" t="s">
        <v>35</v>
      </c>
      <c r="C442" t="s">
        <v>81</v>
      </c>
      <c r="D442" s="2">
        <v>0</v>
      </c>
      <c r="E442" s="2">
        <v>0</v>
      </c>
    </row>
    <row r="443" spans="1:5" x14ac:dyDescent="0.2">
      <c r="A443" t="s">
        <v>96</v>
      </c>
      <c r="B443" t="s">
        <v>35</v>
      </c>
      <c r="C443" t="s">
        <v>81</v>
      </c>
      <c r="D443" s="2">
        <v>115.2050674</v>
      </c>
      <c r="E443" s="2">
        <v>214</v>
      </c>
    </row>
    <row r="444" spans="1:5" x14ac:dyDescent="0.2">
      <c r="A444" t="s">
        <v>96</v>
      </c>
      <c r="B444" t="s">
        <v>35</v>
      </c>
      <c r="C444" t="s">
        <v>81</v>
      </c>
      <c r="D444" s="2">
        <v>82.060913200000002</v>
      </c>
      <c r="E444" s="2">
        <v>92</v>
      </c>
    </row>
    <row r="445" spans="1:5" x14ac:dyDescent="0.2">
      <c r="A445" t="s">
        <v>96</v>
      </c>
      <c r="B445" t="s">
        <v>35</v>
      </c>
      <c r="C445" t="s">
        <v>81</v>
      </c>
      <c r="D445" s="2">
        <v>0</v>
      </c>
      <c r="E445" s="2">
        <v>0</v>
      </c>
    </row>
    <row r="446" spans="1:5" x14ac:dyDescent="0.2">
      <c r="A446" t="s">
        <v>96</v>
      </c>
      <c r="B446" t="s">
        <v>35</v>
      </c>
      <c r="C446" t="s">
        <v>81</v>
      </c>
      <c r="D446" s="2">
        <v>58.6151488</v>
      </c>
      <c r="E446" s="2">
        <v>70</v>
      </c>
    </row>
    <row r="447" spans="1:5" x14ac:dyDescent="0.2">
      <c r="A447" t="s">
        <v>96</v>
      </c>
      <c r="B447" t="s">
        <v>35</v>
      </c>
      <c r="C447" t="s">
        <v>81</v>
      </c>
      <c r="D447" s="2">
        <v>0</v>
      </c>
      <c r="E447" s="2">
        <v>0</v>
      </c>
    </row>
    <row r="448" spans="1:5" x14ac:dyDescent="0.2">
      <c r="A448" t="s">
        <v>96</v>
      </c>
      <c r="B448" t="s">
        <v>35</v>
      </c>
      <c r="C448" t="s">
        <v>81</v>
      </c>
      <c r="D448" s="2">
        <v>0</v>
      </c>
      <c r="E448" s="2">
        <v>0</v>
      </c>
    </row>
    <row r="449" spans="1:5" x14ac:dyDescent="0.2">
      <c r="A449" t="s">
        <v>96</v>
      </c>
      <c r="B449" t="s">
        <v>35</v>
      </c>
      <c r="C449" t="s">
        <v>81</v>
      </c>
      <c r="D449" s="2">
        <v>0</v>
      </c>
      <c r="E449" s="2">
        <v>0</v>
      </c>
    </row>
    <row r="450" spans="1:5" x14ac:dyDescent="0.2">
      <c r="A450" t="s">
        <v>93</v>
      </c>
      <c r="B450" t="s">
        <v>69</v>
      </c>
      <c r="C450" t="s">
        <v>81</v>
      </c>
      <c r="D450" s="2">
        <v>0</v>
      </c>
      <c r="E450" s="2">
        <v>0</v>
      </c>
    </row>
    <row r="451" spans="1:5" x14ac:dyDescent="0.2">
      <c r="A451" t="s">
        <v>93</v>
      </c>
      <c r="B451" t="s">
        <v>69</v>
      </c>
      <c r="C451" t="s">
        <v>81</v>
      </c>
      <c r="D451" s="2">
        <v>0</v>
      </c>
      <c r="E451" s="2">
        <v>0</v>
      </c>
    </row>
    <row r="452" spans="1:5" x14ac:dyDescent="0.2">
      <c r="A452" t="s">
        <v>93</v>
      </c>
      <c r="B452" t="s">
        <v>69</v>
      </c>
      <c r="C452" t="s">
        <v>81</v>
      </c>
      <c r="D452" s="2">
        <v>50.0626538</v>
      </c>
      <c r="E452" s="2">
        <v>72</v>
      </c>
    </row>
    <row r="453" spans="1:5" x14ac:dyDescent="0.2">
      <c r="A453" t="s">
        <v>93</v>
      </c>
      <c r="B453" t="s">
        <v>69</v>
      </c>
      <c r="C453" t="s">
        <v>81</v>
      </c>
      <c r="D453" s="2">
        <v>43.374778599999999</v>
      </c>
      <c r="E453" s="2">
        <v>38</v>
      </c>
    </row>
    <row r="454" spans="1:5" x14ac:dyDescent="0.2">
      <c r="A454" t="s">
        <v>95</v>
      </c>
      <c r="B454" t="s">
        <v>69</v>
      </c>
      <c r="C454" t="s">
        <v>81</v>
      </c>
      <c r="D454" s="2">
        <v>0</v>
      </c>
      <c r="E454" s="2">
        <v>0</v>
      </c>
    </row>
    <row r="455" spans="1:5" x14ac:dyDescent="0.2">
      <c r="A455" t="s">
        <v>95</v>
      </c>
      <c r="B455" t="s">
        <v>69</v>
      </c>
      <c r="C455" t="s">
        <v>81</v>
      </c>
      <c r="D455" s="2">
        <v>0</v>
      </c>
      <c r="E455" s="2">
        <v>0</v>
      </c>
    </row>
    <row r="456" spans="1:5" x14ac:dyDescent="0.2">
      <c r="A456" t="s">
        <v>95</v>
      </c>
      <c r="B456" t="s">
        <v>69</v>
      </c>
      <c r="C456" t="s">
        <v>81</v>
      </c>
      <c r="D456" s="2">
        <v>0</v>
      </c>
      <c r="E456" s="2">
        <v>0</v>
      </c>
    </row>
    <row r="457" spans="1:5" x14ac:dyDescent="0.2">
      <c r="A457" t="s">
        <v>95</v>
      </c>
      <c r="B457" t="s">
        <v>69</v>
      </c>
      <c r="C457" t="s">
        <v>81</v>
      </c>
      <c r="D457" s="2">
        <v>0</v>
      </c>
      <c r="E457" s="2">
        <v>0</v>
      </c>
    </row>
    <row r="458" spans="1:5" x14ac:dyDescent="0.2">
      <c r="A458" t="s">
        <v>95</v>
      </c>
      <c r="B458" t="s">
        <v>69</v>
      </c>
      <c r="C458" t="s">
        <v>81</v>
      </c>
      <c r="D458" s="2">
        <v>0</v>
      </c>
      <c r="E458" s="2">
        <v>0</v>
      </c>
    </row>
    <row r="459" spans="1:5" x14ac:dyDescent="0.2">
      <c r="A459" t="s">
        <v>95</v>
      </c>
      <c r="B459" t="s">
        <v>69</v>
      </c>
      <c r="C459" t="s">
        <v>81</v>
      </c>
      <c r="D459" s="2">
        <v>0</v>
      </c>
      <c r="E459" s="2">
        <v>0</v>
      </c>
    </row>
    <row r="460" spans="1:5" x14ac:dyDescent="0.2">
      <c r="A460" t="s">
        <v>95</v>
      </c>
      <c r="B460" t="s">
        <v>69</v>
      </c>
      <c r="C460" t="s">
        <v>81</v>
      </c>
      <c r="D460" s="2">
        <v>247.98620020000001</v>
      </c>
      <c r="E460" s="2">
        <v>308</v>
      </c>
    </row>
    <row r="461" spans="1:5" x14ac:dyDescent="0.2">
      <c r="A461" t="s">
        <v>95</v>
      </c>
      <c r="B461" t="s">
        <v>69</v>
      </c>
      <c r="C461" t="s">
        <v>81</v>
      </c>
      <c r="D461" s="2">
        <v>260.7632122</v>
      </c>
      <c r="E461" s="2">
        <v>410</v>
      </c>
    </row>
    <row r="462" spans="1:5" x14ac:dyDescent="0.2">
      <c r="A462" t="s">
        <v>95</v>
      </c>
      <c r="B462" t="s">
        <v>69</v>
      </c>
      <c r="C462" t="s">
        <v>81</v>
      </c>
      <c r="D462" s="2">
        <v>0</v>
      </c>
      <c r="E462" s="2">
        <v>0</v>
      </c>
    </row>
    <row r="463" spans="1:5" x14ac:dyDescent="0.2">
      <c r="A463" t="s">
        <v>95</v>
      </c>
      <c r="B463" t="s">
        <v>69</v>
      </c>
      <c r="C463" t="s">
        <v>81</v>
      </c>
      <c r="D463" s="2">
        <v>684.16674220000004</v>
      </c>
      <c r="E463" s="2">
        <v>452</v>
      </c>
    </row>
    <row r="464" spans="1:5" x14ac:dyDescent="0.2">
      <c r="A464" t="s">
        <v>95</v>
      </c>
      <c r="B464" t="s">
        <v>69</v>
      </c>
      <c r="C464" t="s">
        <v>81</v>
      </c>
      <c r="D464" s="2">
        <v>0</v>
      </c>
      <c r="E464" s="2">
        <v>0</v>
      </c>
    </row>
    <row r="465" spans="1:5" x14ac:dyDescent="0.2">
      <c r="A465" t="s">
        <v>95</v>
      </c>
      <c r="B465" t="s">
        <v>69</v>
      </c>
      <c r="C465" t="s">
        <v>81</v>
      </c>
      <c r="D465" s="2">
        <v>0</v>
      </c>
      <c r="E465" s="2">
        <v>0</v>
      </c>
    </row>
    <row r="466" spans="1:5" x14ac:dyDescent="0.2">
      <c r="A466" t="s">
        <v>95</v>
      </c>
      <c r="B466" t="s">
        <v>69</v>
      </c>
      <c r="C466" t="s">
        <v>81</v>
      </c>
      <c r="D466" s="2">
        <v>324.11868820000001</v>
      </c>
      <c r="E466" s="2">
        <v>544</v>
      </c>
    </row>
    <row r="467" spans="1:5" x14ac:dyDescent="0.2">
      <c r="A467" t="s">
        <v>95</v>
      </c>
      <c r="B467" t="s">
        <v>69</v>
      </c>
      <c r="C467" t="s">
        <v>81</v>
      </c>
      <c r="D467" s="2">
        <v>0</v>
      </c>
      <c r="E467" s="2">
        <v>0</v>
      </c>
    </row>
    <row r="468" spans="1:5" x14ac:dyDescent="0.2">
      <c r="A468" t="s">
        <v>94</v>
      </c>
      <c r="B468" t="s">
        <v>69</v>
      </c>
      <c r="C468" t="s">
        <v>81</v>
      </c>
      <c r="D468" s="2">
        <v>0</v>
      </c>
      <c r="E468" s="2">
        <v>0</v>
      </c>
    </row>
    <row r="469" spans="1:5" x14ac:dyDescent="0.2">
      <c r="A469" t="s">
        <v>94</v>
      </c>
      <c r="B469" t="s">
        <v>69</v>
      </c>
      <c r="C469" t="s">
        <v>81</v>
      </c>
      <c r="D469" s="2">
        <v>0</v>
      </c>
      <c r="E469" s="2">
        <v>0</v>
      </c>
    </row>
    <row r="470" spans="1:5" x14ac:dyDescent="0.2">
      <c r="A470" t="s">
        <v>94</v>
      </c>
      <c r="B470" t="s">
        <v>69</v>
      </c>
      <c r="C470" t="s">
        <v>81</v>
      </c>
      <c r="D470" s="2">
        <v>0</v>
      </c>
      <c r="E470" s="2">
        <v>0</v>
      </c>
    </row>
    <row r="471" spans="1:5" x14ac:dyDescent="0.2">
      <c r="A471" t="s">
        <v>94</v>
      </c>
      <c r="B471" t="s">
        <v>69</v>
      </c>
      <c r="C471" t="s">
        <v>81</v>
      </c>
      <c r="D471" s="2">
        <v>251.38103240000001</v>
      </c>
      <c r="E471" s="2">
        <v>254</v>
      </c>
    </row>
    <row r="472" spans="1:5" x14ac:dyDescent="0.2">
      <c r="A472" t="s">
        <v>94</v>
      </c>
      <c r="B472" t="s">
        <v>69</v>
      </c>
      <c r="C472" t="s">
        <v>81</v>
      </c>
      <c r="D472" s="2">
        <v>0</v>
      </c>
      <c r="E472" s="2">
        <v>0</v>
      </c>
    </row>
    <row r="473" spans="1:5" x14ac:dyDescent="0.2">
      <c r="A473" t="s">
        <v>94</v>
      </c>
      <c r="B473" t="s">
        <v>69</v>
      </c>
      <c r="C473" t="s">
        <v>81</v>
      </c>
      <c r="D473" s="2">
        <v>112.66680839999999</v>
      </c>
      <c r="E473" s="2">
        <v>64</v>
      </c>
    </row>
    <row r="474" spans="1:5" x14ac:dyDescent="0.2">
      <c r="A474" t="s">
        <v>94</v>
      </c>
      <c r="B474" t="s">
        <v>69</v>
      </c>
      <c r="C474" t="s">
        <v>81</v>
      </c>
      <c r="D474" s="2">
        <v>133.1790622</v>
      </c>
      <c r="E474" s="2">
        <v>18</v>
      </c>
    </row>
    <row r="475" spans="1:5" x14ac:dyDescent="0.2">
      <c r="A475" t="s">
        <v>96</v>
      </c>
      <c r="B475" t="s">
        <v>69</v>
      </c>
      <c r="C475" t="s">
        <v>81</v>
      </c>
      <c r="D475" s="2">
        <v>213.53964099999999</v>
      </c>
      <c r="E475" s="2">
        <v>236</v>
      </c>
    </row>
    <row r="476" spans="1:5" x14ac:dyDescent="0.2">
      <c r="A476" t="s">
        <v>96</v>
      </c>
      <c r="B476" t="s">
        <v>69</v>
      </c>
      <c r="C476" t="s">
        <v>81</v>
      </c>
      <c r="D476" s="2">
        <v>233.40460039999999</v>
      </c>
      <c r="E476" s="2">
        <v>114</v>
      </c>
    </row>
    <row r="477" spans="1:5" x14ac:dyDescent="0.2">
      <c r="A477" t="s">
        <v>96</v>
      </c>
      <c r="B477" t="s">
        <v>69</v>
      </c>
      <c r="C477" t="s">
        <v>81</v>
      </c>
      <c r="D477" s="2">
        <v>0</v>
      </c>
      <c r="E477" s="2">
        <v>6</v>
      </c>
    </row>
    <row r="478" spans="1:5" x14ac:dyDescent="0.2">
      <c r="A478" t="s">
        <v>96</v>
      </c>
      <c r="B478" t="s">
        <v>69</v>
      </c>
      <c r="C478" t="s">
        <v>81</v>
      </c>
      <c r="D478" s="2">
        <v>73.551891400000002</v>
      </c>
      <c r="E478" s="2">
        <v>40</v>
      </c>
    </row>
    <row r="479" spans="1:5" x14ac:dyDescent="0.2">
      <c r="A479" t="s">
        <v>96</v>
      </c>
      <c r="B479" t="s">
        <v>69</v>
      </c>
      <c r="C479" t="s">
        <v>81</v>
      </c>
      <c r="D479" s="2">
        <v>0</v>
      </c>
      <c r="E479" s="2">
        <v>0</v>
      </c>
    </row>
    <row r="480" spans="1:5" x14ac:dyDescent="0.2">
      <c r="A480" t="s">
        <v>96</v>
      </c>
      <c r="B480" t="s">
        <v>69</v>
      </c>
      <c r="C480" t="s">
        <v>81</v>
      </c>
      <c r="D480" s="2">
        <v>0</v>
      </c>
      <c r="E480" s="2">
        <v>0</v>
      </c>
    </row>
    <row r="481" spans="1:5" x14ac:dyDescent="0.2">
      <c r="A481" t="s">
        <v>96</v>
      </c>
      <c r="B481" t="s">
        <v>69</v>
      </c>
      <c r="C481" t="s">
        <v>81</v>
      </c>
      <c r="D481" s="2">
        <v>0</v>
      </c>
      <c r="E481" s="2">
        <v>0</v>
      </c>
    </row>
    <row r="482" spans="1:5" x14ac:dyDescent="0.2">
      <c r="A482" t="s">
        <v>93</v>
      </c>
      <c r="B482" t="s">
        <v>63</v>
      </c>
      <c r="C482" t="s">
        <v>81</v>
      </c>
      <c r="D482" s="2">
        <v>0</v>
      </c>
      <c r="E482" s="2">
        <v>0</v>
      </c>
    </row>
    <row r="483" spans="1:5" x14ac:dyDescent="0.2">
      <c r="A483" t="s">
        <v>93</v>
      </c>
      <c r="B483" t="s">
        <v>63</v>
      </c>
      <c r="C483" t="s">
        <v>81</v>
      </c>
      <c r="D483" s="2">
        <v>0</v>
      </c>
      <c r="E483" s="2">
        <v>0</v>
      </c>
    </row>
    <row r="484" spans="1:5" x14ac:dyDescent="0.2">
      <c r="A484" t="s">
        <v>93</v>
      </c>
      <c r="B484" t="s">
        <v>63</v>
      </c>
      <c r="C484" t="s">
        <v>81</v>
      </c>
      <c r="D484" s="2">
        <v>0</v>
      </c>
      <c r="E484" s="2">
        <v>78</v>
      </c>
    </row>
    <row r="485" spans="1:5" x14ac:dyDescent="0.2">
      <c r="A485" t="s">
        <v>93</v>
      </c>
      <c r="B485" t="s">
        <v>63</v>
      </c>
      <c r="C485" t="s">
        <v>81</v>
      </c>
      <c r="D485" s="2">
        <v>0</v>
      </c>
      <c r="E485" s="2">
        <v>26</v>
      </c>
    </row>
    <row r="486" spans="1:5" x14ac:dyDescent="0.2">
      <c r="A486" t="s">
        <v>95</v>
      </c>
      <c r="B486" t="s">
        <v>63</v>
      </c>
      <c r="C486" t="s">
        <v>81</v>
      </c>
      <c r="D486" s="2">
        <v>0</v>
      </c>
      <c r="E486" s="2">
        <v>0</v>
      </c>
    </row>
    <row r="487" spans="1:5" x14ac:dyDescent="0.2">
      <c r="A487" t="s">
        <v>95</v>
      </c>
      <c r="B487" t="s">
        <v>63</v>
      </c>
      <c r="C487" t="s">
        <v>81</v>
      </c>
      <c r="D487" s="2">
        <v>0</v>
      </c>
      <c r="E487" s="2">
        <v>0</v>
      </c>
    </row>
    <row r="488" spans="1:5" x14ac:dyDescent="0.2">
      <c r="A488" t="s">
        <v>95</v>
      </c>
      <c r="B488" t="s">
        <v>63</v>
      </c>
      <c r="C488" t="s">
        <v>81</v>
      </c>
      <c r="D488" s="2">
        <v>0</v>
      </c>
      <c r="E488" s="2">
        <v>0</v>
      </c>
    </row>
    <row r="489" spans="1:5" x14ac:dyDescent="0.2">
      <c r="A489" t="s">
        <v>95</v>
      </c>
      <c r="B489" t="s">
        <v>63</v>
      </c>
      <c r="C489" t="s">
        <v>81</v>
      </c>
      <c r="D489" s="2">
        <v>0</v>
      </c>
      <c r="E489" s="2">
        <v>0</v>
      </c>
    </row>
    <row r="490" spans="1:5" x14ac:dyDescent="0.2">
      <c r="A490" t="s">
        <v>95</v>
      </c>
      <c r="B490" t="s">
        <v>63</v>
      </c>
      <c r="C490" t="s">
        <v>81</v>
      </c>
      <c r="D490" s="2">
        <v>0</v>
      </c>
      <c r="E490" s="2">
        <v>0</v>
      </c>
    </row>
    <row r="491" spans="1:5" x14ac:dyDescent="0.2">
      <c r="A491" t="s">
        <v>95</v>
      </c>
      <c r="B491" t="s">
        <v>63</v>
      </c>
      <c r="C491" t="s">
        <v>81</v>
      </c>
      <c r="D491" s="2">
        <v>0</v>
      </c>
      <c r="E491" s="2">
        <v>0</v>
      </c>
    </row>
    <row r="492" spans="1:5" x14ac:dyDescent="0.2">
      <c r="A492" t="s">
        <v>95</v>
      </c>
      <c r="B492" t="s">
        <v>63</v>
      </c>
      <c r="C492" t="s">
        <v>81</v>
      </c>
      <c r="D492" s="2">
        <v>0</v>
      </c>
      <c r="E492" s="2">
        <v>244</v>
      </c>
    </row>
    <row r="493" spans="1:5" x14ac:dyDescent="0.2">
      <c r="A493" t="s">
        <v>95</v>
      </c>
      <c r="B493" t="s">
        <v>63</v>
      </c>
      <c r="C493" t="s">
        <v>81</v>
      </c>
      <c r="D493" s="2">
        <v>0</v>
      </c>
      <c r="E493" s="2">
        <v>292</v>
      </c>
    </row>
    <row r="494" spans="1:5" x14ac:dyDescent="0.2">
      <c r="A494" t="s">
        <v>95</v>
      </c>
      <c r="B494" t="s">
        <v>63</v>
      </c>
      <c r="C494" t="s">
        <v>81</v>
      </c>
      <c r="D494" s="2">
        <v>0</v>
      </c>
      <c r="E494" s="2">
        <v>0</v>
      </c>
    </row>
    <row r="495" spans="1:5" x14ac:dyDescent="0.2">
      <c r="A495" t="s">
        <v>95</v>
      </c>
      <c r="B495" t="s">
        <v>63</v>
      </c>
      <c r="C495" t="s">
        <v>81</v>
      </c>
      <c r="D495" s="2">
        <v>0</v>
      </c>
      <c r="E495" s="2">
        <v>304</v>
      </c>
    </row>
    <row r="496" spans="1:5" x14ac:dyDescent="0.2">
      <c r="A496" t="s">
        <v>95</v>
      </c>
      <c r="B496" t="s">
        <v>63</v>
      </c>
      <c r="C496" t="s">
        <v>81</v>
      </c>
      <c r="D496" s="2">
        <v>0</v>
      </c>
      <c r="E496" s="2">
        <v>0</v>
      </c>
    </row>
    <row r="497" spans="1:5" x14ac:dyDescent="0.2">
      <c r="A497" t="s">
        <v>95</v>
      </c>
      <c r="B497" t="s">
        <v>63</v>
      </c>
      <c r="C497" t="s">
        <v>81</v>
      </c>
      <c r="D497" s="2">
        <v>0</v>
      </c>
      <c r="E497" s="2">
        <v>0</v>
      </c>
    </row>
    <row r="498" spans="1:5" x14ac:dyDescent="0.2">
      <c r="A498" t="s">
        <v>95</v>
      </c>
      <c r="B498" t="s">
        <v>63</v>
      </c>
      <c r="C498" t="s">
        <v>81</v>
      </c>
      <c r="D498" s="2">
        <v>0</v>
      </c>
      <c r="E498" s="2">
        <v>356</v>
      </c>
    </row>
    <row r="499" spans="1:5" x14ac:dyDescent="0.2">
      <c r="A499" t="s">
        <v>95</v>
      </c>
      <c r="B499" t="s">
        <v>63</v>
      </c>
      <c r="C499" t="s">
        <v>81</v>
      </c>
      <c r="D499" s="2">
        <v>0</v>
      </c>
      <c r="E499" s="2">
        <v>0</v>
      </c>
    </row>
    <row r="500" spans="1:5" x14ac:dyDescent="0.2">
      <c r="A500" t="s">
        <v>94</v>
      </c>
      <c r="B500" t="s">
        <v>63</v>
      </c>
      <c r="C500" t="s">
        <v>81</v>
      </c>
      <c r="D500" s="2">
        <v>0</v>
      </c>
      <c r="E500" s="2">
        <v>0</v>
      </c>
    </row>
    <row r="501" spans="1:5" x14ac:dyDescent="0.2">
      <c r="A501" t="s">
        <v>94</v>
      </c>
      <c r="B501" t="s">
        <v>63</v>
      </c>
      <c r="C501" t="s">
        <v>81</v>
      </c>
      <c r="D501" s="2">
        <v>0</v>
      </c>
      <c r="E501" s="2">
        <v>0</v>
      </c>
    </row>
    <row r="502" spans="1:5" x14ac:dyDescent="0.2">
      <c r="A502" t="s">
        <v>94</v>
      </c>
      <c r="B502" t="s">
        <v>63</v>
      </c>
      <c r="C502" t="s">
        <v>81</v>
      </c>
      <c r="D502" s="2">
        <v>0</v>
      </c>
      <c r="E502" s="2">
        <v>0</v>
      </c>
    </row>
    <row r="503" spans="1:5" x14ac:dyDescent="0.2">
      <c r="A503" t="s">
        <v>94</v>
      </c>
      <c r="B503" t="s">
        <v>63</v>
      </c>
      <c r="C503" t="s">
        <v>81</v>
      </c>
      <c r="D503" s="2">
        <v>0</v>
      </c>
      <c r="E503" s="2">
        <v>34</v>
      </c>
    </row>
    <row r="504" spans="1:5" x14ac:dyDescent="0.2">
      <c r="A504" t="s">
        <v>94</v>
      </c>
      <c r="B504" t="s">
        <v>63</v>
      </c>
      <c r="C504" t="s">
        <v>81</v>
      </c>
      <c r="D504" s="2">
        <v>0</v>
      </c>
      <c r="E504" s="2">
        <v>0</v>
      </c>
    </row>
    <row r="505" spans="1:5" x14ac:dyDescent="0.2">
      <c r="A505" t="s">
        <v>94</v>
      </c>
      <c r="B505" t="s">
        <v>63</v>
      </c>
      <c r="C505" t="s">
        <v>81</v>
      </c>
      <c r="D505" s="2">
        <v>0</v>
      </c>
      <c r="E505" s="2">
        <v>6</v>
      </c>
    </row>
    <row r="506" spans="1:5" x14ac:dyDescent="0.2">
      <c r="A506" t="s">
        <v>94</v>
      </c>
      <c r="B506" t="s">
        <v>63</v>
      </c>
      <c r="C506" t="s">
        <v>81</v>
      </c>
      <c r="D506" s="2">
        <v>0</v>
      </c>
      <c r="E506" s="2">
        <v>0</v>
      </c>
    </row>
    <row r="507" spans="1:5" x14ac:dyDescent="0.2">
      <c r="A507" t="s">
        <v>96</v>
      </c>
      <c r="B507" t="s">
        <v>63</v>
      </c>
      <c r="C507" t="s">
        <v>81</v>
      </c>
      <c r="D507" s="2">
        <v>0</v>
      </c>
      <c r="E507" s="2">
        <v>222</v>
      </c>
    </row>
    <row r="508" spans="1:5" x14ac:dyDescent="0.2">
      <c r="A508" t="s">
        <v>96</v>
      </c>
      <c r="B508" t="s">
        <v>63</v>
      </c>
      <c r="C508" t="s">
        <v>81</v>
      </c>
      <c r="D508" s="2">
        <v>0</v>
      </c>
      <c r="E508" s="2">
        <v>18</v>
      </c>
    </row>
    <row r="509" spans="1:5" x14ac:dyDescent="0.2">
      <c r="A509" t="s">
        <v>96</v>
      </c>
      <c r="B509" t="s">
        <v>63</v>
      </c>
      <c r="C509" t="s">
        <v>81</v>
      </c>
      <c r="D509" s="2">
        <v>0</v>
      </c>
      <c r="E509" s="2">
        <v>0</v>
      </c>
    </row>
    <row r="510" spans="1:5" x14ac:dyDescent="0.2">
      <c r="A510" t="s">
        <v>96</v>
      </c>
      <c r="B510" t="s">
        <v>63</v>
      </c>
      <c r="C510" t="s">
        <v>81</v>
      </c>
      <c r="D510" s="2">
        <v>0</v>
      </c>
      <c r="E510" s="2">
        <v>16</v>
      </c>
    </row>
    <row r="511" spans="1:5" x14ac:dyDescent="0.2">
      <c r="A511" t="s">
        <v>96</v>
      </c>
      <c r="B511" t="s">
        <v>63</v>
      </c>
      <c r="C511" t="s">
        <v>81</v>
      </c>
      <c r="D511" s="2">
        <v>0</v>
      </c>
      <c r="E511" s="2">
        <v>0</v>
      </c>
    </row>
    <row r="512" spans="1:5" x14ac:dyDescent="0.2">
      <c r="A512" t="s">
        <v>96</v>
      </c>
      <c r="B512" t="s">
        <v>63</v>
      </c>
      <c r="C512" t="s">
        <v>81</v>
      </c>
      <c r="D512" s="2">
        <v>0</v>
      </c>
      <c r="E512" s="2">
        <v>0</v>
      </c>
    </row>
    <row r="513" spans="1:5" x14ac:dyDescent="0.2">
      <c r="A513" t="s">
        <v>96</v>
      </c>
      <c r="B513" t="s">
        <v>63</v>
      </c>
      <c r="C513" t="s">
        <v>81</v>
      </c>
      <c r="D513" s="2">
        <v>0</v>
      </c>
      <c r="E513" s="2">
        <v>0</v>
      </c>
    </row>
    <row r="514" spans="1:5" x14ac:dyDescent="0.2">
      <c r="A514" t="s">
        <v>93</v>
      </c>
      <c r="B514" t="s">
        <v>41</v>
      </c>
      <c r="C514" t="s">
        <v>81</v>
      </c>
      <c r="D514" s="2">
        <v>0</v>
      </c>
      <c r="E514" s="2">
        <v>0</v>
      </c>
    </row>
    <row r="515" spans="1:5" x14ac:dyDescent="0.2">
      <c r="A515" t="s">
        <v>93</v>
      </c>
      <c r="B515" t="s">
        <v>41</v>
      </c>
      <c r="C515" t="s">
        <v>81</v>
      </c>
      <c r="D515" s="2">
        <v>0</v>
      </c>
      <c r="E515" s="2">
        <v>0</v>
      </c>
    </row>
    <row r="516" spans="1:5" x14ac:dyDescent="0.2">
      <c r="A516" t="s">
        <v>93</v>
      </c>
      <c r="B516" t="s">
        <v>41</v>
      </c>
      <c r="C516" t="s">
        <v>81</v>
      </c>
      <c r="D516" s="2">
        <v>47.598432000000003</v>
      </c>
      <c r="E516" s="2">
        <v>70</v>
      </c>
    </row>
    <row r="517" spans="1:5" x14ac:dyDescent="0.2">
      <c r="A517" t="s">
        <v>93</v>
      </c>
      <c r="B517" t="s">
        <v>41</v>
      </c>
      <c r="C517" t="s">
        <v>81</v>
      </c>
      <c r="D517" s="2">
        <v>37.896878000000001</v>
      </c>
      <c r="E517" s="2">
        <v>22</v>
      </c>
    </row>
    <row r="518" spans="1:5" x14ac:dyDescent="0.2">
      <c r="A518" t="s">
        <v>95</v>
      </c>
      <c r="B518" t="s">
        <v>41</v>
      </c>
      <c r="C518" t="s">
        <v>81</v>
      </c>
      <c r="D518" s="2">
        <v>0</v>
      </c>
      <c r="E518" s="2">
        <v>0</v>
      </c>
    </row>
    <row r="519" spans="1:5" x14ac:dyDescent="0.2">
      <c r="A519" t="s">
        <v>95</v>
      </c>
      <c r="B519" t="s">
        <v>41</v>
      </c>
      <c r="C519" t="s">
        <v>81</v>
      </c>
      <c r="D519" s="2">
        <v>0</v>
      </c>
      <c r="E519" s="2">
        <v>0</v>
      </c>
    </row>
    <row r="520" spans="1:5" x14ac:dyDescent="0.2">
      <c r="A520" t="s">
        <v>95</v>
      </c>
      <c r="B520" t="s">
        <v>41</v>
      </c>
      <c r="C520" t="s">
        <v>81</v>
      </c>
      <c r="D520" s="2">
        <v>0</v>
      </c>
      <c r="E520" s="2">
        <v>0</v>
      </c>
    </row>
    <row r="521" spans="1:5" x14ac:dyDescent="0.2">
      <c r="A521" t="s">
        <v>95</v>
      </c>
      <c r="B521" t="s">
        <v>41</v>
      </c>
      <c r="C521" t="s">
        <v>81</v>
      </c>
      <c r="D521" s="2">
        <v>0</v>
      </c>
      <c r="E521" s="2">
        <v>0</v>
      </c>
    </row>
    <row r="522" spans="1:5" x14ac:dyDescent="0.2">
      <c r="A522" t="s">
        <v>95</v>
      </c>
      <c r="B522" t="s">
        <v>41</v>
      </c>
      <c r="C522" t="s">
        <v>81</v>
      </c>
      <c r="D522" s="2">
        <v>0</v>
      </c>
      <c r="E522" s="2">
        <v>0</v>
      </c>
    </row>
    <row r="523" spans="1:5" x14ac:dyDescent="0.2">
      <c r="A523" t="s">
        <v>95</v>
      </c>
      <c r="B523" t="s">
        <v>41</v>
      </c>
      <c r="C523" t="s">
        <v>81</v>
      </c>
      <c r="D523" s="2">
        <v>0</v>
      </c>
      <c r="E523" s="2">
        <v>0</v>
      </c>
    </row>
    <row r="524" spans="1:5" x14ac:dyDescent="0.2">
      <c r="A524" t="s">
        <v>95</v>
      </c>
      <c r="B524" t="s">
        <v>41</v>
      </c>
      <c r="C524" t="s">
        <v>81</v>
      </c>
      <c r="D524" s="2">
        <v>258.43991620000003</v>
      </c>
      <c r="E524" s="2">
        <v>326</v>
      </c>
    </row>
    <row r="525" spans="1:5" x14ac:dyDescent="0.2">
      <c r="A525" t="s">
        <v>95</v>
      </c>
      <c r="B525" t="s">
        <v>41</v>
      </c>
      <c r="C525" t="s">
        <v>81</v>
      </c>
      <c r="D525" s="2">
        <v>259.37202780000001</v>
      </c>
      <c r="E525" s="2">
        <v>458</v>
      </c>
    </row>
    <row r="526" spans="1:5" x14ac:dyDescent="0.2">
      <c r="A526" t="s">
        <v>95</v>
      </c>
      <c r="B526" t="s">
        <v>41</v>
      </c>
      <c r="C526" t="s">
        <v>81</v>
      </c>
      <c r="D526" s="2">
        <v>0</v>
      </c>
      <c r="E526" s="2">
        <v>0</v>
      </c>
    </row>
    <row r="527" spans="1:5" x14ac:dyDescent="0.2">
      <c r="A527" t="s">
        <v>95</v>
      </c>
      <c r="B527" t="s">
        <v>41</v>
      </c>
      <c r="C527" t="s">
        <v>81</v>
      </c>
      <c r="D527" s="2">
        <v>594.82222679999995</v>
      </c>
      <c r="E527" s="2">
        <v>428</v>
      </c>
    </row>
    <row r="528" spans="1:5" x14ac:dyDescent="0.2">
      <c r="A528" t="s">
        <v>95</v>
      </c>
      <c r="B528" t="s">
        <v>41</v>
      </c>
      <c r="C528" t="s">
        <v>81</v>
      </c>
      <c r="D528" s="2">
        <v>0</v>
      </c>
      <c r="E528" s="2">
        <v>0</v>
      </c>
    </row>
    <row r="529" spans="1:5" x14ac:dyDescent="0.2">
      <c r="A529" t="s">
        <v>95</v>
      </c>
      <c r="B529" t="s">
        <v>41</v>
      </c>
      <c r="C529" t="s">
        <v>81</v>
      </c>
      <c r="D529" s="2">
        <v>0</v>
      </c>
      <c r="E529" s="2">
        <v>0</v>
      </c>
    </row>
    <row r="530" spans="1:5" x14ac:dyDescent="0.2">
      <c r="A530" t="s">
        <v>95</v>
      </c>
      <c r="B530" t="s">
        <v>41</v>
      </c>
      <c r="C530" t="s">
        <v>81</v>
      </c>
      <c r="D530" s="2">
        <v>329.917732</v>
      </c>
      <c r="E530" s="2">
        <v>522</v>
      </c>
    </row>
    <row r="531" spans="1:5" x14ac:dyDescent="0.2">
      <c r="A531" t="s">
        <v>95</v>
      </c>
      <c r="B531" t="s">
        <v>41</v>
      </c>
      <c r="C531" t="s">
        <v>81</v>
      </c>
      <c r="D531" s="2">
        <v>0</v>
      </c>
      <c r="E531" s="2">
        <v>0</v>
      </c>
    </row>
    <row r="532" spans="1:5" x14ac:dyDescent="0.2">
      <c r="A532" t="s">
        <v>94</v>
      </c>
      <c r="B532" t="s">
        <v>41</v>
      </c>
      <c r="C532" t="s">
        <v>81</v>
      </c>
      <c r="D532" s="2">
        <v>0</v>
      </c>
      <c r="E532" s="2">
        <v>0</v>
      </c>
    </row>
    <row r="533" spans="1:5" x14ac:dyDescent="0.2">
      <c r="A533" t="s">
        <v>94</v>
      </c>
      <c r="B533" t="s">
        <v>41</v>
      </c>
      <c r="C533" t="s">
        <v>81</v>
      </c>
      <c r="D533" s="2">
        <v>0</v>
      </c>
      <c r="E533" s="2">
        <v>0</v>
      </c>
    </row>
    <row r="534" spans="1:5" x14ac:dyDescent="0.2">
      <c r="A534" t="s">
        <v>94</v>
      </c>
      <c r="B534" t="s">
        <v>41</v>
      </c>
      <c r="C534" t="s">
        <v>81</v>
      </c>
      <c r="D534" s="2">
        <v>0</v>
      </c>
      <c r="E534" s="2">
        <v>0</v>
      </c>
    </row>
    <row r="535" spans="1:5" x14ac:dyDescent="0.2">
      <c r="A535" t="s">
        <v>94</v>
      </c>
      <c r="B535" t="s">
        <v>41</v>
      </c>
      <c r="C535" t="s">
        <v>81</v>
      </c>
      <c r="D535" s="2">
        <v>102.15347300000001</v>
      </c>
      <c r="E535" s="2">
        <v>168</v>
      </c>
    </row>
    <row r="536" spans="1:5" x14ac:dyDescent="0.2">
      <c r="A536" t="s">
        <v>94</v>
      </c>
      <c r="B536" t="s">
        <v>41</v>
      </c>
      <c r="C536" t="s">
        <v>81</v>
      </c>
      <c r="D536" s="2">
        <v>0</v>
      </c>
      <c r="E536" s="2">
        <v>0</v>
      </c>
    </row>
    <row r="537" spans="1:5" x14ac:dyDescent="0.2">
      <c r="A537" t="s">
        <v>94</v>
      </c>
      <c r="B537" t="s">
        <v>41</v>
      </c>
      <c r="C537" t="s">
        <v>81</v>
      </c>
      <c r="D537" s="2">
        <v>95.769790599999993</v>
      </c>
      <c r="E537" s="2">
        <v>44</v>
      </c>
    </row>
    <row r="538" spans="1:5" x14ac:dyDescent="0.2">
      <c r="A538" t="s">
        <v>94</v>
      </c>
      <c r="B538" t="s">
        <v>41</v>
      </c>
      <c r="C538" t="s">
        <v>81</v>
      </c>
      <c r="D538" s="2">
        <v>0</v>
      </c>
      <c r="E538" s="2">
        <v>20</v>
      </c>
    </row>
    <row r="539" spans="1:5" x14ac:dyDescent="0.2">
      <c r="A539" t="s">
        <v>96</v>
      </c>
      <c r="B539" t="s">
        <v>41</v>
      </c>
      <c r="C539" t="s">
        <v>81</v>
      </c>
      <c r="D539" s="2">
        <v>175.70379879999999</v>
      </c>
      <c r="E539" s="2">
        <v>230</v>
      </c>
    </row>
    <row r="540" spans="1:5" x14ac:dyDescent="0.2">
      <c r="A540" t="s">
        <v>96</v>
      </c>
      <c r="B540" t="s">
        <v>41</v>
      </c>
      <c r="C540" t="s">
        <v>81</v>
      </c>
      <c r="D540" s="2">
        <v>166.94668419999999</v>
      </c>
      <c r="E540" s="2">
        <v>114</v>
      </c>
    </row>
    <row r="541" spans="1:5" x14ac:dyDescent="0.2">
      <c r="A541" t="s">
        <v>96</v>
      </c>
      <c r="B541" t="s">
        <v>41</v>
      </c>
      <c r="C541" t="s">
        <v>81</v>
      </c>
      <c r="D541" s="2">
        <v>0</v>
      </c>
      <c r="E541" s="2">
        <v>0</v>
      </c>
    </row>
    <row r="542" spans="1:5" x14ac:dyDescent="0.2">
      <c r="A542" t="s">
        <v>96</v>
      </c>
      <c r="B542" t="s">
        <v>41</v>
      </c>
      <c r="C542" t="s">
        <v>81</v>
      </c>
      <c r="D542" s="2">
        <v>66.247976399999999</v>
      </c>
      <c r="E542" s="2">
        <v>48</v>
      </c>
    </row>
    <row r="543" spans="1:5" x14ac:dyDescent="0.2">
      <c r="A543" t="s">
        <v>96</v>
      </c>
      <c r="B543" t="s">
        <v>41</v>
      </c>
      <c r="C543" t="s">
        <v>81</v>
      </c>
      <c r="D543" s="2">
        <v>0</v>
      </c>
      <c r="E543" s="2">
        <v>0</v>
      </c>
    </row>
    <row r="544" spans="1:5" x14ac:dyDescent="0.2">
      <c r="A544" t="s">
        <v>96</v>
      </c>
      <c r="B544" t="s">
        <v>41</v>
      </c>
      <c r="C544" t="s">
        <v>81</v>
      </c>
      <c r="D544" s="2">
        <v>0</v>
      </c>
      <c r="E544" s="2">
        <v>0</v>
      </c>
    </row>
    <row r="545" spans="1:5" x14ac:dyDescent="0.2">
      <c r="A545" t="s">
        <v>96</v>
      </c>
      <c r="B545" t="s">
        <v>41</v>
      </c>
      <c r="C545" t="s">
        <v>81</v>
      </c>
      <c r="D545" s="2">
        <v>0</v>
      </c>
      <c r="E545" s="2">
        <v>0</v>
      </c>
    </row>
    <row r="546" spans="1:5" x14ac:dyDescent="0.2">
      <c r="A546" t="s">
        <v>93</v>
      </c>
      <c r="B546" t="s">
        <v>75</v>
      </c>
      <c r="C546" t="s">
        <v>81</v>
      </c>
      <c r="D546" s="2">
        <v>0</v>
      </c>
      <c r="E546" s="2">
        <v>0</v>
      </c>
    </row>
    <row r="547" spans="1:5" x14ac:dyDescent="0.2">
      <c r="A547" t="s">
        <v>93</v>
      </c>
      <c r="B547" t="s">
        <v>75</v>
      </c>
      <c r="C547" t="s">
        <v>81</v>
      </c>
      <c r="D547" s="2">
        <v>0</v>
      </c>
      <c r="E547" s="2">
        <v>0</v>
      </c>
    </row>
    <row r="548" spans="1:5" x14ac:dyDescent="0.2">
      <c r="A548" t="s">
        <v>93</v>
      </c>
      <c r="B548" t="s">
        <v>75</v>
      </c>
      <c r="C548" t="s">
        <v>81</v>
      </c>
      <c r="D548" s="2">
        <v>63.779127799999998</v>
      </c>
      <c r="E548" s="2">
        <v>74</v>
      </c>
    </row>
    <row r="549" spans="1:5" x14ac:dyDescent="0.2">
      <c r="A549" t="s">
        <v>93</v>
      </c>
      <c r="B549" t="s">
        <v>75</v>
      </c>
      <c r="C549" t="s">
        <v>81</v>
      </c>
      <c r="D549" s="2">
        <v>35.138972000000003</v>
      </c>
      <c r="E549" s="2">
        <v>48</v>
      </c>
    </row>
    <row r="550" spans="1:5" x14ac:dyDescent="0.2">
      <c r="A550" t="s">
        <v>95</v>
      </c>
      <c r="B550" t="s">
        <v>75</v>
      </c>
      <c r="C550" t="s">
        <v>81</v>
      </c>
      <c r="D550" s="2">
        <v>0</v>
      </c>
      <c r="E550" s="2">
        <v>0</v>
      </c>
    </row>
    <row r="551" spans="1:5" x14ac:dyDescent="0.2">
      <c r="A551" t="s">
        <v>95</v>
      </c>
      <c r="B551" t="s">
        <v>75</v>
      </c>
      <c r="C551" t="s">
        <v>81</v>
      </c>
      <c r="D551" s="2">
        <v>0</v>
      </c>
      <c r="E551" s="2">
        <v>0</v>
      </c>
    </row>
    <row r="552" spans="1:5" x14ac:dyDescent="0.2">
      <c r="A552" t="s">
        <v>95</v>
      </c>
      <c r="B552" t="s">
        <v>75</v>
      </c>
      <c r="C552" t="s">
        <v>81</v>
      </c>
      <c r="D552" s="2">
        <v>0</v>
      </c>
      <c r="E552" s="2">
        <v>0</v>
      </c>
    </row>
    <row r="553" spans="1:5" x14ac:dyDescent="0.2">
      <c r="A553" t="s">
        <v>95</v>
      </c>
      <c r="B553" t="s">
        <v>75</v>
      </c>
      <c r="C553" t="s">
        <v>81</v>
      </c>
      <c r="D553" s="2">
        <v>0</v>
      </c>
      <c r="E553" s="2">
        <v>0</v>
      </c>
    </row>
    <row r="554" spans="1:5" x14ac:dyDescent="0.2">
      <c r="A554" t="s">
        <v>95</v>
      </c>
      <c r="B554" t="s">
        <v>75</v>
      </c>
      <c r="C554" t="s">
        <v>81</v>
      </c>
      <c r="D554" s="2">
        <v>0</v>
      </c>
      <c r="E554" s="2">
        <v>0</v>
      </c>
    </row>
    <row r="555" spans="1:5" x14ac:dyDescent="0.2">
      <c r="A555" t="s">
        <v>95</v>
      </c>
      <c r="B555" t="s">
        <v>75</v>
      </c>
      <c r="C555" t="s">
        <v>81</v>
      </c>
      <c r="D555" s="2">
        <v>0</v>
      </c>
      <c r="E555" s="2">
        <v>0</v>
      </c>
    </row>
    <row r="556" spans="1:5" x14ac:dyDescent="0.2">
      <c r="A556" t="s">
        <v>95</v>
      </c>
      <c r="B556" t="s">
        <v>75</v>
      </c>
      <c r="C556" t="s">
        <v>81</v>
      </c>
      <c r="D556" s="2">
        <v>276.43349699999999</v>
      </c>
      <c r="E556" s="2">
        <v>330</v>
      </c>
    </row>
    <row r="557" spans="1:5" x14ac:dyDescent="0.2">
      <c r="A557" t="s">
        <v>95</v>
      </c>
      <c r="B557" t="s">
        <v>75</v>
      </c>
      <c r="C557" t="s">
        <v>81</v>
      </c>
      <c r="D557" s="2">
        <v>310.96087599999998</v>
      </c>
      <c r="E557" s="2">
        <v>414</v>
      </c>
    </row>
    <row r="558" spans="1:5" x14ac:dyDescent="0.2">
      <c r="A558" t="s">
        <v>95</v>
      </c>
      <c r="B558" t="s">
        <v>75</v>
      </c>
      <c r="C558" t="s">
        <v>81</v>
      </c>
      <c r="D558" s="2">
        <v>0</v>
      </c>
      <c r="E558" s="2">
        <v>0</v>
      </c>
    </row>
    <row r="559" spans="1:5" x14ac:dyDescent="0.2">
      <c r="A559" t="s">
        <v>95</v>
      </c>
      <c r="B559" t="s">
        <v>75</v>
      </c>
      <c r="C559" t="s">
        <v>81</v>
      </c>
      <c r="D559" s="2">
        <v>782.92761599999994</v>
      </c>
      <c r="E559" s="2">
        <v>552</v>
      </c>
    </row>
    <row r="560" spans="1:5" x14ac:dyDescent="0.2">
      <c r="A560" t="s">
        <v>95</v>
      </c>
      <c r="B560" t="s">
        <v>75</v>
      </c>
      <c r="C560" t="s">
        <v>81</v>
      </c>
      <c r="D560" s="2">
        <v>0</v>
      </c>
      <c r="E560" s="2">
        <v>0</v>
      </c>
    </row>
    <row r="561" spans="1:5" x14ac:dyDescent="0.2">
      <c r="A561" t="s">
        <v>95</v>
      </c>
      <c r="B561" t="s">
        <v>75</v>
      </c>
      <c r="C561" t="s">
        <v>81</v>
      </c>
      <c r="D561" s="2">
        <v>0</v>
      </c>
      <c r="E561" s="2">
        <v>0</v>
      </c>
    </row>
    <row r="562" spans="1:5" x14ac:dyDescent="0.2">
      <c r="A562" t="s">
        <v>95</v>
      </c>
      <c r="B562" t="s">
        <v>75</v>
      </c>
      <c r="C562" t="s">
        <v>81</v>
      </c>
      <c r="D562" s="2">
        <v>455.81124540000002</v>
      </c>
      <c r="E562" s="2">
        <v>556</v>
      </c>
    </row>
    <row r="563" spans="1:5" x14ac:dyDescent="0.2">
      <c r="A563" t="s">
        <v>95</v>
      </c>
      <c r="B563" t="s">
        <v>75</v>
      </c>
      <c r="C563" t="s">
        <v>81</v>
      </c>
      <c r="D563" s="2">
        <v>0</v>
      </c>
      <c r="E563" s="2">
        <v>0</v>
      </c>
    </row>
    <row r="564" spans="1:5" x14ac:dyDescent="0.2">
      <c r="A564" t="s">
        <v>94</v>
      </c>
      <c r="B564" t="s">
        <v>75</v>
      </c>
      <c r="C564" t="s">
        <v>81</v>
      </c>
      <c r="D564" s="2">
        <v>0</v>
      </c>
      <c r="E564" s="2">
        <v>0</v>
      </c>
    </row>
    <row r="565" spans="1:5" x14ac:dyDescent="0.2">
      <c r="A565" t="s">
        <v>94</v>
      </c>
      <c r="B565" t="s">
        <v>75</v>
      </c>
      <c r="C565" t="s">
        <v>81</v>
      </c>
      <c r="D565" s="2">
        <v>0</v>
      </c>
      <c r="E565" s="2">
        <v>0</v>
      </c>
    </row>
    <row r="566" spans="1:5" x14ac:dyDescent="0.2">
      <c r="A566" t="s">
        <v>94</v>
      </c>
      <c r="B566" t="s">
        <v>75</v>
      </c>
      <c r="C566" t="s">
        <v>81</v>
      </c>
      <c r="D566" s="2">
        <v>0</v>
      </c>
      <c r="E566" s="2">
        <v>0</v>
      </c>
    </row>
    <row r="567" spans="1:5" x14ac:dyDescent="0.2">
      <c r="A567" t="s">
        <v>94</v>
      </c>
      <c r="B567" t="s">
        <v>75</v>
      </c>
      <c r="C567" t="s">
        <v>81</v>
      </c>
      <c r="D567" s="2">
        <v>416.95288920000002</v>
      </c>
      <c r="E567" s="2">
        <v>354</v>
      </c>
    </row>
    <row r="568" spans="1:5" x14ac:dyDescent="0.2">
      <c r="A568" t="s">
        <v>94</v>
      </c>
      <c r="B568" t="s">
        <v>75</v>
      </c>
      <c r="C568" t="s">
        <v>81</v>
      </c>
      <c r="D568" s="2">
        <v>0</v>
      </c>
      <c r="E568" s="2">
        <v>0</v>
      </c>
    </row>
    <row r="569" spans="1:5" x14ac:dyDescent="0.2">
      <c r="A569" t="s">
        <v>94</v>
      </c>
      <c r="B569" t="s">
        <v>75</v>
      </c>
      <c r="C569" t="s">
        <v>81</v>
      </c>
      <c r="D569" s="2">
        <v>176.38419640000001</v>
      </c>
      <c r="E569" s="2">
        <v>102</v>
      </c>
    </row>
    <row r="570" spans="1:5" x14ac:dyDescent="0.2">
      <c r="A570" t="s">
        <v>94</v>
      </c>
      <c r="B570" t="s">
        <v>75</v>
      </c>
      <c r="C570" t="s">
        <v>81</v>
      </c>
      <c r="D570" s="2">
        <v>146.1464082</v>
      </c>
      <c r="E570" s="2">
        <v>34</v>
      </c>
    </row>
    <row r="571" spans="1:5" x14ac:dyDescent="0.2">
      <c r="A571" t="s">
        <v>96</v>
      </c>
      <c r="B571" t="s">
        <v>75</v>
      </c>
      <c r="C571" t="s">
        <v>81</v>
      </c>
      <c r="D571" s="2">
        <v>211.0365266</v>
      </c>
      <c r="E571" s="2">
        <v>252</v>
      </c>
    </row>
    <row r="572" spans="1:5" x14ac:dyDescent="0.2">
      <c r="A572" t="s">
        <v>96</v>
      </c>
      <c r="B572" t="s">
        <v>75</v>
      </c>
      <c r="C572" t="s">
        <v>81</v>
      </c>
      <c r="D572" s="2">
        <v>215.6057902</v>
      </c>
      <c r="E572" s="2">
        <v>112</v>
      </c>
    </row>
    <row r="573" spans="1:5" x14ac:dyDescent="0.2">
      <c r="A573" t="s">
        <v>96</v>
      </c>
      <c r="B573" t="s">
        <v>75</v>
      </c>
      <c r="C573" t="s">
        <v>81</v>
      </c>
      <c r="D573" s="2">
        <v>71.074612000000002</v>
      </c>
      <c r="E573" s="2">
        <v>6</v>
      </c>
    </row>
    <row r="574" spans="1:5" x14ac:dyDescent="0.2">
      <c r="A574" t="s">
        <v>96</v>
      </c>
      <c r="B574" t="s">
        <v>75</v>
      </c>
      <c r="C574" t="s">
        <v>81</v>
      </c>
      <c r="D574" s="2">
        <v>88.848566000000005</v>
      </c>
      <c r="E574" s="2">
        <v>26</v>
      </c>
    </row>
    <row r="575" spans="1:5" x14ac:dyDescent="0.2">
      <c r="A575" t="s">
        <v>96</v>
      </c>
      <c r="B575" t="s">
        <v>75</v>
      </c>
      <c r="C575" t="s">
        <v>81</v>
      </c>
      <c r="D575" s="2">
        <v>0</v>
      </c>
      <c r="E575" s="2">
        <v>0</v>
      </c>
    </row>
    <row r="576" spans="1:5" x14ac:dyDescent="0.2">
      <c r="A576" t="s">
        <v>96</v>
      </c>
      <c r="B576" t="s">
        <v>75</v>
      </c>
      <c r="C576" t="s">
        <v>81</v>
      </c>
      <c r="D576" s="2">
        <v>0</v>
      </c>
      <c r="E576" s="2">
        <v>0</v>
      </c>
    </row>
    <row r="577" spans="1:5" x14ac:dyDescent="0.2">
      <c r="A577" t="s">
        <v>96</v>
      </c>
      <c r="B577" t="s">
        <v>75</v>
      </c>
      <c r="C577" t="s">
        <v>81</v>
      </c>
      <c r="D577" s="2">
        <v>0</v>
      </c>
      <c r="E577" s="2">
        <v>0</v>
      </c>
    </row>
    <row r="578" spans="1:5" x14ac:dyDescent="0.2">
      <c r="A578" t="s">
        <v>93</v>
      </c>
      <c r="B578" t="s">
        <v>62</v>
      </c>
      <c r="C578" t="s">
        <v>81</v>
      </c>
      <c r="D578" s="2">
        <v>0</v>
      </c>
      <c r="E578" s="2">
        <v>0</v>
      </c>
    </row>
    <row r="579" spans="1:5" x14ac:dyDescent="0.2">
      <c r="A579" t="s">
        <v>93</v>
      </c>
      <c r="B579" t="s">
        <v>62</v>
      </c>
      <c r="C579" t="s">
        <v>81</v>
      </c>
      <c r="D579" s="2">
        <v>0</v>
      </c>
      <c r="E579" s="2">
        <v>0</v>
      </c>
    </row>
    <row r="580" spans="1:5" x14ac:dyDescent="0.2">
      <c r="A580" t="s">
        <v>93</v>
      </c>
      <c r="B580" t="s">
        <v>62</v>
      </c>
      <c r="C580" t="s">
        <v>81</v>
      </c>
      <c r="D580" s="2">
        <v>0</v>
      </c>
      <c r="E580" s="2">
        <v>54</v>
      </c>
    </row>
    <row r="581" spans="1:5" x14ac:dyDescent="0.2">
      <c r="A581" t="s">
        <v>93</v>
      </c>
      <c r="B581" t="s">
        <v>62</v>
      </c>
      <c r="C581" t="s">
        <v>81</v>
      </c>
      <c r="D581" s="2">
        <v>0</v>
      </c>
      <c r="E581" s="2">
        <v>32</v>
      </c>
    </row>
    <row r="582" spans="1:5" x14ac:dyDescent="0.2">
      <c r="A582" t="s">
        <v>95</v>
      </c>
      <c r="B582" t="s">
        <v>62</v>
      </c>
      <c r="C582" t="s">
        <v>81</v>
      </c>
      <c r="D582" s="2">
        <v>0</v>
      </c>
      <c r="E582" s="2">
        <v>0</v>
      </c>
    </row>
    <row r="583" spans="1:5" x14ac:dyDescent="0.2">
      <c r="A583" t="s">
        <v>95</v>
      </c>
      <c r="B583" t="s">
        <v>62</v>
      </c>
      <c r="C583" t="s">
        <v>81</v>
      </c>
      <c r="D583" s="2">
        <v>0</v>
      </c>
      <c r="E583" s="2">
        <v>0</v>
      </c>
    </row>
    <row r="584" spans="1:5" x14ac:dyDescent="0.2">
      <c r="A584" t="s">
        <v>95</v>
      </c>
      <c r="B584" t="s">
        <v>62</v>
      </c>
      <c r="C584" t="s">
        <v>81</v>
      </c>
      <c r="D584" s="2">
        <v>0</v>
      </c>
      <c r="E584" s="2">
        <v>0</v>
      </c>
    </row>
    <row r="585" spans="1:5" x14ac:dyDescent="0.2">
      <c r="A585" t="s">
        <v>95</v>
      </c>
      <c r="B585" t="s">
        <v>62</v>
      </c>
      <c r="C585" t="s">
        <v>81</v>
      </c>
      <c r="D585" s="2">
        <v>0</v>
      </c>
      <c r="E585" s="2">
        <v>0</v>
      </c>
    </row>
    <row r="586" spans="1:5" x14ac:dyDescent="0.2">
      <c r="A586" t="s">
        <v>95</v>
      </c>
      <c r="B586" t="s">
        <v>62</v>
      </c>
      <c r="C586" t="s">
        <v>81</v>
      </c>
      <c r="D586" s="2">
        <v>0</v>
      </c>
      <c r="E586" s="2">
        <v>0</v>
      </c>
    </row>
    <row r="587" spans="1:5" x14ac:dyDescent="0.2">
      <c r="A587" t="s">
        <v>95</v>
      </c>
      <c r="B587" t="s">
        <v>62</v>
      </c>
      <c r="C587" t="s">
        <v>81</v>
      </c>
      <c r="D587" s="2">
        <v>0</v>
      </c>
      <c r="E587" s="2">
        <v>0</v>
      </c>
    </row>
    <row r="588" spans="1:5" x14ac:dyDescent="0.2">
      <c r="A588" t="s">
        <v>95</v>
      </c>
      <c r="B588" t="s">
        <v>62</v>
      </c>
      <c r="C588" t="s">
        <v>81</v>
      </c>
      <c r="D588" s="2">
        <v>0</v>
      </c>
      <c r="E588" s="2">
        <v>226</v>
      </c>
    </row>
    <row r="589" spans="1:5" x14ac:dyDescent="0.2">
      <c r="A589" t="s">
        <v>95</v>
      </c>
      <c r="B589" t="s">
        <v>62</v>
      </c>
      <c r="C589" t="s">
        <v>81</v>
      </c>
      <c r="D589" s="2">
        <v>0</v>
      </c>
      <c r="E589" s="2">
        <v>250</v>
      </c>
    </row>
    <row r="590" spans="1:5" x14ac:dyDescent="0.2">
      <c r="A590" t="s">
        <v>95</v>
      </c>
      <c r="B590" t="s">
        <v>62</v>
      </c>
      <c r="C590" t="s">
        <v>81</v>
      </c>
      <c r="D590" s="2">
        <v>0</v>
      </c>
      <c r="E590" s="2">
        <v>0</v>
      </c>
    </row>
    <row r="591" spans="1:5" x14ac:dyDescent="0.2">
      <c r="A591" t="s">
        <v>95</v>
      </c>
      <c r="B591" t="s">
        <v>62</v>
      </c>
      <c r="C591" t="s">
        <v>81</v>
      </c>
      <c r="D591" s="2">
        <v>0</v>
      </c>
      <c r="E591" s="2">
        <v>382</v>
      </c>
    </row>
    <row r="592" spans="1:5" x14ac:dyDescent="0.2">
      <c r="A592" t="s">
        <v>95</v>
      </c>
      <c r="B592" t="s">
        <v>62</v>
      </c>
      <c r="C592" t="s">
        <v>81</v>
      </c>
      <c r="D592" s="2">
        <v>0</v>
      </c>
      <c r="E592" s="2">
        <v>0</v>
      </c>
    </row>
    <row r="593" spans="1:5" x14ac:dyDescent="0.2">
      <c r="A593" t="s">
        <v>95</v>
      </c>
      <c r="B593" t="s">
        <v>62</v>
      </c>
      <c r="C593" t="s">
        <v>81</v>
      </c>
      <c r="D593" s="2">
        <v>0</v>
      </c>
      <c r="E593" s="2">
        <v>0</v>
      </c>
    </row>
    <row r="594" spans="1:5" x14ac:dyDescent="0.2">
      <c r="A594" t="s">
        <v>95</v>
      </c>
      <c r="B594" t="s">
        <v>62</v>
      </c>
      <c r="C594" t="s">
        <v>81</v>
      </c>
      <c r="D594" s="2">
        <v>0</v>
      </c>
      <c r="E594" s="2">
        <v>300</v>
      </c>
    </row>
    <row r="595" spans="1:5" x14ac:dyDescent="0.2">
      <c r="A595" t="s">
        <v>95</v>
      </c>
      <c r="B595" t="s">
        <v>62</v>
      </c>
      <c r="C595" t="s">
        <v>81</v>
      </c>
      <c r="D595" s="2">
        <v>0</v>
      </c>
      <c r="E595" s="2">
        <v>0</v>
      </c>
    </row>
    <row r="596" spans="1:5" x14ac:dyDescent="0.2">
      <c r="A596" t="s">
        <v>94</v>
      </c>
      <c r="B596" t="s">
        <v>62</v>
      </c>
      <c r="C596" t="s">
        <v>81</v>
      </c>
      <c r="D596" s="2">
        <v>0</v>
      </c>
      <c r="E596" s="2">
        <v>0</v>
      </c>
    </row>
    <row r="597" spans="1:5" x14ac:dyDescent="0.2">
      <c r="A597" t="s">
        <v>94</v>
      </c>
      <c r="B597" t="s">
        <v>62</v>
      </c>
      <c r="C597" t="s">
        <v>81</v>
      </c>
      <c r="D597" s="2">
        <v>0</v>
      </c>
      <c r="E597" s="2">
        <v>0</v>
      </c>
    </row>
    <row r="598" spans="1:5" x14ac:dyDescent="0.2">
      <c r="A598" t="s">
        <v>94</v>
      </c>
      <c r="B598" t="s">
        <v>62</v>
      </c>
      <c r="C598" t="s">
        <v>81</v>
      </c>
      <c r="D598" s="2">
        <v>0</v>
      </c>
      <c r="E598" s="2">
        <v>0</v>
      </c>
    </row>
    <row r="599" spans="1:5" x14ac:dyDescent="0.2">
      <c r="A599" t="s">
        <v>94</v>
      </c>
      <c r="B599" t="s">
        <v>62</v>
      </c>
      <c r="C599" t="s">
        <v>81</v>
      </c>
      <c r="D599" s="2">
        <v>0</v>
      </c>
      <c r="E599" s="2">
        <v>34</v>
      </c>
    </row>
    <row r="600" spans="1:5" x14ac:dyDescent="0.2">
      <c r="A600" t="s">
        <v>94</v>
      </c>
      <c r="B600" t="s">
        <v>62</v>
      </c>
      <c r="C600" t="s">
        <v>81</v>
      </c>
      <c r="D600" s="2">
        <v>0</v>
      </c>
      <c r="E600" s="2">
        <v>0</v>
      </c>
    </row>
    <row r="601" spans="1:5" x14ac:dyDescent="0.2">
      <c r="A601" t="s">
        <v>94</v>
      </c>
      <c r="B601" t="s">
        <v>62</v>
      </c>
      <c r="C601" t="s">
        <v>81</v>
      </c>
      <c r="D601" s="2">
        <v>0</v>
      </c>
      <c r="E601" s="2">
        <v>10</v>
      </c>
    </row>
    <row r="602" spans="1:5" x14ac:dyDescent="0.2">
      <c r="A602" t="s">
        <v>94</v>
      </c>
      <c r="B602" t="s">
        <v>62</v>
      </c>
      <c r="C602" t="s">
        <v>81</v>
      </c>
      <c r="D602" s="2">
        <v>0</v>
      </c>
      <c r="E602" s="2">
        <v>0</v>
      </c>
    </row>
    <row r="603" spans="1:5" x14ac:dyDescent="0.2">
      <c r="A603" t="s">
        <v>96</v>
      </c>
      <c r="B603" t="s">
        <v>62</v>
      </c>
      <c r="C603" t="s">
        <v>81</v>
      </c>
      <c r="D603" s="2">
        <v>0</v>
      </c>
      <c r="E603" s="2">
        <v>174</v>
      </c>
    </row>
    <row r="604" spans="1:5" x14ac:dyDescent="0.2">
      <c r="A604" t="s">
        <v>96</v>
      </c>
      <c r="B604" t="s">
        <v>62</v>
      </c>
      <c r="C604" t="s">
        <v>81</v>
      </c>
      <c r="D604" s="2">
        <v>0</v>
      </c>
      <c r="E604" s="2">
        <v>76</v>
      </c>
    </row>
    <row r="605" spans="1:5" x14ac:dyDescent="0.2">
      <c r="A605" t="s">
        <v>96</v>
      </c>
      <c r="B605" t="s">
        <v>62</v>
      </c>
      <c r="C605" t="s">
        <v>81</v>
      </c>
      <c r="D605" s="2">
        <v>0</v>
      </c>
      <c r="E605" s="2">
        <v>0</v>
      </c>
    </row>
    <row r="606" spans="1:5" x14ac:dyDescent="0.2">
      <c r="A606" t="s">
        <v>96</v>
      </c>
      <c r="B606" t="s">
        <v>62</v>
      </c>
      <c r="C606" t="s">
        <v>81</v>
      </c>
      <c r="D606" s="2">
        <v>0</v>
      </c>
      <c r="E606" s="2">
        <v>6</v>
      </c>
    </row>
    <row r="607" spans="1:5" x14ac:dyDescent="0.2">
      <c r="A607" t="s">
        <v>96</v>
      </c>
      <c r="B607" t="s">
        <v>62</v>
      </c>
      <c r="C607" t="s">
        <v>81</v>
      </c>
      <c r="D607" s="2">
        <v>0</v>
      </c>
      <c r="E607" s="2">
        <v>0</v>
      </c>
    </row>
    <row r="608" spans="1:5" x14ac:dyDescent="0.2">
      <c r="A608" t="s">
        <v>96</v>
      </c>
      <c r="B608" t="s">
        <v>62</v>
      </c>
      <c r="C608" t="s">
        <v>81</v>
      </c>
      <c r="D608" s="2">
        <v>0</v>
      </c>
      <c r="E608" s="2">
        <v>0</v>
      </c>
    </row>
    <row r="609" spans="1:5" x14ac:dyDescent="0.2">
      <c r="A609" t="s">
        <v>96</v>
      </c>
      <c r="B609" t="s">
        <v>62</v>
      </c>
      <c r="C609" t="s">
        <v>81</v>
      </c>
      <c r="D609" s="2">
        <v>0</v>
      </c>
      <c r="E609" s="2">
        <v>0</v>
      </c>
    </row>
    <row r="610" spans="1:5" x14ac:dyDescent="0.2">
      <c r="A610" t="s">
        <v>93</v>
      </c>
      <c r="B610" t="s">
        <v>40</v>
      </c>
      <c r="C610" t="s">
        <v>81</v>
      </c>
      <c r="D610" s="2">
        <v>0</v>
      </c>
      <c r="E610" s="2">
        <v>0</v>
      </c>
    </row>
    <row r="611" spans="1:5" x14ac:dyDescent="0.2">
      <c r="A611" t="s">
        <v>93</v>
      </c>
      <c r="B611" t="s">
        <v>40</v>
      </c>
      <c r="C611" t="s">
        <v>81</v>
      </c>
      <c r="D611" s="2">
        <v>0</v>
      </c>
      <c r="E611" s="2">
        <v>0</v>
      </c>
    </row>
    <row r="612" spans="1:5" x14ac:dyDescent="0.2">
      <c r="A612" t="s">
        <v>93</v>
      </c>
      <c r="B612" t="s">
        <v>40</v>
      </c>
      <c r="C612" t="s">
        <v>81</v>
      </c>
      <c r="D612" s="2">
        <v>49.778891799999997</v>
      </c>
      <c r="E612" s="2">
        <v>52</v>
      </c>
    </row>
    <row r="613" spans="1:5" x14ac:dyDescent="0.2">
      <c r="A613" t="s">
        <v>93</v>
      </c>
      <c r="B613" t="s">
        <v>40</v>
      </c>
      <c r="C613" t="s">
        <v>81</v>
      </c>
      <c r="D613" s="2">
        <v>32.578227200000001</v>
      </c>
      <c r="E613" s="2">
        <v>14</v>
      </c>
    </row>
    <row r="614" spans="1:5" x14ac:dyDescent="0.2">
      <c r="A614" t="s">
        <v>95</v>
      </c>
      <c r="B614" t="s">
        <v>40</v>
      </c>
      <c r="C614" t="s">
        <v>81</v>
      </c>
      <c r="D614" s="2">
        <v>0</v>
      </c>
      <c r="E614" s="2">
        <v>0</v>
      </c>
    </row>
    <row r="615" spans="1:5" x14ac:dyDescent="0.2">
      <c r="A615" t="s">
        <v>95</v>
      </c>
      <c r="B615" t="s">
        <v>40</v>
      </c>
      <c r="C615" t="s">
        <v>81</v>
      </c>
      <c r="D615" s="2">
        <v>0</v>
      </c>
      <c r="E615" s="2">
        <v>0</v>
      </c>
    </row>
    <row r="616" spans="1:5" x14ac:dyDescent="0.2">
      <c r="A616" t="s">
        <v>95</v>
      </c>
      <c r="B616" t="s">
        <v>40</v>
      </c>
      <c r="C616" t="s">
        <v>81</v>
      </c>
      <c r="D616" s="2">
        <v>0</v>
      </c>
      <c r="E616" s="2">
        <v>0</v>
      </c>
    </row>
    <row r="617" spans="1:5" x14ac:dyDescent="0.2">
      <c r="A617" t="s">
        <v>95</v>
      </c>
      <c r="B617" t="s">
        <v>40</v>
      </c>
      <c r="C617" t="s">
        <v>81</v>
      </c>
      <c r="D617" s="2">
        <v>0</v>
      </c>
      <c r="E617" s="2">
        <v>0</v>
      </c>
    </row>
    <row r="618" spans="1:5" x14ac:dyDescent="0.2">
      <c r="A618" t="s">
        <v>95</v>
      </c>
      <c r="B618" t="s">
        <v>40</v>
      </c>
      <c r="C618" t="s">
        <v>81</v>
      </c>
      <c r="D618" s="2">
        <v>0</v>
      </c>
      <c r="E618" s="2">
        <v>0</v>
      </c>
    </row>
    <row r="619" spans="1:5" x14ac:dyDescent="0.2">
      <c r="A619" t="s">
        <v>95</v>
      </c>
      <c r="B619" t="s">
        <v>40</v>
      </c>
      <c r="C619" t="s">
        <v>81</v>
      </c>
      <c r="D619" s="2">
        <v>0</v>
      </c>
      <c r="E619" s="2">
        <v>0</v>
      </c>
    </row>
    <row r="620" spans="1:5" x14ac:dyDescent="0.2">
      <c r="A620" t="s">
        <v>95</v>
      </c>
      <c r="B620" t="s">
        <v>40</v>
      </c>
      <c r="C620" t="s">
        <v>81</v>
      </c>
      <c r="D620" s="2">
        <v>223.2484116</v>
      </c>
      <c r="E620" s="2">
        <v>262</v>
      </c>
    </row>
    <row r="621" spans="1:5" x14ac:dyDescent="0.2">
      <c r="A621" t="s">
        <v>95</v>
      </c>
      <c r="B621" t="s">
        <v>40</v>
      </c>
      <c r="C621" t="s">
        <v>81</v>
      </c>
      <c r="D621" s="2">
        <v>239.4940288</v>
      </c>
      <c r="E621" s="2">
        <v>244</v>
      </c>
    </row>
    <row r="622" spans="1:5" x14ac:dyDescent="0.2">
      <c r="A622" t="s">
        <v>95</v>
      </c>
      <c r="B622" t="s">
        <v>40</v>
      </c>
      <c r="C622" t="s">
        <v>81</v>
      </c>
      <c r="D622" s="2">
        <v>0</v>
      </c>
      <c r="E622" s="2">
        <v>0</v>
      </c>
    </row>
    <row r="623" spans="1:5" x14ac:dyDescent="0.2">
      <c r="A623" t="s">
        <v>95</v>
      </c>
      <c r="B623" t="s">
        <v>40</v>
      </c>
      <c r="C623" t="s">
        <v>81</v>
      </c>
      <c r="D623" s="2">
        <v>513.61412059999998</v>
      </c>
      <c r="E623" s="2">
        <v>322</v>
      </c>
    </row>
    <row r="624" spans="1:5" x14ac:dyDescent="0.2">
      <c r="A624" t="s">
        <v>95</v>
      </c>
      <c r="B624" t="s">
        <v>40</v>
      </c>
      <c r="C624" t="s">
        <v>81</v>
      </c>
      <c r="D624" s="2">
        <v>0</v>
      </c>
      <c r="E624" s="2">
        <v>0</v>
      </c>
    </row>
    <row r="625" spans="1:5" x14ac:dyDescent="0.2">
      <c r="A625" t="s">
        <v>95</v>
      </c>
      <c r="B625" t="s">
        <v>40</v>
      </c>
      <c r="C625" t="s">
        <v>81</v>
      </c>
      <c r="D625" s="2">
        <v>0</v>
      </c>
      <c r="E625" s="2">
        <v>0</v>
      </c>
    </row>
    <row r="626" spans="1:5" x14ac:dyDescent="0.2">
      <c r="A626" t="s">
        <v>95</v>
      </c>
      <c r="B626" t="s">
        <v>40</v>
      </c>
      <c r="C626" t="s">
        <v>81</v>
      </c>
      <c r="D626" s="2">
        <v>292.04335079999998</v>
      </c>
      <c r="E626" s="2">
        <v>430</v>
      </c>
    </row>
    <row r="627" spans="1:5" x14ac:dyDescent="0.2">
      <c r="A627" t="s">
        <v>95</v>
      </c>
      <c r="B627" t="s">
        <v>40</v>
      </c>
      <c r="C627" t="s">
        <v>81</v>
      </c>
      <c r="D627" s="2">
        <v>0</v>
      </c>
      <c r="E627" s="2">
        <v>0</v>
      </c>
    </row>
    <row r="628" spans="1:5" x14ac:dyDescent="0.2">
      <c r="A628" t="s">
        <v>94</v>
      </c>
      <c r="B628" t="s">
        <v>40</v>
      </c>
      <c r="C628" t="s">
        <v>81</v>
      </c>
      <c r="D628" s="2">
        <v>0</v>
      </c>
      <c r="E628" s="2">
        <v>0</v>
      </c>
    </row>
    <row r="629" spans="1:5" x14ac:dyDescent="0.2">
      <c r="A629" t="s">
        <v>94</v>
      </c>
      <c r="B629" t="s">
        <v>40</v>
      </c>
      <c r="C629" t="s">
        <v>81</v>
      </c>
      <c r="D629" s="2">
        <v>0</v>
      </c>
      <c r="E629" s="2">
        <v>0</v>
      </c>
    </row>
    <row r="630" spans="1:5" x14ac:dyDescent="0.2">
      <c r="A630" t="s">
        <v>94</v>
      </c>
      <c r="B630" t="s">
        <v>40</v>
      </c>
      <c r="C630" t="s">
        <v>81</v>
      </c>
      <c r="D630" s="2">
        <v>0</v>
      </c>
      <c r="E630" s="2">
        <v>0</v>
      </c>
    </row>
    <row r="631" spans="1:5" x14ac:dyDescent="0.2">
      <c r="A631" t="s">
        <v>94</v>
      </c>
      <c r="B631" t="s">
        <v>40</v>
      </c>
      <c r="C631" t="s">
        <v>81</v>
      </c>
      <c r="D631" s="2">
        <v>92.182979799999998</v>
      </c>
      <c r="E631" s="2">
        <v>168</v>
      </c>
    </row>
    <row r="632" spans="1:5" x14ac:dyDescent="0.2">
      <c r="A632" t="s">
        <v>94</v>
      </c>
      <c r="B632" t="s">
        <v>40</v>
      </c>
      <c r="C632" t="s">
        <v>81</v>
      </c>
      <c r="D632" s="2">
        <v>0</v>
      </c>
      <c r="E632" s="2">
        <v>0</v>
      </c>
    </row>
    <row r="633" spans="1:5" x14ac:dyDescent="0.2">
      <c r="A633" t="s">
        <v>94</v>
      </c>
      <c r="B633" t="s">
        <v>40</v>
      </c>
      <c r="C633" t="s">
        <v>81</v>
      </c>
      <c r="D633" s="2">
        <v>88.725530399999997</v>
      </c>
      <c r="E633" s="2">
        <v>32</v>
      </c>
    </row>
    <row r="634" spans="1:5" x14ac:dyDescent="0.2">
      <c r="A634" t="s">
        <v>94</v>
      </c>
      <c r="B634" t="s">
        <v>40</v>
      </c>
      <c r="C634" t="s">
        <v>81</v>
      </c>
      <c r="D634" s="2">
        <v>0</v>
      </c>
      <c r="E634" s="2">
        <v>6</v>
      </c>
    </row>
    <row r="635" spans="1:5" x14ac:dyDescent="0.2">
      <c r="A635" t="s">
        <v>96</v>
      </c>
      <c r="B635" t="s">
        <v>40</v>
      </c>
      <c r="C635" t="s">
        <v>81</v>
      </c>
      <c r="D635" s="2">
        <v>167.58407879999999</v>
      </c>
      <c r="E635" s="2">
        <v>260</v>
      </c>
    </row>
    <row r="636" spans="1:5" x14ac:dyDescent="0.2">
      <c r="A636" t="s">
        <v>96</v>
      </c>
      <c r="B636" t="s">
        <v>40</v>
      </c>
      <c r="C636" t="s">
        <v>81</v>
      </c>
      <c r="D636" s="2">
        <v>156.0754168</v>
      </c>
      <c r="E636" s="2">
        <v>120</v>
      </c>
    </row>
    <row r="637" spans="1:5" x14ac:dyDescent="0.2">
      <c r="A637" t="s">
        <v>96</v>
      </c>
      <c r="B637" t="s">
        <v>40</v>
      </c>
      <c r="C637" t="s">
        <v>81</v>
      </c>
      <c r="D637" s="2">
        <v>0</v>
      </c>
      <c r="E637" s="2">
        <v>8</v>
      </c>
    </row>
    <row r="638" spans="1:5" x14ac:dyDescent="0.2">
      <c r="A638" t="s">
        <v>96</v>
      </c>
      <c r="B638" t="s">
        <v>40</v>
      </c>
      <c r="C638" t="s">
        <v>81</v>
      </c>
      <c r="D638" s="2">
        <v>73.578822799999998</v>
      </c>
      <c r="E638" s="2">
        <v>68</v>
      </c>
    </row>
    <row r="639" spans="1:5" x14ac:dyDescent="0.2">
      <c r="A639" t="s">
        <v>96</v>
      </c>
      <c r="B639" t="s">
        <v>40</v>
      </c>
      <c r="C639" t="s">
        <v>81</v>
      </c>
      <c r="D639" s="2">
        <v>0</v>
      </c>
      <c r="E639" s="2">
        <v>0</v>
      </c>
    </row>
    <row r="640" spans="1:5" x14ac:dyDescent="0.2">
      <c r="A640" t="s">
        <v>96</v>
      </c>
      <c r="B640" t="s">
        <v>40</v>
      </c>
      <c r="C640" t="s">
        <v>81</v>
      </c>
      <c r="D640" s="2">
        <v>0</v>
      </c>
      <c r="E640" s="2">
        <v>0</v>
      </c>
    </row>
    <row r="641" spans="1:5" x14ac:dyDescent="0.2">
      <c r="A641" t="s">
        <v>96</v>
      </c>
      <c r="B641" t="s">
        <v>40</v>
      </c>
      <c r="C641" t="s">
        <v>81</v>
      </c>
      <c r="D641" s="2">
        <v>0</v>
      </c>
      <c r="E641" s="2">
        <v>0</v>
      </c>
    </row>
    <row r="642" spans="1:5" x14ac:dyDescent="0.2">
      <c r="A642" t="s">
        <v>93</v>
      </c>
      <c r="B642" t="s">
        <v>74</v>
      </c>
      <c r="C642" t="s">
        <v>81</v>
      </c>
      <c r="D642" s="2">
        <v>0</v>
      </c>
      <c r="E642" s="2">
        <v>0</v>
      </c>
    </row>
    <row r="643" spans="1:5" x14ac:dyDescent="0.2">
      <c r="A643" t="s">
        <v>93</v>
      </c>
      <c r="B643" t="s">
        <v>74</v>
      </c>
      <c r="C643" t="s">
        <v>81</v>
      </c>
      <c r="D643" s="2">
        <v>0</v>
      </c>
      <c r="E643" s="2">
        <v>0</v>
      </c>
    </row>
    <row r="644" spans="1:5" x14ac:dyDescent="0.2">
      <c r="A644" t="s">
        <v>93</v>
      </c>
      <c r="B644" t="s">
        <v>74</v>
      </c>
      <c r="C644" t="s">
        <v>81</v>
      </c>
      <c r="D644" s="2">
        <v>47.024685599999998</v>
      </c>
      <c r="E644" s="2">
        <v>96</v>
      </c>
    </row>
    <row r="645" spans="1:5" x14ac:dyDescent="0.2">
      <c r="A645" t="s">
        <v>93</v>
      </c>
      <c r="B645" t="s">
        <v>74</v>
      </c>
      <c r="C645" t="s">
        <v>81</v>
      </c>
      <c r="D645" s="2">
        <v>32.1946844</v>
      </c>
      <c r="E645" s="2">
        <v>28</v>
      </c>
    </row>
    <row r="646" spans="1:5" x14ac:dyDescent="0.2">
      <c r="A646" t="s">
        <v>95</v>
      </c>
      <c r="B646" t="s">
        <v>74</v>
      </c>
      <c r="C646" t="s">
        <v>81</v>
      </c>
      <c r="D646" s="2">
        <v>0</v>
      </c>
      <c r="E646" s="2">
        <v>0</v>
      </c>
    </row>
    <row r="647" spans="1:5" x14ac:dyDescent="0.2">
      <c r="A647" t="s">
        <v>95</v>
      </c>
      <c r="B647" t="s">
        <v>74</v>
      </c>
      <c r="C647" t="s">
        <v>81</v>
      </c>
      <c r="D647" s="2">
        <v>0</v>
      </c>
      <c r="E647" s="2">
        <v>0</v>
      </c>
    </row>
    <row r="648" spans="1:5" x14ac:dyDescent="0.2">
      <c r="A648" t="s">
        <v>95</v>
      </c>
      <c r="B648" t="s">
        <v>74</v>
      </c>
      <c r="C648" t="s">
        <v>81</v>
      </c>
      <c r="D648" s="2">
        <v>0</v>
      </c>
      <c r="E648" s="2">
        <v>0</v>
      </c>
    </row>
    <row r="649" spans="1:5" x14ac:dyDescent="0.2">
      <c r="A649" t="s">
        <v>95</v>
      </c>
      <c r="B649" t="s">
        <v>74</v>
      </c>
      <c r="C649" t="s">
        <v>81</v>
      </c>
      <c r="D649" s="2">
        <v>0</v>
      </c>
      <c r="E649" s="2">
        <v>0</v>
      </c>
    </row>
    <row r="650" spans="1:5" x14ac:dyDescent="0.2">
      <c r="A650" t="s">
        <v>95</v>
      </c>
      <c r="B650" t="s">
        <v>74</v>
      </c>
      <c r="C650" t="s">
        <v>81</v>
      </c>
      <c r="D650" s="2">
        <v>0</v>
      </c>
      <c r="E650" s="2">
        <v>0</v>
      </c>
    </row>
    <row r="651" spans="1:5" x14ac:dyDescent="0.2">
      <c r="A651" t="s">
        <v>95</v>
      </c>
      <c r="B651" t="s">
        <v>74</v>
      </c>
      <c r="C651" t="s">
        <v>81</v>
      </c>
      <c r="D651" s="2">
        <v>0</v>
      </c>
      <c r="E651" s="2">
        <v>0</v>
      </c>
    </row>
    <row r="652" spans="1:5" x14ac:dyDescent="0.2">
      <c r="A652" t="s">
        <v>95</v>
      </c>
      <c r="B652" t="s">
        <v>74</v>
      </c>
      <c r="C652" t="s">
        <v>81</v>
      </c>
      <c r="D652" s="2">
        <v>253.39797899999999</v>
      </c>
      <c r="E652" s="2">
        <v>250</v>
      </c>
    </row>
    <row r="653" spans="1:5" x14ac:dyDescent="0.2">
      <c r="A653" t="s">
        <v>95</v>
      </c>
      <c r="B653" t="s">
        <v>74</v>
      </c>
      <c r="C653" t="s">
        <v>81</v>
      </c>
      <c r="D653" s="2">
        <v>235.10631420000001</v>
      </c>
      <c r="E653" s="2">
        <v>392</v>
      </c>
    </row>
    <row r="654" spans="1:5" x14ac:dyDescent="0.2">
      <c r="A654" t="s">
        <v>95</v>
      </c>
      <c r="B654" t="s">
        <v>74</v>
      </c>
      <c r="C654" t="s">
        <v>81</v>
      </c>
      <c r="D654" s="2">
        <v>0</v>
      </c>
      <c r="E654" s="2">
        <v>0</v>
      </c>
    </row>
    <row r="655" spans="1:5" x14ac:dyDescent="0.2">
      <c r="A655" t="s">
        <v>95</v>
      </c>
      <c r="B655" t="s">
        <v>74</v>
      </c>
      <c r="C655" t="s">
        <v>81</v>
      </c>
      <c r="D655" s="2">
        <v>613.00152700000001</v>
      </c>
      <c r="E655" s="2">
        <v>454</v>
      </c>
    </row>
    <row r="656" spans="1:5" x14ac:dyDescent="0.2">
      <c r="A656" t="s">
        <v>95</v>
      </c>
      <c r="B656" t="s">
        <v>74</v>
      </c>
      <c r="C656" t="s">
        <v>81</v>
      </c>
      <c r="D656" s="2">
        <v>0</v>
      </c>
      <c r="E656" s="2">
        <v>0</v>
      </c>
    </row>
    <row r="657" spans="1:5" x14ac:dyDescent="0.2">
      <c r="A657" t="s">
        <v>95</v>
      </c>
      <c r="B657" t="s">
        <v>74</v>
      </c>
      <c r="C657" t="s">
        <v>81</v>
      </c>
      <c r="D657" s="2">
        <v>0</v>
      </c>
      <c r="E657" s="2">
        <v>0</v>
      </c>
    </row>
    <row r="658" spans="1:5" x14ac:dyDescent="0.2">
      <c r="A658" t="s">
        <v>95</v>
      </c>
      <c r="B658" t="s">
        <v>74</v>
      </c>
      <c r="C658" t="s">
        <v>81</v>
      </c>
      <c r="D658" s="2">
        <v>413.11831619999998</v>
      </c>
      <c r="E658" s="2">
        <v>556</v>
      </c>
    </row>
    <row r="659" spans="1:5" x14ac:dyDescent="0.2">
      <c r="A659" t="s">
        <v>95</v>
      </c>
      <c r="B659" t="s">
        <v>74</v>
      </c>
      <c r="C659" t="s">
        <v>81</v>
      </c>
      <c r="D659" s="2">
        <v>0</v>
      </c>
      <c r="E659" s="2">
        <v>0</v>
      </c>
    </row>
    <row r="660" spans="1:5" x14ac:dyDescent="0.2">
      <c r="A660" t="s">
        <v>94</v>
      </c>
      <c r="B660" t="s">
        <v>74</v>
      </c>
      <c r="C660" t="s">
        <v>81</v>
      </c>
      <c r="D660" s="2">
        <v>0</v>
      </c>
      <c r="E660" s="2">
        <v>0</v>
      </c>
    </row>
    <row r="661" spans="1:5" x14ac:dyDescent="0.2">
      <c r="A661" t="s">
        <v>94</v>
      </c>
      <c r="B661" t="s">
        <v>74</v>
      </c>
      <c r="C661" t="s">
        <v>81</v>
      </c>
      <c r="D661" s="2">
        <v>0</v>
      </c>
      <c r="E661" s="2">
        <v>0</v>
      </c>
    </row>
    <row r="662" spans="1:5" x14ac:dyDescent="0.2">
      <c r="A662" t="s">
        <v>94</v>
      </c>
      <c r="B662" t="s">
        <v>74</v>
      </c>
      <c r="C662" t="s">
        <v>81</v>
      </c>
      <c r="D662" s="2">
        <v>0</v>
      </c>
      <c r="E662" s="2">
        <v>0</v>
      </c>
    </row>
    <row r="663" spans="1:5" x14ac:dyDescent="0.2">
      <c r="A663" t="s">
        <v>94</v>
      </c>
      <c r="B663" t="s">
        <v>74</v>
      </c>
      <c r="C663" t="s">
        <v>81</v>
      </c>
      <c r="D663" s="2">
        <v>351.37541700000003</v>
      </c>
      <c r="E663" s="2">
        <v>268</v>
      </c>
    </row>
    <row r="664" spans="1:5" x14ac:dyDescent="0.2">
      <c r="A664" t="s">
        <v>94</v>
      </c>
      <c r="B664" t="s">
        <v>74</v>
      </c>
      <c r="C664" t="s">
        <v>81</v>
      </c>
      <c r="D664" s="2">
        <v>0</v>
      </c>
      <c r="E664" s="2">
        <v>0</v>
      </c>
    </row>
    <row r="665" spans="1:5" x14ac:dyDescent="0.2">
      <c r="A665" t="s">
        <v>94</v>
      </c>
      <c r="B665" t="s">
        <v>74</v>
      </c>
      <c r="C665" t="s">
        <v>81</v>
      </c>
      <c r="D665" s="2">
        <v>156.95803140000001</v>
      </c>
      <c r="E665" s="2">
        <v>110</v>
      </c>
    </row>
    <row r="666" spans="1:5" x14ac:dyDescent="0.2">
      <c r="A666" t="s">
        <v>94</v>
      </c>
      <c r="B666" t="s">
        <v>74</v>
      </c>
      <c r="C666" t="s">
        <v>81</v>
      </c>
      <c r="D666" s="2">
        <v>144.50055320000001</v>
      </c>
      <c r="E666" s="2">
        <v>26</v>
      </c>
    </row>
    <row r="667" spans="1:5" x14ac:dyDescent="0.2">
      <c r="A667" t="s">
        <v>96</v>
      </c>
      <c r="B667" t="s">
        <v>74</v>
      </c>
      <c r="C667" t="s">
        <v>81</v>
      </c>
      <c r="D667" s="2">
        <v>220.24404620000001</v>
      </c>
      <c r="E667" s="2">
        <v>258</v>
      </c>
    </row>
    <row r="668" spans="1:5" x14ac:dyDescent="0.2">
      <c r="A668" t="s">
        <v>96</v>
      </c>
      <c r="B668" t="s">
        <v>74</v>
      </c>
      <c r="C668" t="s">
        <v>81</v>
      </c>
      <c r="D668" s="2">
        <v>222.1139368</v>
      </c>
      <c r="E668" s="2">
        <v>134</v>
      </c>
    </row>
    <row r="669" spans="1:5" x14ac:dyDescent="0.2">
      <c r="A669" t="s">
        <v>96</v>
      </c>
      <c r="B669" t="s">
        <v>74</v>
      </c>
      <c r="C669" t="s">
        <v>81</v>
      </c>
      <c r="D669" s="2">
        <v>108.7840408</v>
      </c>
      <c r="E669" s="2">
        <v>0</v>
      </c>
    </row>
    <row r="670" spans="1:5" x14ac:dyDescent="0.2">
      <c r="A670" t="s">
        <v>96</v>
      </c>
      <c r="B670" t="s">
        <v>74</v>
      </c>
      <c r="C670" t="s">
        <v>81</v>
      </c>
      <c r="D670" s="2">
        <v>67.994082199999994</v>
      </c>
      <c r="E670" s="2">
        <v>50</v>
      </c>
    </row>
    <row r="671" spans="1:5" x14ac:dyDescent="0.2">
      <c r="A671" t="s">
        <v>96</v>
      </c>
      <c r="B671" t="s">
        <v>74</v>
      </c>
      <c r="C671" t="s">
        <v>81</v>
      </c>
      <c r="D671" s="2">
        <v>0</v>
      </c>
      <c r="E671" s="2">
        <v>0</v>
      </c>
    </row>
    <row r="672" spans="1:5" x14ac:dyDescent="0.2">
      <c r="A672" t="s">
        <v>96</v>
      </c>
      <c r="B672" t="s">
        <v>74</v>
      </c>
      <c r="C672" t="s">
        <v>81</v>
      </c>
      <c r="D672" s="2">
        <v>0</v>
      </c>
      <c r="E672" s="2">
        <v>0</v>
      </c>
    </row>
    <row r="673" spans="1:5" x14ac:dyDescent="0.2">
      <c r="A673" t="s">
        <v>96</v>
      </c>
      <c r="B673" t="s">
        <v>74</v>
      </c>
      <c r="C673" t="s">
        <v>81</v>
      </c>
      <c r="D673" s="2">
        <v>0</v>
      </c>
      <c r="E673" s="2">
        <v>0</v>
      </c>
    </row>
    <row r="674" spans="1:5" x14ac:dyDescent="0.2">
      <c r="A674" t="s">
        <v>93</v>
      </c>
      <c r="B674" t="s">
        <v>59</v>
      </c>
      <c r="C674" t="s">
        <v>81</v>
      </c>
      <c r="D674" s="2">
        <v>0</v>
      </c>
      <c r="E674" s="2">
        <v>0</v>
      </c>
    </row>
    <row r="675" spans="1:5" x14ac:dyDescent="0.2">
      <c r="A675" t="s">
        <v>93</v>
      </c>
      <c r="B675" t="s">
        <v>59</v>
      </c>
      <c r="C675" t="s">
        <v>81</v>
      </c>
      <c r="D675" s="2">
        <v>0</v>
      </c>
      <c r="E675" s="2">
        <v>0</v>
      </c>
    </row>
    <row r="676" spans="1:5" x14ac:dyDescent="0.2">
      <c r="A676" t="s">
        <v>93</v>
      </c>
      <c r="B676" t="s">
        <v>59</v>
      </c>
      <c r="C676" t="s">
        <v>81</v>
      </c>
      <c r="D676" s="2">
        <v>0</v>
      </c>
      <c r="E676" s="2">
        <v>64</v>
      </c>
    </row>
    <row r="677" spans="1:5" x14ac:dyDescent="0.2">
      <c r="A677" t="s">
        <v>93</v>
      </c>
      <c r="B677" t="s">
        <v>59</v>
      </c>
      <c r="C677" t="s">
        <v>81</v>
      </c>
      <c r="D677" s="2">
        <v>0</v>
      </c>
      <c r="E677" s="2">
        <v>18</v>
      </c>
    </row>
    <row r="678" spans="1:5" x14ac:dyDescent="0.2">
      <c r="A678" t="s">
        <v>95</v>
      </c>
      <c r="B678" t="s">
        <v>59</v>
      </c>
      <c r="C678" t="s">
        <v>81</v>
      </c>
      <c r="D678" s="2">
        <v>0</v>
      </c>
      <c r="E678" s="2">
        <v>0</v>
      </c>
    </row>
    <row r="679" spans="1:5" x14ac:dyDescent="0.2">
      <c r="A679" t="s">
        <v>95</v>
      </c>
      <c r="B679" t="s">
        <v>59</v>
      </c>
      <c r="C679" t="s">
        <v>81</v>
      </c>
      <c r="D679" s="2">
        <v>0</v>
      </c>
      <c r="E679" s="2">
        <v>0</v>
      </c>
    </row>
    <row r="680" spans="1:5" x14ac:dyDescent="0.2">
      <c r="A680" t="s">
        <v>95</v>
      </c>
      <c r="B680" t="s">
        <v>59</v>
      </c>
      <c r="C680" t="s">
        <v>81</v>
      </c>
      <c r="D680" s="2">
        <v>0</v>
      </c>
      <c r="E680" s="2">
        <v>0</v>
      </c>
    </row>
    <row r="681" spans="1:5" x14ac:dyDescent="0.2">
      <c r="A681" t="s">
        <v>95</v>
      </c>
      <c r="B681" t="s">
        <v>59</v>
      </c>
      <c r="C681" t="s">
        <v>81</v>
      </c>
      <c r="D681" s="2">
        <v>0</v>
      </c>
      <c r="E681" s="2">
        <v>0</v>
      </c>
    </row>
    <row r="682" spans="1:5" x14ac:dyDescent="0.2">
      <c r="A682" t="s">
        <v>95</v>
      </c>
      <c r="B682" t="s">
        <v>59</v>
      </c>
      <c r="C682" t="s">
        <v>81</v>
      </c>
      <c r="D682" s="2">
        <v>0</v>
      </c>
      <c r="E682" s="2">
        <v>0</v>
      </c>
    </row>
    <row r="683" spans="1:5" x14ac:dyDescent="0.2">
      <c r="A683" t="s">
        <v>95</v>
      </c>
      <c r="B683" t="s">
        <v>59</v>
      </c>
      <c r="C683" t="s">
        <v>81</v>
      </c>
      <c r="D683" s="2">
        <v>0</v>
      </c>
      <c r="E683" s="2">
        <v>0</v>
      </c>
    </row>
    <row r="684" spans="1:5" x14ac:dyDescent="0.2">
      <c r="A684" t="s">
        <v>95</v>
      </c>
      <c r="B684" t="s">
        <v>59</v>
      </c>
      <c r="C684" t="s">
        <v>81</v>
      </c>
      <c r="D684" s="2">
        <v>0</v>
      </c>
      <c r="E684" s="2">
        <v>288</v>
      </c>
    </row>
    <row r="685" spans="1:5" x14ac:dyDescent="0.2">
      <c r="A685" t="s">
        <v>95</v>
      </c>
      <c r="B685" t="s">
        <v>59</v>
      </c>
      <c r="C685" t="s">
        <v>81</v>
      </c>
      <c r="D685" s="2">
        <v>0</v>
      </c>
      <c r="E685" s="2">
        <v>294</v>
      </c>
    </row>
    <row r="686" spans="1:5" x14ac:dyDescent="0.2">
      <c r="A686" t="s">
        <v>95</v>
      </c>
      <c r="B686" t="s">
        <v>59</v>
      </c>
      <c r="C686" t="s">
        <v>81</v>
      </c>
      <c r="D686" s="2">
        <v>0</v>
      </c>
      <c r="E686" s="2">
        <v>0</v>
      </c>
    </row>
    <row r="687" spans="1:5" x14ac:dyDescent="0.2">
      <c r="A687" t="s">
        <v>95</v>
      </c>
      <c r="B687" t="s">
        <v>59</v>
      </c>
      <c r="C687" t="s">
        <v>81</v>
      </c>
      <c r="D687" s="2">
        <v>0</v>
      </c>
      <c r="E687" s="2">
        <v>258</v>
      </c>
    </row>
    <row r="688" spans="1:5" x14ac:dyDescent="0.2">
      <c r="A688" t="s">
        <v>95</v>
      </c>
      <c r="B688" t="s">
        <v>59</v>
      </c>
      <c r="C688" t="s">
        <v>81</v>
      </c>
      <c r="D688" s="2">
        <v>0</v>
      </c>
      <c r="E688" s="2">
        <v>0</v>
      </c>
    </row>
    <row r="689" spans="1:5" x14ac:dyDescent="0.2">
      <c r="A689" t="s">
        <v>95</v>
      </c>
      <c r="B689" t="s">
        <v>59</v>
      </c>
      <c r="C689" t="s">
        <v>81</v>
      </c>
      <c r="D689" s="2">
        <v>0</v>
      </c>
      <c r="E689" s="2">
        <v>0</v>
      </c>
    </row>
    <row r="690" spans="1:5" x14ac:dyDescent="0.2">
      <c r="A690" t="s">
        <v>95</v>
      </c>
      <c r="B690" t="s">
        <v>59</v>
      </c>
      <c r="C690" t="s">
        <v>81</v>
      </c>
      <c r="D690" s="2">
        <v>0</v>
      </c>
      <c r="E690" s="2">
        <v>312</v>
      </c>
    </row>
    <row r="691" spans="1:5" x14ac:dyDescent="0.2">
      <c r="A691" t="s">
        <v>95</v>
      </c>
      <c r="B691" t="s">
        <v>59</v>
      </c>
      <c r="C691" t="s">
        <v>81</v>
      </c>
      <c r="D691" s="2">
        <v>0</v>
      </c>
      <c r="E691" s="2">
        <v>0</v>
      </c>
    </row>
    <row r="692" spans="1:5" x14ac:dyDescent="0.2">
      <c r="A692" t="s">
        <v>94</v>
      </c>
      <c r="B692" t="s">
        <v>59</v>
      </c>
      <c r="C692" t="s">
        <v>81</v>
      </c>
      <c r="D692" s="2">
        <v>0</v>
      </c>
      <c r="E692" s="2">
        <v>0</v>
      </c>
    </row>
    <row r="693" spans="1:5" x14ac:dyDescent="0.2">
      <c r="A693" t="s">
        <v>94</v>
      </c>
      <c r="B693" t="s">
        <v>59</v>
      </c>
      <c r="C693" t="s">
        <v>81</v>
      </c>
      <c r="D693" s="2">
        <v>0</v>
      </c>
      <c r="E693" s="2">
        <v>0</v>
      </c>
    </row>
    <row r="694" spans="1:5" x14ac:dyDescent="0.2">
      <c r="A694" t="s">
        <v>94</v>
      </c>
      <c r="B694" t="s">
        <v>59</v>
      </c>
      <c r="C694" t="s">
        <v>81</v>
      </c>
      <c r="D694" s="2">
        <v>0</v>
      </c>
      <c r="E694" s="2">
        <v>0</v>
      </c>
    </row>
    <row r="695" spans="1:5" x14ac:dyDescent="0.2">
      <c r="A695" t="s">
        <v>94</v>
      </c>
      <c r="B695" t="s">
        <v>59</v>
      </c>
      <c r="C695" t="s">
        <v>81</v>
      </c>
      <c r="D695" s="2">
        <v>0</v>
      </c>
      <c r="E695" s="2">
        <v>38</v>
      </c>
    </row>
    <row r="696" spans="1:5" x14ac:dyDescent="0.2">
      <c r="A696" t="s">
        <v>94</v>
      </c>
      <c r="B696" t="s">
        <v>59</v>
      </c>
      <c r="C696" t="s">
        <v>81</v>
      </c>
      <c r="D696" s="2">
        <v>0</v>
      </c>
      <c r="E696" s="2">
        <v>0</v>
      </c>
    </row>
    <row r="697" spans="1:5" x14ac:dyDescent="0.2">
      <c r="A697" t="s">
        <v>94</v>
      </c>
      <c r="B697" t="s">
        <v>59</v>
      </c>
      <c r="C697" t="s">
        <v>81</v>
      </c>
      <c r="D697" s="2">
        <v>0</v>
      </c>
      <c r="E697" s="2">
        <v>6</v>
      </c>
    </row>
    <row r="698" spans="1:5" x14ac:dyDescent="0.2">
      <c r="A698" t="s">
        <v>94</v>
      </c>
      <c r="B698" t="s">
        <v>59</v>
      </c>
      <c r="C698" t="s">
        <v>81</v>
      </c>
      <c r="D698" s="2">
        <v>0</v>
      </c>
      <c r="E698" s="2">
        <v>0</v>
      </c>
    </row>
    <row r="699" spans="1:5" x14ac:dyDescent="0.2">
      <c r="A699" t="s">
        <v>96</v>
      </c>
      <c r="B699" t="s">
        <v>59</v>
      </c>
      <c r="C699" t="s">
        <v>81</v>
      </c>
      <c r="D699" s="2">
        <v>0</v>
      </c>
      <c r="E699" s="2">
        <v>234</v>
      </c>
    </row>
    <row r="700" spans="1:5" x14ac:dyDescent="0.2">
      <c r="A700" t="s">
        <v>96</v>
      </c>
      <c r="B700" t="s">
        <v>59</v>
      </c>
      <c r="C700" t="s">
        <v>81</v>
      </c>
      <c r="D700" s="2">
        <v>0</v>
      </c>
      <c r="E700" s="2">
        <v>56</v>
      </c>
    </row>
    <row r="701" spans="1:5" x14ac:dyDescent="0.2">
      <c r="A701" t="s">
        <v>96</v>
      </c>
      <c r="B701" t="s">
        <v>59</v>
      </c>
      <c r="C701" t="s">
        <v>81</v>
      </c>
      <c r="D701" s="2">
        <v>0</v>
      </c>
      <c r="E701" s="2">
        <v>0</v>
      </c>
    </row>
    <row r="702" spans="1:5" x14ac:dyDescent="0.2">
      <c r="A702" t="s">
        <v>96</v>
      </c>
      <c r="B702" t="s">
        <v>59</v>
      </c>
      <c r="C702" t="s">
        <v>81</v>
      </c>
      <c r="D702" s="2">
        <v>0</v>
      </c>
      <c r="E702" s="2">
        <v>38</v>
      </c>
    </row>
    <row r="703" spans="1:5" x14ac:dyDescent="0.2">
      <c r="A703" t="s">
        <v>96</v>
      </c>
      <c r="B703" t="s">
        <v>59</v>
      </c>
      <c r="C703" t="s">
        <v>81</v>
      </c>
      <c r="D703" s="2">
        <v>0</v>
      </c>
      <c r="E703" s="2">
        <v>0</v>
      </c>
    </row>
    <row r="704" spans="1:5" x14ac:dyDescent="0.2">
      <c r="A704" t="s">
        <v>96</v>
      </c>
      <c r="B704" t="s">
        <v>59</v>
      </c>
      <c r="C704" t="s">
        <v>81</v>
      </c>
      <c r="D704" s="2">
        <v>0</v>
      </c>
      <c r="E704" s="2">
        <v>0</v>
      </c>
    </row>
    <row r="705" spans="1:5" x14ac:dyDescent="0.2">
      <c r="A705" t="s">
        <v>96</v>
      </c>
      <c r="B705" t="s">
        <v>59</v>
      </c>
      <c r="C705" t="s">
        <v>81</v>
      </c>
      <c r="D705" s="2">
        <v>0</v>
      </c>
      <c r="E705" s="2">
        <v>0</v>
      </c>
    </row>
    <row r="706" spans="1:5" x14ac:dyDescent="0.2">
      <c r="A706" t="s">
        <v>93</v>
      </c>
      <c r="B706" t="s">
        <v>37</v>
      </c>
      <c r="C706" t="s">
        <v>81</v>
      </c>
      <c r="D706" s="2">
        <v>0</v>
      </c>
      <c r="E706" s="2">
        <v>0</v>
      </c>
    </row>
    <row r="707" spans="1:5" x14ac:dyDescent="0.2">
      <c r="A707" t="s">
        <v>93</v>
      </c>
      <c r="B707" t="s">
        <v>37</v>
      </c>
      <c r="C707" t="s">
        <v>81</v>
      </c>
      <c r="D707" s="2">
        <v>0</v>
      </c>
      <c r="E707" s="2">
        <v>0</v>
      </c>
    </row>
    <row r="708" spans="1:5" x14ac:dyDescent="0.2">
      <c r="A708" t="s">
        <v>93</v>
      </c>
      <c r="B708" t="s">
        <v>37</v>
      </c>
      <c r="C708" t="s">
        <v>81</v>
      </c>
      <c r="D708" s="2">
        <v>57.715971600000003</v>
      </c>
      <c r="E708" s="2">
        <v>58</v>
      </c>
    </row>
    <row r="709" spans="1:5" x14ac:dyDescent="0.2">
      <c r="A709" t="s">
        <v>93</v>
      </c>
      <c r="B709" t="s">
        <v>37</v>
      </c>
      <c r="C709" t="s">
        <v>81</v>
      </c>
      <c r="D709" s="2">
        <v>43.214167199999999</v>
      </c>
      <c r="E709" s="2">
        <v>10</v>
      </c>
    </row>
    <row r="710" spans="1:5" x14ac:dyDescent="0.2">
      <c r="A710" t="s">
        <v>95</v>
      </c>
      <c r="B710" t="s">
        <v>37</v>
      </c>
      <c r="C710" t="s">
        <v>81</v>
      </c>
      <c r="D710" s="2">
        <v>0</v>
      </c>
      <c r="E710" s="2">
        <v>0</v>
      </c>
    </row>
    <row r="711" spans="1:5" x14ac:dyDescent="0.2">
      <c r="A711" t="s">
        <v>95</v>
      </c>
      <c r="B711" t="s">
        <v>37</v>
      </c>
      <c r="C711" t="s">
        <v>81</v>
      </c>
      <c r="D711" s="2">
        <v>0</v>
      </c>
      <c r="E711" s="2">
        <v>0</v>
      </c>
    </row>
    <row r="712" spans="1:5" x14ac:dyDescent="0.2">
      <c r="A712" t="s">
        <v>95</v>
      </c>
      <c r="B712" t="s">
        <v>37</v>
      </c>
      <c r="C712" t="s">
        <v>81</v>
      </c>
      <c r="D712" s="2">
        <v>0</v>
      </c>
      <c r="E712" s="2">
        <v>0</v>
      </c>
    </row>
    <row r="713" spans="1:5" x14ac:dyDescent="0.2">
      <c r="A713" t="s">
        <v>95</v>
      </c>
      <c r="B713" t="s">
        <v>37</v>
      </c>
      <c r="C713" t="s">
        <v>81</v>
      </c>
      <c r="D713" s="2">
        <v>0</v>
      </c>
      <c r="E713" s="2">
        <v>0</v>
      </c>
    </row>
    <row r="714" spans="1:5" x14ac:dyDescent="0.2">
      <c r="A714" t="s">
        <v>95</v>
      </c>
      <c r="B714" t="s">
        <v>37</v>
      </c>
      <c r="C714" t="s">
        <v>81</v>
      </c>
      <c r="D714" s="2">
        <v>0</v>
      </c>
      <c r="E714" s="2">
        <v>0</v>
      </c>
    </row>
    <row r="715" spans="1:5" x14ac:dyDescent="0.2">
      <c r="A715" t="s">
        <v>95</v>
      </c>
      <c r="B715" t="s">
        <v>37</v>
      </c>
      <c r="C715" t="s">
        <v>81</v>
      </c>
      <c r="D715" s="2">
        <v>0</v>
      </c>
      <c r="E715" s="2">
        <v>0</v>
      </c>
    </row>
    <row r="716" spans="1:5" x14ac:dyDescent="0.2">
      <c r="A716" t="s">
        <v>95</v>
      </c>
      <c r="B716" t="s">
        <v>37</v>
      </c>
      <c r="C716" t="s">
        <v>81</v>
      </c>
      <c r="D716" s="2">
        <v>260.34095760000002</v>
      </c>
      <c r="E716" s="2">
        <v>232</v>
      </c>
    </row>
    <row r="717" spans="1:5" x14ac:dyDescent="0.2">
      <c r="A717" t="s">
        <v>95</v>
      </c>
      <c r="B717" t="s">
        <v>37</v>
      </c>
      <c r="C717" t="s">
        <v>81</v>
      </c>
      <c r="D717" s="2">
        <v>289.16362600000002</v>
      </c>
      <c r="E717" s="2">
        <v>292</v>
      </c>
    </row>
    <row r="718" spans="1:5" x14ac:dyDescent="0.2">
      <c r="A718" t="s">
        <v>95</v>
      </c>
      <c r="B718" t="s">
        <v>37</v>
      </c>
      <c r="C718" t="s">
        <v>81</v>
      </c>
      <c r="D718" s="2">
        <v>0</v>
      </c>
      <c r="E718" s="2">
        <v>0</v>
      </c>
    </row>
    <row r="719" spans="1:5" x14ac:dyDescent="0.2">
      <c r="A719" t="s">
        <v>95</v>
      </c>
      <c r="B719" t="s">
        <v>37</v>
      </c>
      <c r="C719" t="s">
        <v>81</v>
      </c>
      <c r="D719" s="2">
        <v>557.15275499999996</v>
      </c>
      <c r="E719" s="2">
        <v>304</v>
      </c>
    </row>
    <row r="720" spans="1:5" x14ac:dyDescent="0.2">
      <c r="A720" t="s">
        <v>95</v>
      </c>
      <c r="B720" t="s">
        <v>37</v>
      </c>
      <c r="C720" t="s">
        <v>81</v>
      </c>
      <c r="D720" s="2">
        <v>0</v>
      </c>
      <c r="E720" s="2">
        <v>0</v>
      </c>
    </row>
    <row r="721" spans="1:5" x14ac:dyDescent="0.2">
      <c r="A721" t="s">
        <v>95</v>
      </c>
      <c r="B721" t="s">
        <v>37</v>
      </c>
      <c r="C721" t="s">
        <v>81</v>
      </c>
      <c r="D721" s="2">
        <v>0</v>
      </c>
      <c r="E721" s="2">
        <v>0</v>
      </c>
    </row>
    <row r="722" spans="1:5" x14ac:dyDescent="0.2">
      <c r="A722" t="s">
        <v>95</v>
      </c>
      <c r="B722" t="s">
        <v>37</v>
      </c>
      <c r="C722" t="s">
        <v>81</v>
      </c>
      <c r="D722" s="2">
        <v>304.26918879999999</v>
      </c>
      <c r="E722" s="2">
        <v>308</v>
      </c>
    </row>
    <row r="723" spans="1:5" x14ac:dyDescent="0.2">
      <c r="A723" t="s">
        <v>95</v>
      </c>
      <c r="B723" t="s">
        <v>37</v>
      </c>
      <c r="C723" t="s">
        <v>81</v>
      </c>
      <c r="D723" s="2">
        <v>0</v>
      </c>
      <c r="E723" s="2">
        <v>0</v>
      </c>
    </row>
    <row r="724" spans="1:5" x14ac:dyDescent="0.2">
      <c r="A724" t="s">
        <v>94</v>
      </c>
      <c r="B724" t="s">
        <v>37</v>
      </c>
      <c r="C724" t="s">
        <v>81</v>
      </c>
      <c r="D724" s="2">
        <v>0</v>
      </c>
      <c r="E724" s="2">
        <v>0</v>
      </c>
    </row>
    <row r="725" spans="1:5" x14ac:dyDescent="0.2">
      <c r="A725" t="s">
        <v>94</v>
      </c>
      <c r="B725" t="s">
        <v>37</v>
      </c>
      <c r="C725" t="s">
        <v>81</v>
      </c>
      <c r="D725" s="2">
        <v>0</v>
      </c>
      <c r="E725" s="2">
        <v>0</v>
      </c>
    </row>
    <row r="726" spans="1:5" x14ac:dyDescent="0.2">
      <c r="A726" t="s">
        <v>94</v>
      </c>
      <c r="B726" t="s">
        <v>37</v>
      </c>
      <c r="C726" t="s">
        <v>81</v>
      </c>
      <c r="D726" s="2">
        <v>0</v>
      </c>
      <c r="E726" s="2">
        <v>0</v>
      </c>
    </row>
    <row r="727" spans="1:5" x14ac:dyDescent="0.2">
      <c r="A727" t="s">
        <v>94</v>
      </c>
      <c r="B727" t="s">
        <v>37</v>
      </c>
      <c r="C727" t="s">
        <v>81</v>
      </c>
      <c r="D727" s="2">
        <v>70.147767400000006</v>
      </c>
      <c r="E727" s="2">
        <v>62</v>
      </c>
    </row>
    <row r="728" spans="1:5" x14ac:dyDescent="0.2">
      <c r="A728" t="s">
        <v>94</v>
      </c>
      <c r="B728" t="s">
        <v>37</v>
      </c>
      <c r="C728" t="s">
        <v>81</v>
      </c>
      <c r="D728" s="2">
        <v>0</v>
      </c>
      <c r="E728" s="2">
        <v>0</v>
      </c>
    </row>
    <row r="729" spans="1:5" x14ac:dyDescent="0.2">
      <c r="A729" t="s">
        <v>94</v>
      </c>
      <c r="B729" t="s">
        <v>37</v>
      </c>
      <c r="C729" t="s">
        <v>81</v>
      </c>
      <c r="D729" s="2">
        <v>72.778348800000003</v>
      </c>
      <c r="E729" s="2">
        <v>46</v>
      </c>
    </row>
    <row r="730" spans="1:5" x14ac:dyDescent="0.2">
      <c r="A730" t="s">
        <v>94</v>
      </c>
      <c r="B730" t="s">
        <v>37</v>
      </c>
      <c r="C730" t="s">
        <v>81</v>
      </c>
      <c r="D730" s="2">
        <v>0</v>
      </c>
      <c r="E730" s="2">
        <v>0</v>
      </c>
    </row>
    <row r="731" spans="1:5" x14ac:dyDescent="0.2">
      <c r="A731" t="s">
        <v>96</v>
      </c>
      <c r="B731" t="s">
        <v>37</v>
      </c>
      <c r="C731" t="s">
        <v>81</v>
      </c>
      <c r="D731" s="2">
        <v>206.99901</v>
      </c>
      <c r="E731" s="2">
        <v>202</v>
      </c>
    </row>
    <row r="732" spans="1:5" x14ac:dyDescent="0.2">
      <c r="A732" t="s">
        <v>96</v>
      </c>
      <c r="B732" t="s">
        <v>37</v>
      </c>
      <c r="C732" t="s">
        <v>81</v>
      </c>
      <c r="D732" s="2">
        <v>171.04465379999999</v>
      </c>
      <c r="E732" s="2">
        <v>64</v>
      </c>
    </row>
    <row r="733" spans="1:5" x14ac:dyDescent="0.2">
      <c r="A733" t="s">
        <v>96</v>
      </c>
      <c r="B733" t="s">
        <v>37</v>
      </c>
      <c r="C733" t="s">
        <v>81</v>
      </c>
      <c r="D733" s="2">
        <v>0</v>
      </c>
      <c r="E733" s="2">
        <v>0</v>
      </c>
    </row>
    <row r="734" spans="1:5" x14ac:dyDescent="0.2">
      <c r="A734" t="s">
        <v>96</v>
      </c>
      <c r="B734" t="s">
        <v>37</v>
      </c>
      <c r="C734" t="s">
        <v>81</v>
      </c>
      <c r="D734" s="2">
        <v>87.965570999999997</v>
      </c>
      <c r="E734" s="2">
        <v>46</v>
      </c>
    </row>
    <row r="735" spans="1:5" x14ac:dyDescent="0.2">
      <c r="A735" t="s">
        <v>96</v>
      </c>
      <c r="B735" t="s">
        <v>37</v>
      </c>
      <c r="C735" t="s">
        <v>81</v>
      </c>
      <c r="D735" s="2">
        <v>0</v>
      </c>
      <c r="E735" s="2">
        <v>0</v>
      </c>
    </row>
    <row r="736" spans="1:5" x14ac:dyDescent="0.2">
      <c r="A736" t="s">
        <v>96</v>
      </c>
      <c r="B736" t="s">
        <v>37</v>
      </c>
      <c r="C736" t="s">
        <v>81</v>
      </c>
      <c r="D736" s="2">
        <v>0</v>
      </c>
      <c r="E736" s="2">
        <v>0</v>
      </c>
    </row>
    <row r="737" spans="1:5" x14ac:dyDescent="0.2">
      <c r="A737" t="s">
        <v>96</v>
      </c>
      <c r="B737" t="s">
        <v>37</v>
      </c>
      <c r="C737" t="s">
        <v>81</v>
      </c>
      <c r="D737" s="2">
        <v>0</v>
      </c>
      <c r="E737" s="2">
        <v>0</v>
      </c>
    </row>
    <row r="738" spans="1:5" x14ac:dyDescent="0.2">
      <c r="A738" t="s">
        <v>93</v>
      </c>
      <c r="B738" t="s">
        <v>71</v>
      </c>
      <c r="C738" t="s">
        <v>81</v>
      </c>
      <c r="D738" s="2">
        <v>0</v>
      </c>
      <c r="E738" s="2">
        <v>0</v>
      </c>
    </row>
    <row r="739" spans="1:5" x14ac:dyDescent="0.2">
      <c r="A739" t="s">
        <v>93</v>
      </c>
      <c r="B739" t="s">
        <v>71</v>
      </c>
      <c r="C739" t="s">
        <v>81</v>
      </c>
      <c r="D739" s="2">
        <v>0</v>
      </c>
      <c r="E739" s="2">
        <v>0</v>
      </c>
    </row>
    <row r="740" spans="1:5" x14ac:dyDescent="0.2">
      <c r="A740" t="s">
        <v>93</v>
      </c>
      <c r="B740" t="s">
        <v>71</v>
      </c>
      <c r="C740" t="s">
        <v>81</v>
      </c>
      <c r="D740" s="2">
        <v>56.771362799999999</v>
      </c>
      <c r="E740" s="2">
        <v>70</v>
      </c>
    </row>
    <row r="741" spans="1:5" x14ac:dyDescent="0.2">
      <c r="A741" t="s">
        <v>93</v>
      </c>
      <c r="B741" t="s">
        <v>71</v>
      </c>
      <c r="C741" t="s">
        <v>81</v>
      </c>
      <c r="D741" s="2">
        <v>34.943456599999998</v>
      </c>
      <c r="E741" s="2">
        <v>34</v>
      </c>
    </row>
    <row r="742" spans="1:5" x14ac:dyDescent="0.2">
      <c r="A742" t="s">
        <v>95</v>
      </c>
      <c r="B742" t="s">
        <v>71</v>
      </c>
      <c r="C742" t="s">
        <v>81</v>
      </c>
      <c r="D742" s="2">
        <v>0</v>
      </c>
      <c r="E742" s="2">
        <v>0</v>
      </c>
    </row>
    <row r="743" spans="1:5" x14ac:dyDescent="0.2">
      <c r="A743" t="s">
        <v>95</v>
      </c>
      <c r="B743" t="s">
        <v>71</v>
      </c>
      <c r="C743" t="s">
        <v>81</v>
      </c>
      <c r="D743" s="2">
        <v>0</v>
      </c>
      <c r="E743" s="2">
        <v>0</v>
      </c>
    </row>
    <row r="744" spans="1:5" x14ac:dyDescent="0.2">
      <c r="A744" t="s">
        <v>95</v>
      </c>
      <c r="B744" t="s">
        <v>71</v>
      </c>
      <c r="C744" t="s">
        <v>81</v>
      </c>
      <c r="D744" s="2">
        <v>0</v>
      </c>
      <c r="E744" s="2">
        <v>0</v>
      </c>
    </row>
    <row r="745" spans="1:5" x14ac:dyDescent="0.2">
      <c r="A745" t="s">
        <v>95</v>
      </c>
      <c r="B745" t="s">
        <v>71</v>
      </c>
      <c r="C745" t="s">
        <v>81</v>
      </c>
      <c r="D745" s="2">
        <v>0</v>
      </c>
      <c r="E745" s="2">
        <v>0</v>
      </c>
    </row>
    <row r="746" spans="1:5" x14ac:dyDescent="0.2">
      <c r="A746" t="s">
        <v>95</v>
      </c>
      <c r="B746" t="s">
        <v>71</v>
      </c>
      <c r="C746" t="s">
        <v>81</v>
      </c>
      <c r="D746" s="2">
        <v>0</v>
      </c>
      <c r="E746" s="2">
        <v>0</v>
      </c>
    </row>
    <row r="747" spans="1:5" x14ac:dyDescent="0.2">
      <c r="A747" t="s">
        <v>95</v>
      </c>
      <c r="B747" t="s">
        <v>71</v>
      </c>
      <c r="C747" t="s">
        <v>81</v>
      </c>
      <c r="D747" s="2">
        <v>0</v>
      </c>
      <c r="E747" s="2">
        <v>0</v>
      </c>
    </row>
    <row r="748" spans="1:5" x14ac:dyDescent="0.2">
      <c r="A748" t="s">
        <v>95</v>
      </c>
      <c r="B748" t="s">
        <v>71</v>
      </c>
      <c r="C748" t="s">
        <v>81</v>
      </c>
      <c r="D748" s="2">
        <v>242.5113332</v>
      </c>
      <c r="E748" s="2">
        <v>380</v>
      </c>
    </row>
    <row r="749" spans="1:5" x14ac:dyDescent="0.2">
      <c r="A749" t="s">
        <v>95</v>
      </c>
      <c r="B749" t="s">
        <v>71</v>
      </c>
      <c r="C749" t="s">
        <v>81</v>
      </c>
      <c r="D749" s="2">
        <v>297.39860879999998</v>
      </c>
      <c r="E749" s="2">
        <v>458</v>
      </c>
    </row>
    <row r="750" spans="1:5" x14ac:dyDescent="0.2">
      <c r="A750" t="s">
        <v>95</v>
      </c>
      <c r="B750" t="s">
        <v>71</v>
      </c>
      <c r="C750" t="s">
        <v>81</v>
      </c>
      <c r="D750" s="2">
        <v>0</v>
      </c>
      <c r="E750" s="2">
        <v>0</v>
      </c>
    </row>
    <row r="751" spans="1:5" x14ac:dyDescent="0.2">
      <c r="A751" t="s">
        <v>95</v>
      </c>
      <c r="B751" t="s">
        <v>71</v>
      </c>
      <c r="C751" t="s">
        <v>81</v>
      </c>
      <c r="D751" s="2">
        <v>612.17255339999997</v>
      </c>
      <c r="E751" s="2">
        <v>558</v>
      </c>
    </row>
    <row r="752" spans="1:5" x14ac:dyDescent="0.2">
      <c r="A752" t="s">
        <v>95</v>
      </c>
      <c r="B752" t="s">
        <v>71</v>
      </c>
      <c r="C752" t="s">
        <v>81</v>
      </c>
      <c r="D752" s="2">
        <v>0</v>
      </c>
      <c r="E752" s="2">
        <v>0</v>
      </c>
    </row>
    <row r="753" spans="1:5" x14ac:dyDescent="0.2">
      <c r="A753" t="s">
        <v>95</v>
      </c>
      <c r="B753" t="s">
        <v>71</v>
      </c>
      <c r="C753" t="s">
        <v>81</v>
      </c>
      <c r="D753" s="2">
        <v>0</v>
      </c>
      <c r="E753" s="2">
        <v>0</v>
      </c>
    </row>
    <row r="754" spans="1:5" x14ac:dyDescent="0.2">
      <c r="A754" t="s">
        <v>95</v>
      </c>
      <c r="B754" t="s">
        <v>71</v>
      </c>
      <c r="C754" t="s">
        <v>81</v>
      </c>
      <c r="D754" s="2">
        <v>348.15160220000001</v>
      </c>
      <c r="E754" s="2">
        <v>670</v>
      </c>
    </row>
    <row r="755" spans="1:5" x14ac:dyDescent="0.2">
      <c r="A755" t="s">
        <v>95</v>
      </c>
      <c r="B755" t="s">
        <v>71</v>
      </c>
      <c r="C755" t="s">
        <v>81</v>
      </c>
      <c r="D755" s="2">
        <v>0</v>
      </c>
      <c r="E755" s="2">
        <v>0</v>
      </c>
    </row>
    <row r="756" spans="1:5" x14ac:dyDescent="0.2">
      <c r="A756" t="s">
        <v>94</v>
      </c>
      <c r="B756" t="s">
        <v>71</v>
      </c>
      <c r="C756" t="s">
        <v>81</v>
      </c>
      <c r="D756" s="2">
        <v>0</v>
      </c>
      <c r="E756" s="2">
        <v>0</v>
      </c>
    </row>
    <row r="757" spans="1:5" x14ac:dyDescent="0.2">
      <c r="A757" t="s">
        <v>94</v>
      </c>
      <c r="B757" t="s">
        <v>71</v>
      </c>
      <c r="C757" t="s">
        <v>81</v>
      </c>
      <c r="D757" s="2">
        <v>0</v>
      </c>
      <c r="E757" s="2">
        <v>0</v>
      </c>
    </row>
    <row r="758" spans="1:5" x14ac:dyDescent="0.2">
      <c r="A758" t="s">
        <v>94</v>
      </c>
      <c r="B758" t="s">
        <v>71</v>
      </c>
      <c r="C758" t="s">
        <v>81</v>
      </c>
      <c r="D758" s="2">
        <v>0</v>
      </c>
      <c r="E758" s="2">
        <v>0</v>
      </c>
    </row>
    <row r="759" spans="1:5" x14ac:dyDescent="0.2">
      <c r="A759" t="s">
        <v>94</v>
      </c>
      <c r="B759" t="s">
        <v>71</v>
      </c>
      <c r="C759" t="s">
        <v>81</v>
      </c>
      <c r="D759" s="2">
        <v>286.93789099999998</v>
      </c>
      <c r="E759" s="2">
        <v>386</v>
      </c>
    </row>
    <row r="760" spans="1:5" x14ac:dyDescent="0.2">
      <c r="A760" t="s">
        <v>94</v>
      </c>
      <c r="B760" t="s">
        <v>71</v>
      </c>
      <c r="C760" t="s">
        <v>81</v>
      </c>
      <c r="D760" s="2">
        <v>0</v>
      </c>
      <c r="E760" s="2">
        <v>0</v>
      </c>
    </row>
    <row r="761" spans="1:5" x14ac:dyDescent="0.2">
      <c r="A761" t="s">
        <v>94</v>
      </c>
      <c r="B761" t="s">
        <v>71</v>
      </c>
      <c r="C761" t="s">
        <v>81</v>
      </c>
      <c r="D761" s="2">
        <v>127.9669336</v>
      </c>
      <c r="E761" s="2">
        <v>82</v>
      </c>
    </row>
    <row r="762" spans="1:5" x14ac:dyDescent="0.2">
      <c r="A762" t="s">
        <v>94</v>
      </c>
      <c r="B762" t="s">
        <v>71</v>
      </c>
      <c r="C762" t="s">
        <v>81</v>
      </c>
      <c r="D762" s="2">
        <v>142.73186340000001</v>
      </c>
      <c r="E762" s="2">
        <v>30</v>
      </c>
    </row>
    <row r="763" spans="1:5" x14ac:dyDescent="0.2">
      <c r="A763" t="s">
        <v>96</v>
      </c>
      <c r="B763" t="s">
        <v>71</v>
      </c>
      <c r="C763" t="s">
        <v>81</v>
      </c>
      <c r="D763" s="2">
        <v>211.40841940000001</v>
      </c>
      <c r="E763" s="2">
        <v>214</v>
      </c>
    </row>
    <row r="764" spans="1:5" x14ac:dyDescent="0.2">
      <c r="A764" t="s">
        <v>96</v>
      </c>
      <c r="B764" t="s">
        <v>71</v>
      </c>
      <c r="C764" t="s">
        <v>81</v>
      </c>
      <c r="D764" s="2">
        <v>143.01835940000001</v>
      </c>
      <c r="E764" s="2">
        <v>144</v>
      </c>
    </row>
    <row r="765" spans="1:5" x14ac:dyDescent="0.2">
      <c r="A765" t="s">
        <v>96</v>
      </c>
      <c r="B765" t="s">
        <v>71</v>
      </c>
      <c r="C765" t="s">
        <v>81</v>
      </c>
      <c r="D765" s="2">
        <v>0</v>
      </c>
      <c r="E765" s="2">
        <v>0</v>
      </c>
    </row>
    <row r="766" spans="1:5" x14ac:dyDescent="0.2">
      <c r="A766" t="s">
        <v>96</v>
      </c>
      <c r="B766" t="s">
        <v>71</v>
      </c>
      <c r="C766" t="s">
        <v>81</v>
      </c>
      <c r="D766" s="2">
        <v>107.263801</v>
      </c>
      <c r="E766" s="2">
        <v>56</v>
      </c>
    </row>
    <row r="767" spans="1:5" x14ac:dyDescent="0.2">
      <c r="A767" t="s">
        <v>96</v>
      </c>
      <c r="B767" t="s">
        <v>71</v>
      </c>
      <c r="C767" t="s">
        <v>81</v>
      </c>
      <c r="D767" s="2">
        <v>0</v>
      </c>
      <c r="E767" s="2">
        <v>0</v>
      </c>
    </row>
    <row r="768" spans="1:5" x14ac:dyDescent="0.2">
      <c r="A768" t="s">
        <v>96</v>
      </c>
      <c r="B768" t="s">
        <v>71</v>
      </c>
      <c r="C768" t="s">
        <v>81</v>
      </c>
      <c r="D768" s="2">
        <v>0</v>
      </c>
      <c r="E768" s="2">
        <v>0</v>
      </c>
    </row>
    <row r="769" spans="1:5" x14ac:dyDescent="0.2">
      <c r="A769" t="s">
        <v>96</v>
      </c>
      <c r="B769" t="s">
        <v>71</v>
      </c>
      <c r="C769" t="s">
        <v>81</v>
      </c>
      <c r="D769" s="2">
        <v>0</v>
      </c>
      <c r="E769" s="2">
        <v>0</v>
      </c>
    </row>
    <row r="770" spans="1:5" x14ac:dyDescent="0.2">
      <c r="A770" t="s">
        <v>93</v>
      </c>
      <c r="B770" t="s">
        <v>61</v>
      </c>
      <c r="C770" t="s">
        <v>81</v>
      </c>
      <c r="D770" s="2">
        <v>0</v>
      </c>
      <c r="E770" s="2">
        <v>0</v>
      </c>
    </row>
    <row r="771" spans="1:5" x14ac:dyDescent="0.2">
      <c r="A771" t="s">
        <v>93</v>
      </c>
      <c r="B771" t="s">
        <v>61</v>
      </c>
      <c r="C771" t="s">
        <v>81</v>
      </c>
      <c r="D771" s="2">
        <v>0</v>
      </c>
      <c r="E771" s="2">
        <v>0</v>
      </c>
    </row>
    <row r="772" spans="1:5" x14ac:dyDescent="0.2">
      <c r="A772" t="s">
        <v>93</v>
      </c>
      <c r="B772" t="s">
        <v>61</v>
      </c>
      <c r="C772" t="s">
        <v>81</v>
      </c>
      <c r="D772" s="2">
        <v>0</v>
      </c>
      <c r="E772" s="2">
        <v>44</v>
      </c>
    </row>
    <row r="773" spans="1:5" x14ac:dyDescent="0.2">
      <c r="A773" t="s">
        <v>93</v>
      </c>
      <c r="B773" t="s">
        <v>61</v>
      </c>
      <c r="C773" t="s">
        <v>81</v>
      </c>
      <c r="D773" s="2">
        <v>0</v>
      </c>
      <c r="E773" s="2">
        <v>18</v>
      </c>
    </row>
    <row r="774" spans="1:5" x14ac:dyDescent="0.2">
      <c r="A774" t="s">
        <v>95</v>
      </c>
      <c r="B774" t="s">
        <v>61</v>
      </c>
      <c r="C774" t="s">
        <v>81</v>
      </c>
      <c r="D774" s="2">
        <v>0</v>
      </c>
      <c r="E774" s="2">
        <v>0</v>
      </c>
    </row>
    <row r="775" spans="1:5" x14ac:dyDescent="0.2">
      <c r="A775" t="s">
        <v>95</v>
      </c>
      <c r="B775" t="s">
        <v>61</v>
      </c>
      <c r="C775" t="s">
        <v>81</v>
      </c>
      <c r="D775" s="2">
        <v>0</v>
      </c>
      <c r="E775" s="2">
        <v>0</v>
      </c>
    </row>
    <row r="776" spans="1:5" x14ac:dyDescent="0.2">
      <c r="A776" t="s">
        <v>95</v>
      </c>
      <c r="B776" t="s">
        <v>61</v>
      </c>
      <c r="C776" t="s">
        <v>81</v>
      </c>
      <c r="D776" s="2">
        <v>0</v>
      </c>
      <c r="E776" s="2">
        <v>0</v>
      </c>
    </row>
    <row r="777" spans="1:5" x14ac:dyDescent="0.2">
      <c r="A777" t="s">
        <v>95</v>
      </c>
      <c r="B777" t="s">
        <v>61</v>
      </c>
      <c r="C777" t="s">
        <v>81</v>
      </c>
      <c r="D777" s="2">
        <v>0</v>
      </c>
      <c r="E777" s="2">
        <v>0</v>
      </c>
    </row>
    <row r="778" spans="1:5" x14ac:dyDescent="0.2">
      <c r="A778" t="s">
        <v>95</v>
      </c>
      <c r="B778" t="s">
        <v>61</v>
      </c>
      <c r="C778" t="s">
        <v>81</v>
      </c>
      <c r="D778" s="2">
        <v>0</v>
      </c>
      <c r="E778" s="2">
        <v>0</v>
      </c>
    </row>
    <row r="779" spans="1:5" x14ac:dyDescent="0.2">
      <c r="A779" t="s">
        <v>95</v>
      </c>
      <c r="B779" t="s">
        <v>61</v>
      </c>
      <c r="C779" t="s">
        <v>81</v>
      </c>
      <c r="D779" s="2">
        <v>0</v>
      </c>
      <c r="E779" s="2">
        <v>0</v>
      </c>
    </row>
    <row r="780" spans="1:5" x14ac:dyDescent="0.2">
      <c r="A780" t="s">
        <v>95</v>
      </c>
      <c r="B780" t="s">
        <v>61</v>
      </c>
      <c r="C780" t="s">
        <v>81</v>
      </c>
      <c r="D780" s="2">
        <v>0</v>
      </c>
      <c r="E780" s="2">
        <v>266</v>
      </c>
    </row>
    <row r="781" spans="1:5" x14ac:dyDescent="0.2">
      <c r="A781" t="s">
        <v>95</v>
      </c>
      <c r="B781" t="s">
        <v>61</v>
      </c>
      <c r="C781" t="s">
        <v>81</v>
      </c>
      <c r="D781" s="2">
        <v>0</v>
      </c>
      <c r="E781" s="2">
        <v>342</v>
      </c>
    </row>
    <row r="782" spans="1:5" x14ac:dyDescent="0.2">
      <c r="A782" t="s">
        <v>95</v>
      </c>
      <c r="B782" t="s">
        <v>61</v>
      </c>
      <c r="C782" t="s">
        <v>81</v>
      </c>
      <c r="D782" s="2">
        <v>0</v>
      </c>
      <c r="E782" s="2">
        <v>0</v>
      </c>
    </row>
    <row r="783" spans="1:5" x14ac:dyDescent="0.2">
      <c r="A783" t="s">
        <v>95</v>
      </c>
      <c r="B783" t="s">
        <v>61</v>
      </c>
      <c r="C783" t="s">
        <v>81</v>
      </c>
      <c r="D783" s="2">
        <v>0</v>
      </c>
      <c r="E783" s="2">
        <v>356</v>
      </c>
    </row>
    <row r="784" spans="1:5" x14ac:dyDescent="0.2">
      <c r="A784" t="s">
        <v>95</v>
      </c>
      <c r="B784" t="s">
        <v>61</v>
      </c>
      <c r="C784" t="s">
        <v>81</v>
      </c>
      <c r="D784" s="2">
        <v>0</v>
      </c>
      <c r="E784" s="2">
        <v>0</v>
      </c>
    </row>
    <row r="785" spans="1:5" x14ac:dyDescent="0.2">
      <c r="A785" t="s">
        <v>95</v>
      </c>
      <c r="B785" t="s">
        <v>61</v>
      </c>
      <c r="C785" t="s">
        <v>81</v>
      </c>
      <c r="D785" s="2">
        <v>0</v>
      </c>
      <c r="E785" s="2">
        <v>0</v>
      </c>
    </row>
    <row r="786" spans="1:5" x14ac:dyDescent="0.2">
      <c r="A786" t="s">
        <v>95</v>
      </c>
      <c r="B786" t="s">
        <v>61</v>
      </c>
      <c r="C786" t="s">
        <v>81</v>
      </c>
      <c r="D786" s="2">
        <v>0</v>
      </c>
      <c r="E786" s="2">
        <v>366</v>
      </c>
    </row>
    <row r="787" spans="1:5" x14ac:dyDescent="0.2">
      <c r="A787" t="s">
        <v>95</v>
      </c>
      <c r="B787" t="s">
        <v>61</v>
      </c>
      <c r="C787" t="s">
        <v>81</v>
      </c>
      <c r="D787" s="2">
        <v>0</v>
      </c>
      <c r="E787" s="2">
        <v>0</v>
      </c>
    </row>
    <row r="788" spans="1:5" x14ac:dyDescent="0.2">
      <c r="A788" t="s">
        <v>94</v>
      </c>
      <c r="B788" t="s">
        <v>61</v>
      </c>
      <c r="C788" t="s">
        <v>81</v>
      </c>
      <c r="D788" s="2">
        <v>0</v>
      </c>
      <c r="E788" s="2">
        <v>0</v>
      </c>
    </row>
    <row r="789" spans="1:5" x14ac:dyDescent="0.2">
      <c r="A789" t="s">
        <v>94</v>
      </c>
      <c r="B789" t="s">
        <v>61</v>
      </c>
      <c r="C789" t="s">
        <v>81</v>
      </c>
      <c r="D789" s="2">
        <v>0</v>
      </c>
      <c r="E789" s="2">
        <v>0</v>
      </c>
    </row>
    <row r="790" spans="1:5" x14ac:dyDescent="0.2">
      <c r="A790" t="s">
        <v>94</v>
      </c>
      <c r="B790" t="s">
        <v>61</v>
      </c>
      <c r="C790" t="s">
        <v>81</v>
      </c>
      <c r="D790" s="2">
        <v>0</v>
      </c>
      <c r="E790" s="2">
        <v>0</v>
      </c>
    </row>
    <row r="791" spans="1:5" x14ac:dyDescent="0.2">
      <c r="A791" t="s">
        <v>94</v>
      </c>
      <c r="B791" t="s">
        <v>61</v>
      </c>
      <c r="C791" t="s">
        <v>81</v>
      </c>
      <c r="D791" s="2">
        <v>0</v>
      </c>
      <c r="E791" s="2">
        <v>28</v>
      </c>
    </row>
    <row r="792" spans="1:5" x14ac:dyDescent="0.2">
      <c r="A792" t="s">
        <v>94</v>
      </c>
      <c r="B792" t="s">
        <v>61</v>
      </c>
      <c r="C792" t="s">
        <v>81</v>
      </c>
      <c r="D792" s="2">
        <v>0</v>
      </c>
      <c r="E792" s="2">
        <v>0</v>
      </c>
    </row>
    <row r="793" spans="1:5" x14ac:dyDescent="0.2">
      <c r="A793" t="s">
        <v>94</v>
      </c>
      <c r="B793" t="s">
        <v>61</v>
      </c>
      <c r="C793" t="s">
        <v>81</v>
      </c>
      <c r="D793" s="2">
        <v>0</v>
      </c>
      <c r="E793" s="2">
        <v>14</v>
      </c>
    </row>
    <row r="794" spans="1:5" x14ac:dyDescent="0.2">
      <c r="A794" t="s">
        <v>94</v>
      </c>
      <c r="B794" t="s">
        <v>61</v>
      </c>
      <c r="C794" t="s">
        <v>81</v>
      </c>
      <c r="D794" s="2">
        <v>0</v>
      </c>
      <c r="E794" s="2">
        <v>0</v>
      </c>
    </row>
    <row r="795" spans="1:5" x14ac:dyDescent="0.2">
      <c r="A795" t="s">
        <v>96</v>
      </c>
      <c r="B795" t="s">
        <v>61</v>
      </c>
      <c r="C795" t="s">
        <v>81</v>
      </c>
      <c r="D795" s="2">
        <v>0</v>
      </c>
      <c r="E795" s="2">
        <v>236</v>
      </c>
    </row>
    <row r="796" spans="1:5" x14ac:dyDescent="0.2">
      <c r="A796" t="s">
        <v>96</v>
      </c>
      <c r="B796" t="s">
        <v>61</v>
      </c>
      <c r="C796" t="s">
        <v>81</v>
      </c>
      <c r="D796" s="2">
        <v>0</v>
      </c>
      <c r="E796" s="2">
        <v>82</v>
      </c>
    </row>
    <row r="797" spans="1:5" x14ac:dyDescent="0.2">
      <c r="A797" t="s">
        <v>96</v>
      </c>
      <c r="B797" t="s">
        <v>61</v>
      </c>
      <c r="C797" t="s">
        <v>81</v>
      </c>
      <c r="D797" s="2">
        <v>0</v>
      </c>
      <c r="E797" s="2">
        <v>0</v>
      </c>
    </row>
    <row r="798" spans="1:5" x14ac:dyDescent="0.2">
      <c r="A798" t="s">
        <v>96</v>
      </c>
      <c r="B798" t="s">
        <v>61</v>
      </c>
      <c r="C798" t="s">
        <v>81</v>
      </c>
      <c r="D798" s="2">
        <v>0</v>
      </c>
      <c r="E798" s="2">
        <v>22</v>
      </c>
    </row>
    <row r="799" spans="1:5" x14ac:dyDescent="0.2">
      <c r="A799" t="s">
        <v>96</v>
      </c>
      <c r="B799" t="s">
        <v>61</v>
      </c>
      <c r="C799" t="s">
        <v>81</v>
      </c>
      <c r="D799" s="2">
        <v>0</v>
      </c>
      <c r="E799" s="2">
        <v>0</v>
      </c>
    </row>
    <row r="800" spans="1:5" x14ac:dyDescent="0.2">
      <c r="A800" t="s">
        <v>96</v>
      </c>
      <c r="B800" t="s">
        <v>61</v>
      </c>
      <c r="C800" t="s">
        <v>81</v>
      </c>
      <c r="D800" s="2">
        <v>0</v>
      </c>
      <c r="E800" s="2">
        <v>0</v>
      </c>
    </row>
    <row r="801" spans="1:5" x14ac:dyDescent="0.2">
      <c r="A801" t="s">
        <v>96</v>
      </c>
      <c r="B801" t="s">
        <v>61</v>
      </c>
      <c r="C801" t="s">
        <v>81</v>
      </c>
      <c r="D801" s="2">
        <v>0</v>
      </c>
      <c r="E801" s="2">
        <v>0</v>
      </c>
    </row>
    <row r="802" spans="1:5" x14ac:dyDescent="0.2">
      <c r="A802" t="s">
        <v>93</v>
      </c>
      <c r="B802" t="s">
        <v>39</v>
      </c>
      <c r="C802" t="s">
        <v>81</v>
      </c>
      <c r="D802" s="2">
        <v>0</v>
      </c>
      <c r="E802" s="2">
        <v>0</v>
      </c>
    </row>
    <row r="803" spans="1:5" x14ac:dyDescent="0.2">
      <c r="A803" t="s">
        <v>93</v>
      </c>
      <c r="B803" t="s">
        <v>39</v>
      </c>
      <c r="C803" t="s">
        <v>81</v>
      </c>
      <c r="D803" s="2">
        <v>0</v>
      </c>
      <c r="E803" s="2">
        <v>0</v>
      </c>
    </row>
    <row r="804" spans="1:5" x14ac:dyDescent="0.2">
      <c r="A804" t="s">
        <v>93</v>
      </c>
      <c r="B804" t="s">
        <v>39</v>
      </c>
      <c r="C804" t="s">
        <v>81</v>
      </c>
      <c r="D804" s="2">
        <v>41.8107398</v>
      </c>
      <c r="E804" s="2">
        <v>70</v>
      </c>
    </row>
    <row r="805" spans="1:5" x14ac:dyDescent="0.2">
      <c r="A805" t="s">
        <v>93</v>
      </c>
      <c r="B805" t="s">
        <v>39</v>
      </c>
      <c r="C805" t="s">
        <v>81</v>
      </c>
      <c r="D805" s="2">
        <v>35.903728800000003</v>
      </c>
      <c r="E805" s="2">
        <v>48</v>
      </c>
    </row>
    <row r="806" spans="1:5" x14ac:dyDescent="0.2">
      <c r="A806" t="s">
        <v>95</v>
      </c>
      <c r="B806" t="s">
        <v>39</v>
      </c>
      <c r="C806" t="s">
        <v>81</v>
      </c>
      <c r="D806" s="2">
        <v>0</v>
      </c>
      <c r="E806" s="2">
        <v>0</v>
      </c>
    </row>
    <row r="807" spans="1:5" x14ac:dyDescent="0.2">
      <c r="A807" t="s">
        <v>95</v>
      </c>
      <c r="B807" t="s">
        <v>39</v>
      </c>
      <c r="C807" t="s">
        <v>81</v>
      </c>
      <c r="D807" s="2">
        <v>0</v>
      </c>
      <c r="E807" s="2">
        <v>0</v>
      </c>
    </row>
    <row r="808" spans="1:5" x14ac:dyDescent="0.2">
      <c r="A808" t="s">
        <v>95</v>
      </c>
      <c r="B808" t="s">
        <v>39</v>
      </c>
      <c r="C808" t="s">
        <v>81</v>
      </c>
      <c r="D808" s="2">
        <v>0</v>
      </c>
      <c r="E808" s="2">
        <v>0</v>
      </c>
    </row>
    <row r="809" spans="1:5" x14ac:dyDescent="0.2">
      <c r="A809" t="s">
        <v>95</v>
      </c>
      <c r="B809" t="s">
        <v>39</v>
      </c>
      <c r="C809" t="s">
        <v>81</v>
      </c>
      <c r="D809" s="2">
        <v>0</v>
      </c>
      <c r="E809" s="2">
        <v>0</v>
      </c>
    </row>
    <row r="810" spans="1:5" x14ac:dyDescent="0.2">
      <c r="A810" t="s">
        <v>95</v>
      </c>
      <c r="B810" t="s">
        <v>39</v>
      </c>
      <c r="C810" t="s">
        <v>81</v>
      </c>
      <c r="D810" s="2">
        <v>0</v>
      </c>
      <c r="E810" s="2">
        <v>0</v>
      </c>
    </row>
    <row r="811" spans="1:5" x14ac:dyDescent="0.2">
      <c r="A811" t="s">
        <v>95</v>
      </c>
      <c r="B811" t="s">
        <v>39</v>
      </c>
      <c r="C811" t="s">
        <v>81</v>
      </c>
      <c r="D811" s="2">
        <v>0</v>
      </c>
      <c r="E811" s="2">
        <v>0</v>
      </c>
    </row>
    <row r="812" spans="1:5" x14ac:dyDescent="0.2">
      <c r="A812" t="s">
        <v>95</v>
      </c>
      <c r="B812" t="s">
        <v>39</v>
      </c>
      <c r="C812" t="s">
        <v>81</v>
      </c>
      <c r="D812" s="2">
        <v>256.79564879999998</v>
      </c>
      <c r="E812" s="2">
        <v>274</v>
      </c>
    </row>
    <row r="813" spans="1:5" x14ac:dyDescent="0.2">
      <c r="A813" t="s">
        <v>95</v>
      </c>
      <c r="B813" t="s">
        <v>39</v>
      </c>
      <c r="C813" t="s">
        <v>81</v>
      </c>
      <c r="D813" s="2">
        <v>304.30331660000002</v>
      </c>
      <c r="E813" s="2">
        <v>370</v>
      </c>
    </row>
    <row r="814" spans="1:5" x14ac:dyDescent="0.2">
      <c r="A814" t="s">
        <v>95</v>
      </c>
      <c r="B814" t="s">
        <v>39</v>
      </c>
      <c r="C814" t="s">
        <v>81</v>
      </c>
      <c r="D814" s="2">
        <v>0</v>
      </c>
      <c r="E814" s="2">
        <v>0</v>
      </c>
    </row>
    <row r="815" spans="1:5" x14ac:dyDescent="0.2">
      <c r="A815" t="s">
        <v>95</v>
      </c>
      <c r="B815" t="s">
        <v>39</v>
      </c>
      <c r="C815" t="s">
        <v>81</v>
      </c>
      <c r="D815" s="2">
        <v>515.78753840000002</v>
      </c>
      <c r="E815" s="2">
        <v>420</v>
      </c>
    </row>
    <row r="816" spans="1:5" x14ac:dyDescent="0.2">
      <c r="A816" t="s">
        <v>95</v>
      </c>
      <c r="B816" t="s">
        <v>39</v>
      </c>
      <c r="C816" t="s">
        <v>81</v>
      </c>
      <c r="D816" s="2">
        <v>0</v>
      </c>
      <c r="E816" s="2">
        <v>0</v>
      </c>
    </row>
    <row r="817" spans="1:5" x14ac:dyDescent="0.2">
      <c r="A817" t="s">
        <v>95</v>
      </c>
      <c r="B817" t="s">
        <v>39</v>
      </c>
      <c r="C817" t="s">
        <v>81</v>
      </c>
      <c r="D817" s="2">
        <v>0</v>
      </c>
      <c r="E817" s="2">
        <v>0</v>
      </c>
    </row>
    <row r="818" spans="1:5" x14ac:dyDescent="0.2">
      <c r="A818" t="s">
        <v>95</v>
      </c>
      <c r="B818" t="s">
        <v>39</v>
      </c>
      <c r="C818" t="s">
        <v>81</v>
      </c>
      <c r="D818" s="2">
        <v>316.2946804</v>
      </c>
      <c r="E818" s="2">
        <v>376</v>
      </c>
    </row>
    <row r="819" spans="1:5" x14ac:dyDescent="0.2">
      <c r="A819" t="s">
        <v>95</v>
      </c>
      <c r="B819" t="s">
        <v>39</v>
      </c>
      <c r="C819" t="s">
        <v>81</v>
      </c>
      <c r="D819" s="2">
        <v>0</v>
      </c>
      <c r="E819" s="2">
        <v>0</v>
      </c>
    </row>
    <row r="820" spans="1:5" x14ac:dyDescent="0.2">
      <c r="A820" t="s">
        <v>94</v>
      </c>
      <c r="B820" t="s">
        <v>39</v>
      </c>
      <c r="C820" t="s">
        <v>81</v>
      </c>
      <c r="D820" s="2">
        <v>0</v>
      </c>
      <c r="E820" s="2">
        <v>0</v>
      </c>
    </row>
    <row r="821" spans="1:5" x14ac:dyDescent="0.2">
      <c r="A821" t="s">
        <v>94</v>
      </c>
      <c r="B821" t="s">
        <v>39</v>
      </c>
      <c r="C821" t="s">
        <v>81</v>
      </c>
      <c r="D821" s="2">
        <v>0</v>
      </c>
      <c r="E821" s="2">
        <v>0</v>
      </c>
    </row>
    <row r="822" spans="1:5" x14ac:dyDescent="0.2">
      <c r="A822" t="s">
        <v>94</v>
      </c>
      <c r="B822" t="s">
        <v>39</v>
      </c>
      <c r="C822" t="s">
        <v>81</v>
      </c>
      <c r="D822" s="2">
        <v>0</v>
      </c>
      <c r="E822" s="2">
        <v>0</v>
      </c>
    </row>
    <row r="823" spans="1:5" x14ac:dyDescent="0.2">
      <c r="A823" t="s">
        <v>94</v>
      </c>
      <c r="B823" t="s">
        <v>39</v>
      </c>
      <c r="C823" t="s">
        <v>81</v>
      </c>
      <c r="D823" s="2">
        <v>82.842568799999995</v>
      </c>
      <c r="E823" s="2">
        <v>86</v>
      </c>
    </row>
    <row r="824" spans="1:5" x14ac:dyDescent="0.2">
      <c r="A824" t="s">
        <v>94</v>
      </c>
      <c r="B824" t="s">
        <v>39</v>
      </c>
      <c r="C824" t="s">
        <v>81</v>
      </c>
      <c r="D824" s="2">
        <v>0</v>
      </c>
      <c r="E824" s="2">
        <v>0</v>
      </c>
    </row>
    <row r="825" spans="1:5" x14ac:dyDescent="0.2">
      <c r="A825" t="s">
        <v>94</v>
      </c>
      <c r="B825" t="s">
        <v>39</v>
      </c>
      <c r="C825" t="s">
        <v>81</v>
      </c>
      <c r="D825" s="2">
        <v>79.7361468</v>
      </c>
      <c r="E825" s="2">
        <v>18</v>
      </c>
    </row>
    <row r="826" spans="1:5" x14ac:dyDescent="0.2">
      <c r="A826" t="s">
        <v>94</v>
      </c>
      <c r="B826" t="s">
        <v>39</v>
      </c>
      <c r="C826" t="s">
        <v>81</v>
      </c>
      <c r="D826" s="2">
        <v>0</v>
      </c>
      <c r="E826" s="2">
        <v>0</v>
      </c>
    </row>
    <row r="827" spans="1:5" x14ac:dyDescent="0.2">
      <c r="A827" t="s">
        <v>96</v>
      </c>
      <c r="B827" t="s">
        <v>39</v>
      </c>
      <c r="C827" t="s">
        <v>81</v>
      </c>
      <c r="D827" s="2">
        <v>185.17080960000001</v>
      </c>
      <c r="E827" s="2">
        <v>240</v>
      </c>
    </row>
    <row r="828" spans="1:5" x14ac:dyDescent="0.2">
      <c r="A828" t="s">
        <v>96</v>
      </c>
      <c r="B828" t="s">
        <v>39</v>
      </c>
      <c r="C828" t="s">
        <v>81</v>
      </c>
      <c r="D828" s="2">
        <v>137.96540279999999</v>
      </c>
      <c r="E828" s="2">
        <v>74</v>
      </c>
    </row>
    <row r="829" spans="1:5" x14ac:dyDescent="0.2">
      <c r="A829" t="s">
        <v>96</v>
      </c>
      <c r="B829" t="s">
        <v>39</v>
      </c>
      <c r="C829" t="s">
        <v>81</v>
      </c>
      <c r="D829" s="2">
        <v>0</v>
      </c>
      <c r="E829" s="2">
        <v>2</v>
      </c>
    </row>
    <row r="830" spans="1:5" x14ac:dyDescent="0.2">
      <c r="A830" t="s">
        <v>96</v>
      </c>
      <c r="B830" t="s">
        <v>39</v>
      </c>
      <c r="C830" t="s">
        <v>81</v>
      </c>
      <c r="D830" s="2">
        <v>81.301159799999994</v>
      </c>
      <c r="E830" s="2">
        <v>42</v>
      </c>
    </row>
    <row r="831" spans="1:5" x14ac:dyDescent="0.2">
      <c r="A831" t="s">
        <v>96</v>
      </c>
      <c r="B831" t="s">
        <v>39</v>
      </c>
      <c r="C831" t="s">
        <v>81</v>
      </c>
      <c r="D831" s="2">
        <v>0</v>
      </c>
      <c r="E831" s="2">
        <v>0</v>
      </c>
    </row>
    <row r="832" spans="1:5" x14ac:dyDescent="0.2">
      <c r="A832" t="s">
        <v>96</v>
      </c>
      <c r="B832" t="s">
        <v>39</v>
      </c>
      <c r="C832" t="s">
        <v>81</v>
      </c>
      <c r="D832" s="2">
        <v>0</v>
      </c>
      <c r="E832" s="2">
        <v>0</v>
      </c>
    </row>
    <row r="833" spans="1:5" x14ac:dyDescent="0.2">
      <c r="A833" t="s">
        <v>96</v>
      </c>
      <c r="B833" t="s">
        <v>39</v>
      </c>
      <c r="C833" t="s">
        <v>81</v>
      </c>
      <c r="D833" s="2">
        <v>0</v>
      </c>
      <c r="E833" s="2">
        <v>0</v>
      </c>
    </row>
    <row r="834" spans="1:5" x14ac:dyDescent="0.2">
      <c r="A834" t="s">
        <v>93</v>
      </c>
      <c r="B834" t="s">
        <v>73</v>
      </c>
      <c r="C834" t="s">
        <v>81</v>
      </c>
      <c r="D834" s="2">
        <v>0</v>
      </c>
      <c r="E834" s="2">
        <v>0</v>
      </c>
    </row>
    <row r="835" spans="1:5" x14ac:dyDescent="0.2">
      <c r="A835" t="s">
        <v>93</v>
      </c>
      <c r="B835" t="s">
        <v>73</v>
      </c>
      <c r="C835" t="s">
        <v>81</v>
      </c>
      <c r="D835" s="2">
        <v>0</v>
      </c>
      <c r="E835" s="2">
        <v>0</v>
      </c>
    </row>
    <row r="836" spans="1:5" x14ac:dyDescent="0.2">
      <c r="A836" t="s">
        <v>93</v>
      </c>
      <c r="B836" t="s">
        <v>73</v>
      </c>
      <c r="C836" t="s">
        <v>81</v>
      </c>
      <c r="D836" s="2">
        <v>60.720304400000003</v>
      </c>
      <c r="E836" s="2">
        <v>46</v>
      </c>
    </row>
    <row r="837" spans="1:5" x14ac:dyDescent="0.2">
      <c r="A837" t="s">
        <v>93</v>
      </c>
      <c r="B837" t="s">
        <v>73</v>
      </c>
      <c r="C837" t="s">
        <v>81</v>
      </c>
      <c r="D837" s="2">
        <v>33.453719800000002</v>
      </c>
      <c r="E837" s="2">
        <v>6</v>
      </c>
    </row>
    <row r="838" spans="1:5" x14ac:dyDescent="0.2">
      <c r="A838" t="s">
        <v>95</v>
      </c>
      <c r="B838" t="s">
        <v>73</v>
      </c>
      <c r="C838" t="s">
        <v>81</v>
      </c>
      <c r="D838" s="2">
        <v>0</v>
      </c>
      <c r="E838" s="2">
        <v>0</v>
      </c>
    </row>
    <row r="839" spans="1:5" x14ac:dyDescent="0.2">
      <c r="A839" t="s">
        <v>95</v>
      </c>
      <c r="B839" t="s">
        <v>73</v>
      </c>
      <c r="C839" t="s">
        <v>81</v>
      </c>
      <c r="D839" s="2">
        <v>0</v>
      </c>
      <c r="E839" s="2">
        <v>0</v>
      </c>
    </row>
    <row r="840" spans="1:5" x14ac:dyDescent="0.2">
      <c r="A840" t="s">
        <v>95</v>
      </c>
      <c r="B840" t="s">
        <v>73</v>
      </c>
      <c r="C840" t="s">
        <v>81</v>
      </c>
      <c r="D840" s="2">
        <v>0</v>
      </c>
      <c r="E840" s="2">
        <v>0</v>
      </c>
    </row>
    <row r="841" spans="1:5" x14ac:dyDescent="0.2">
      <c r="A841" t="s">
        <v>95</v>
      </c>
      <c r="B841" t="s">
        <v>73</v>
      </c>
      <c r="C841" t="s">
        <v>81</v>
      </c>
      <c r="D841" s="2">
        <v>0</v>
      </c>
      <c r="E841" s="2">
        <v>0</v>
      </c>
    </row>
    <row r="842" spans="1:5" x14ac:dyDescent="0.2">
      <c r="A842" t="s">
        <v>95</v>
      </c>
      <c r="B842" t="s">
        <v>73</v>
      </c>
      <c r="C842" t="s">
        <v>81</v>
      </c>
      <c r="D842" s="2">
        <v>0</v>
      </c>
      <c r="E842" s="2">
        <v>0</v>
      </c>
    </row>
    <row r="843" spans="1:5" x14ac:dyDescent="0.2">
      <c r="A843" t="s">
        <v>95</v>
      </c>
      <c r="B843" t="s">
        <v>73</v>
      </c>
      <c r="C843" t="s">
        <v>81</v>
      </c>
      <c r="D843" s="2">
        <v>0</v>
      </c>
      <c r="E843" s="2">
        <v>0</v>
      </c>
    </row>
    <row r="844" spans="1:5" x14ac:dyDescent="0.2">
      <c r="A844" t="s">
        <v>95</v>
      </c>
      <c r="B844" t="s">
        <v>73</v>
      </c>
      <c r="C844" t="s">
        <v>81</v>
      </c>
      <c r="D844" s="2">
        <v>260.40694660000003</v>
      </c>
      <c r="E844" s="2">
        <v>364</v>
      </c>
    </row>
    <row r="845" spans="1:5" x14ac:dyDescent="0.2">
      <c r="A845" t="s">
        <v>95</v>
      </c>
      <c r="B845" t="s">
        <v>73</v>
      </c>
      <c r="C845" t="s">
        <v>81</v>
      </c>
      <c r="D845" s="2">
        <v>348.17345340000003</v>
      </c>
      <c r="E845" s="2">
        <v>288</v>
      </c>
    </row>
    <row r="846" spans="1:5" x14ac:dyDescent="0.2">
      <c r="A846" t="s">
        <v>95</v>
      </c>
      <c r="B846" t="s">
        <v>73</v>
      </c>
      <c r="C846" t="s">
        <v>81</v>
      </c>
      <c r="D846" s="2">
        <v>0</v>
      </c>
      <c r="E846" s="2">
        <v>0</v>
      </c>
    </row>
    <row r="847" spans="1:5" x14ac:dyDescent="0.2">
      <c r="A847" t="s">
        <v>95</v>
      </c>
      <c r="B847" t="s">
        <v>73</v>
      </c>
      <c r="C847" t="s">
        <v>81</v>
      </c>
      <c r="D847" s="2">
        <v>783.00494019999996</v>
      </c>
      <c r="E847" s="2">
        <v>410</v>
      </c>
    </row>
    <row r="848" spans="1:5" x14ac:dyDescent="0.2">
      <c r="A848" t="s">
        <v>95</v>
      </c>
      <c r="B848" t="s">
        <v>73</v>
      </c>
      <c r="C848" t="s">
        <v>81</v>
      </c>
      <c r="D848" s="2">
        <v>0</v>
      </c>
      <c r="E848" s="2">
        <v>0</v>
      </c>
    </row>
    <row r="849" spans="1:5" x14ac:dyDescent="0.2">
      <c r="A849" t="s">
        <v>95</v>
      </c>
      <c r="B849" t="s">
        <v>73</v>
      </c>
      <c r="C849" t="s">
        <v>81</v>
      </c>
      <c r="D849" s="2">
        <v>0</v>
      </c>
      <c r="E849" s="2">
        <v>0</v>
      </c>
    </row>
    <row r="850" spans="1:5" x14ac:dyDescent="0.2">
      <c r="A850" t="s">
        <v>95</v>
      </c>
      <c r="B850" t="s">
        <v>73</v>
      </c>
      <c r="C850" t="s">
        <v>81</v>
      </c>
      <c r="D850" s="2">
        <v>353.61559779999999</v>
      </c>
      <c r="E850" s="2">
        <v>448</v>
      </c>
    </row>
    <row r="851" spans="1:5" x14ac:dyDescent="0.2">
      <c r="A851" t="s">
        <v>95</v>
      </c>
      <c r="B851" t="s">
        <v>73</v>
      </c>
      <c r="C851" t="s">
        <v>81</v>
      </c>
      <c r="D851" s="2">
        <v>0</v>
      </c>
      <c r="E851" s="2">
        <v>0</v>
      </c>
    </row>
    <row r="852" spans="1:5" x14ac:dyDescent="0.2">
      <c r="A852" t="s">
        <v>94</v>
      </c>
      <c r="B852" t="s">
        <v>73</v>
      </c>
      <c r="C852" t="s">
        <v>81</v>
      </c>
      <c r="D852" s="2">
        <v>0</v>
      </c>
      <c r="E852" s="2">
        <v>0</v>
      </c>
    </row>
    <row r="853" spans="1:5" x14ac:dyDescent="0.2">
      <c r="A853" t="s">
        <v>94</v>
      </c>
      <c r="B853" t="s">
        <v>73</v>
      </c>
      <c r="C853" t="s">
        <v>81</v>
      </c>
      <c r="D853" s="2">
        <v>0</v>
      </c>
      <c r="E853" s="2">
        <v>0</v>
      </c>
    </row>
    <row r="854" spans="1:5" x14ac:dyDescent="0.2">
      <c r="A854" t="s">
        <v>94</v>
      </c>
      <c r="B854" t="s">
        <v>73</v>
      </c>
      <c r="C854" t="s">
        <v>81</v>
      </c>
      <c r="D854" s="2">
        <v>0</v>
      </c>
      <c r="E854" s="2">
        <v>0</v>
      </c>
    </row>
    <row r="855" spans="1:5" x14ac:dyDescent="0.2">
      <c r="A855" t="s">
        <v>94</v>
      </c>
      <c r="B855" t="s">
        <v>73</v>
      </c>
      <c r="C855" t="s">
        <v>81</v>
      </c>
      <c r="D855" s="2">
        <v>323.35387120000001</v>
      </c>
      <c r="E855" s="2">
        <v>270</v>
      </c>
    </row>
    <row r="856" spans="1:5" x14ac:dyDescent="0.2">
      <c r="A856" t="s">
        <v>94</v>
      </c>
      <c r="B856" t="s">
        <v>73</v>
      </c>
      <c r="C856" t="s">
        <v>81</v>
      </c>
      <c r="D856" s="2">
        <v>0</v>
      </c>
      <c r="E856" s="2">
        <v>0</v>
      </c>
    </row>
    <row r="857" spans="1:5" x14ac:dyDescent="0.2">
      <c r="A857" t="s">
        <v>94</v>
      </c>
      <c r="B857" t="s">
        <v>73</v>
      </c>
      <c r="C857" t="s">
        <v>81</v>
      </c>
      <c r="D857" s="2">
        <v>148.59722439999999</v>
      </c>
      <c r="E857" s="2">
        <v>76</v>
      </c>
    </row>
    <row r="858" spans="1:5" x14ac:dyDescent="0.2">
      <c r="A858" t="s">
        <v>94</v>
      </c>
      <c r="B858" t="s">
        <v>73</v>
      </c>
      <c r="C858" t="s">
        <v>81</v>
      </c>
      <c r="D858" s="2">
        <v>143.643495</v>
      </c>
      <c r="E858" s="2">
        <v>38</v>
      </c>
    </row>
    <row r="859" spans="1:5" x14ac:dyDescent="0.2">
      <c r="A859" t="s">
        <v>96</v>
      </c>
      <c r="B859" t="s">
        <v>73</v>
      </c>
      <c r="C859" t="s">
        <v>81</v>
      </c>
      <c r="D859" s="2">
        <v>234.5628724</v>
      </c>
      <c r="E859" s="2">
        <v>254</v>
      </c>
    </row>
    <row r="860" spans="1:5" x14ac:dyDescent="0.2">
      <c r="A860" t="s">
        <v>96</v>
      </c>
      <c r="B860" t="s">
        <v>73</v>
      </c>
      <c r="C860" t="s">
        <v>81</v>
      </c>
      <c r="D860" s="2">
        <v>110.37385260000001</v>
      </c>
      <c r="E860" s="2">
        <v>80</v>
      </c>
    </row>
    <row r="861" spans="1:5" x14ac:dyDescent="0.2">
      <c r="A861" t="s">
        <v>96</v>
      </c>
      <c r="B861" t="s">
        <v>73</v>
      </c>
      <c r="C861" t="s">
        <v>81</v>
      </c>
      <c r="D861" s="2">
        <v>94.600542599999997</v>
      </c>
      <c r="E861" s="2">
        <v>0</v>
      </c>
    </row>
    <row r="862" spans="1:5" x14ac:dyDescent="0.2">
      <c r="A862" t="s">
        <v>96</v>
      </c>
      <c r="B862" t="s">
        <v>73</v>
      </c>
      <c r="C862" t="s">
        <v>81</v>
      </c>
      <c r="D862" s="2">
        <v>94.606187000000006</v>
      </c>
      <c r="E862" s="2">
        <v>32</v>
      </c>
    </row>
    <row r="863" spans="1:5" x14ac:dyDescent="0.2">
      <c r="A863" t="s">
        <v>96</v>
      </c>
      <c r="B863" t="s">
        <v>73</v>
      </c>
      <c r="C863" t="s">
        <v>81</v>
      </c>
      <c r="D863" s="2">
        <v>0</v>
      </c>
      <c r="E863" s="2">
        <v>0</v>
      </c>
    </row>
    <row r="864" spans="1:5" x14ac:dyDescent="0.2">
      <c r="A864" t="s">
        <v>96</v>
      </c>
      <c r="B864" t="s">
        <v>73</v>
      </c>
      <c r="C864" t="s">
        <v>81</v>
      </c>
      <c r="D864" s="2">
        <v>0</v>
      </c>
      <c r="E864" s="2">
        <v>0</v>
      </c>
    </row>
    <row r="865" spans="1:5" x14ac:dyDescent="0.2">
      <c r="A865" t="s">
        <v>96</v>
      </c>
      <c r="B865" t="s">
        <v>73</v>
      </c>
      <c r="C865" t="s">
        <v>81</v>
      </c>
      <c r="D865" s="2">
        <v>0</v>
      </c>
      <c r="E865" s="2">
        <v>0</v>
      </c>
    </row>
    <row r="866" spans="1:5" x14ac:dyDescent="0.2">
      <c r="A866" t="s">
        <v>93</v>
      </c>
      <c r="B866" t="s">
        <v>67</v>
      </c>
      <c r="C866" t="s">
        <v>81</v>
      </c>
      <c r="D866" s="2">
        <v>0</v>
      </c>
      <c r="E866" s="2">
        <v>0</v>
      </c>
    </row>
    <row r="867" spans="1:5" x14ac:dyDescent="0.2">
      <c r="A867" t="s">
        <v>93</v>
      </c>
      <c r="B867" t="s">
        <v>67</v>
      </c>
      <c r="C867" t="s">
        <v>81</v>
      </c>
      <c r="D867" s="2">
        <v>0</v>
      </c>
      <c r="E867" s="2">
        <v>0</v>
      </c>
    </row>
    <row r="868" spans="1:5" x14ac:dyDescent="0.2">
      <c r="A868" t="s">
        <v>93</v>
      </c>
      <c r="B868" t="s">
        <v>67</v>
      </c>
      <c r="C868" t="s">
        <v>81</v>
      </c>
      <c r="D868" s="2">
        <v>0</v>
      </c>
      <c r="E868" s="2">
        <v>80</v>
      </c>
    </row>
    <row r="869" spans="1:5" x14ac:dyDescent="0.2">
      <c r="A869" t="s">
        <v>93</v>
      </c>
      <c r="B869" t="s">
        <v>67</v>
      </c>
      <c r="C869" t="s">
        <v>81</v>
      </c>
      <c r="D869" s="2">
        <v>0</v>
      </c>
      <c r="E869" s="2">
        <v>14</v>
      </c>
    </row>
    <row r="870" spans="1:5" x14ac:dyDescent="0.2">
      <c r="A870" t="s">
        <v>95</v>
      </c>
      <c r="B870" t="s">
        <v>67</v>
      </c>
      <c r="C870" t="s">
        <v>81</v>
      </c>
      <c r="D870" s="2">
        <v>0</v>
      </c>
      <c r="E870" s="2">
        <v>0</v>
      </c>
    </row>
    <row r="871" spans="1:5" x14ac:dyDescent="0.2">
      <c r="A871" t="s">
        <v>95</v>
      </c>
      <c r="B871" t="s">
        <v>67</v>
      </c>
      <c r="C871" t="s">
        <v>81</v>
      </c>
      <c r="D871" s="2">
        <v>0</v>
      </c>
      <c r="E871" s="2">
        <v>0</v>
      </c>
    </row>
    <row r="872" spans="1:5" x14ac:dyDescent="0.2">
      <c r="A872" t="s">
        <v>95</v>
      </c>
      <c r="B872" t="s">
        <v>67</v>
      </c>
      <c r="C872" t="s">
        <v>81</v>
      </c>
      <c r="D872" s="2">
        <v>0</v>
      </c>
      <c r="E872" s="2">
        <v>0</v>
      </c>
    </row>
    <row r="873" spans="1:5" x14ac:dyDescent="0.2">
      <c r="A873" t="s">
        <v>95</v>
      </c>
      <c r="B873" t="s">
        <v>67</v>
      </c>
      <c r="C873" t="s">
        <v>81</v>
      </c>
      <c r="D873" s="2">
        <v>0</v>
      </c>
      <c r="E873" s="2">
        <v>0</v>
      </c>
    </row>
    <row r="874" spans="1:5" x14ac:dyDescent="0.2">
      <c r="A874" t="s">
        <v>95</v>
      </c>
      <c r="B874" t="s">
        <v>67</v>
      </c>
      <c r="C874" t="s">
        <v>81</v>
      </c>
      <c r="D874" s="2">
        <v>0</v>
      </c>
      <c r="E874" s="2">
        <v>0</v>
      </c>
    </row>
    <row r="875" spans="1:5" x14ac:dyDescent="0.2">
      <c r="A875" t="s">
        <v>95</v>
      </c>
      <c r="B875" t="s">
        <v>67</v>
      </c>
      <c r="C875" t="s">
        <v>81</v>
      </c>
      <c r="D875" s="2">
        <v>0</v>
      </c>
      <c r="E875" s="2">
        <v>0</v>
      </c>
    </row>
    <row r="876" spans="1:5" x14ac:dyDescent="0.2">
      <c r="A876" t="s">
        <v>95</v>
      </c>
      <c r="B876" t="s">
        <v>67</v>
      </c>
      <c r="C876" t="s">
        <v>81</v>
      </c>
      <c r="D876" s="2">
        <v>0</v>
      </c>
      <c r="E876" s="2">
        <v>238</v>
      </c>
    </row>
    <row r="877" spans="1:5" x14ac:dyDescent="0.2">
      <c r="A877" t="s">
        <v>95</v>
      </c>
      <c r="B877" t="s">
        <v>67</v>
      </c>
      <c r="C877" t="s">
        <v>81</v>
      </c>
      <c r="D877" s="2">
        <v>0</v>
      </c>
      <c r="E877" s="2">
        <v>342</v>
      </c>
    </row>
    <row r="878" spans="1:5" x14ac:dyDescent="0.2">
      <c r="A878" t="s">
        <v>95</v>
      </c>
      <c r="B878" t="s">
        <v>67</v>
      </c>
      <c r="C878" t="s">
        <v>81</v>
      </c>
      <c r="D878" s="2">
        <v>0</v>
      </c>
      <c r="E878" s="2">
        <v>0</v>
      </c>
    </row>
    <row r="879" spans="1:5" x14ac:dyDescent="0.2">
      <c r="A879" t="s">
        <v>95</v>
      </c>
      <c r="B879" t="s">
        <v>67</v>
      </c>
      <c r="C879" t="s">
        <v>81</v>
      </c>
      <c r="D879" s="2">
        <v>0</v>
      </c>
      <c r="E879" s="2">
        <v>372</v>
      </c>
    </row>
    <row r="880" spans="1:5" x14ac:dyDescent="0.2">
      <c r="A880" t="s">
        <v>95</v>
      </c>
      <c r="B880" t="s">
        <v>67</v>
      </c>
      <c r="C880" t="s">
        <v>81</v>
      </c>
      <c r="D880" s="2">
        <v>0</v>
      </c>
      <c r="E880" s="2">
        <v>0</v>
      </c>
    </row>
    <row r="881" spans="1:5" x14ac:dyDescent="0.2">
      <c r="A881" t="s">
        <v>95</v>
      </c>
      <c r="B881" t="s">
        <v>67</v>
      </c>
      <c r="C881" t="s">
        <v>81</v>
      </c>
      <c r="D881" s="2">
        <v>0</v>
      </c>
      <c r="E881" s="2">
        <v>0</v>
      </c>
    </row>
    <row r="882" spans="1:5" x14ac:dyDescent="0.2">
      <c r="A882" t="s">
        <v>95</v>
      </c>
      <c r="B882" t="s">
        <v>67</v>
      </c>
      <c r="C882" t="s">
        <v>81</v>
      </c>
      <c r="D882" s="2">
        <v>0</v>
      </c>
      <c r="E882" s="2">
        <v>414</v>
      </c>
    </row>
    <row r="883" spans="1:5" x14ac:dyDescent="0.2">
      <c r="A883" t="s">
        <v>95</v>
      </c>
      <c r="B883" t="s">
        <v>67</v>
      </c>
      <c r="C883" t="s">
        <v>81</v>
      </c>
      <c r="D883" s="2">
        <v>0</v>
      </c>
      <c r="E883" s="2">
        <v>0</v>
      </c>
    </row>
    <row r="884" spans="1:5" x14ac:dyDescent="0.2">
      <c r="A884" t="s">
        <v>94</v>
      </c>
      <c r="B884" t="s">
        <v>67</v>
      </c>
      <c r="C884" t="s">
        <v>81</v>
      </c>
      <c r="D884" s="2">
        <v>0</v>
      </c>
      <c r="E884" s="2">
        <v>0</v>
      </c>
    </row>
    <row r="885" spans="1:5" x14ac:dyDescent="0.2">
      <c r="A885" t="s">
        <v>94</v>
      </c>
      <c r="B885" t="s">
        <v>67</v>
      </c>
      <c r="C885" t="s">
        <v>81</v>
      </c>
      <c r="D885" s="2">
        <v>0</v>
      </c>
      <c r="E885" s="2">
        <v>0</v>
      </c>
    </row>
    <row r="886" spans="1:5" x14ac:dyDescent="0.2">
      <c r="A886" t="s">
        <v>94</v>
      </c>
      <c r="B886" t="s">
        <v>67</v>
      </c>
      <c r="C886" t="s">
        <v>81</v>
      </c>
      <c r="D886" s="2">
        <v>0</v>
      </c>
      <c r="E886" s="2">
        <v>0</v>
      </c>
    </row>
    <row r="887" spans="1:5" x14ac:dyDescent="0.2">
      <c r="A887" t="s">
        <v>94</v>
      </c>
      <c r="B887" t="s">
        <v>67</v>
      </c>
      <c r="C887" t="s">
        <v>81</v>
      </c>
      <c r="D887" s="2">
        <v>0</v>
      </c>
      <c r="E887" s="2">
        <v>86</v>
      </c>
    </row>
    <row r="888" spans="1:5" x14ac:dyDescent="0.2">
      <c r="A888" t="s">
        <v>94</v>
      </c>
      <c r="B888" t="s">
        <v>67</v>
      </c>
      <c r="C888" t="s">
        <v>81</v>
      </c>
      <c r="D888" s="2">
        <v>0</v>
      </c>
      <c r="E888" s="2">
        <v>0</v>
      </c>
    </row>
    <row r="889" spans="1:5" x14ac:dyDescent="0.2">
      <c r="A889" t="s">
        <v>94</v>
      </c>
      <c r="B889" t="s">
        <v>67</v>
      </c>
      <c r="C889" t="s">
        <v>81</v>
      </c>
      <c r="D889" s="2">
        <v>0</v>
      </c>
      <c r="E889" s="2">
        <v>24</v>
      </c>
    </row>
    <row r="890" spans="1:5" x14ac:dyDescent="0.2">
      <c r="A890" t="s">
        <v>94</v>
      </c>
      <c r="B890" t="s">
        <v>67</v>
      </c>
      <c r="C890" t="s">
        <v>81</v>
      </c>
      <c r="D890" s="2">
        <v>0</v>
      </c>
      <c r="E890" s="2">
        <v>0</v>
      </c>
    </row>
    <row r="891" spans="1:5" x14ac:dyDescent="0.2">
      <c r="A891" t="s">
        <v>96</v>
      </c>
      <c r="B891" t="s">
        <v>67</v>
      </c>
      <c r="C891" t="s">
        <v>81</v>
      </c>
      <c r="D891" s="2">
        <v>0</v>
      </c>
      <c r="E891" s="2">
        <v>268</v>
      </c>
    </row>
    <row r="892" spans="1:5" x14ac:dyDescent="0.2">
      <c r="A892" t="s">
        <v>96</v>
      </c>
      <c r="B892" t="s">
        <v>67</v>
      </c>
      <c r="C892" t="s">
        <v>81</v>
      </c>
      <c r="D892" s="2">
        <v>0</v>
      </c>
      <c r="E892" s="2">
        <v>98</v>
      </c>
    </row>
    <row r="893" spans="1:5" x14ac:dyDescent="0.2">
      <c r="A893" t="s">
        <v>96</v>
      </c>
      <c r="B893" t="s">
        <v>67</v>
      </c>
      <c r="C893" t="s">
        <v>81</v>
      </c>
      <c r="D893" s="2">
        <v>0</v>
      </c>
      <c r="E893" s="2">
        <v>0</v>
      </c>
    </row>
    <row r="894" spans="1:5" x14ac:dyDescent="0.2">
      <c r="A894" t="s">
        <v>96</v>
      </c>
      <c r="B894" t="s">
        <v>67</v>
      </c>
      <c r="C894" t="s">
        <v>81</v>
      </c>
      <c r="D894" s="2">
        <v>0</v>
      </c>
      <c r="E894" s="2">
        <v>16</v>
      </c>
    </row>
    <row r="895" spans="1:5" x14ac:dyDescent="0.2">
      <c r="A895" t="s">
        <v>96</v>
      </c>
      <c r="B895" t="s">
        <v>67</v>
      </c>
      <c r="C895" t="s">
        <v>81</v>
      </c>
      <c r="D895" s="2">
        <v>0</v>
      </c>
      <c r="E895" s="2">
        <v>0</v>
      </c>
    </row>
    <row r="896" spans="1:5" x14ac:dyDescent="0.2">
      <c r="A896" t="s">
        <v>96</v>
      </c>
      <c r="B896" t="s">
        <v>67</v>
      </c>
      <c r="C896" t="s">
        <v>81</v>
      </c>
      <c r="D896" s="2">
        <v>0</v>
      </c>
      <c r="E896" s="2">
        <v>0</v>
      </c>
    </row>
    <row r="897" spans="1:5" x14ac:dyDescent="0.2">
      <c r="A897" t="s">
        <v>96</v>
      </c>
      <c r="B897" t="s">
        <v>67</v>
      </c>
      <c r="C897" t="s">
        <v>81</v>
      </c>
      <c r="D897" s="2">
        <v>0</v>
      </c>
      <c r="E897" s="2">
        <v>0</v>
      </c>
    </row>
    <row r="898" spans="1:5" x14ac:dyDescent="0.2">
      <c r="A898" t="s">
        <v>93</v>
      </c>
      <c r="B898" t="s">
        <v>45</v>
      </c>
      <c r="C898" t="s">
        <v>81</v>
      </c>
      <c r="D898" s="2">
        <v>0</v>
      </c>
      <c r="E898" s="2">
        <v>0</v>
      </c>
    </row>
    <row r="899" spans="1:5" x14ac:dyDescent="0.2">
      <c r="A899" t="s">
        <v>93</v>
      </c>
      <c r="B899" t="s">
        <v>45</v>
      </c>
      <c r="C899" t="s">
        <v>81</v>
      </c>
      <c r="D899" s="2">
        <v>0</v>
      </c>
      <c r="E899" s="2">
        <v>0</v>
      </c>
    </row>
    <row r="900" spans="1:5" x14ac:dyDescent="0.2">
      <c r="A900" t="s">
        <v>93</v>
      </c>
      <c r="B900" t="s">
        <v>45</v>
      </c>
      <c r="C900" t="s">
        <v>81</v>
      </c>
      <c r="D900" s="2">
        <v>57.531132599999999</v>
      </c>
      <c r="E900" s="2">
        <v>72</v>
      </c>
    </row>
    <row r="901" spans="1:5" x14ac:dyDescent="0.2">
      <c r="A901" t="s">
        <v>93</v>
      </c>
      <c r="B901" t="s">
        <v>45</v>
      </c>
      <c r="C901" t="s">
        <v>81</v>
      </c>
      <c r="D901" s="2">
        <v>32.659056200000002</v>
      </c>
      <c r="E901" s="2">
        <v>14</v>
      </c>
    </row>
    <row r="902" spans="1:5" x14ac:dyDescent="0.2">
      <c r="A902" t="s">
        <v>95</v>
      </c>
      <c r="B902" t="s">
        <v>45</v>
      </c>
      <c r="C902" t="s">
        <v>81</v>
      </c>
      <c r="D902" s="2">
        <v>0</v>
      </c>
      <c r="E902" s="2">
        <v>0</v>
      </c>
    </row>
    <row r="903" spans="1:5" x14ac:dyDescent="0.2">
      <c r="A903" t="s">
        <v>95</v>
      </c>
      <c r="B903" t="s">
        <v>45</v>
      </c>
      <c r="C903" t="s">
        <v>81</v>
      </c>
      <c r="D903" s="2">
        <v>0</v>
      </c>
      <c r="E903" s="2">
        <v>0</v>
      </c>
    </row>
    <row r="904" spans="1:5" x14ac:dyDescent="0.2">
      <c r="A904" t="s">
        <v>95</v>
      </c>
      <c r="B904" t="s">
        <v>45</v>
      </c>
      <c r="C904" t="s">
        <v>81</v>
      </c>
      <c r="D904" s="2">
        <v>0</v>
      </c>
      <c r="E904" s="2">
        <v>0</v>
      </c>
    </row>
    <row r="905" spans="1:5" x14ac:dyDescent="0.2">
      <c r="A905" t="s">
        <v>95</v>
      </c>
      <c r="B905" t="s">
        <v>45</v>
      </c>
      <c r="C905" t="s">
        <v>81</v>
      </c>
      <c r="D905" s="2">
        <v>0</v>
      </c>
      <c r="E905" s="2">
        <v>0</v>
      </c>
    </row>
    <row r="906" spans="1:5" x14ac:dyDescent="0.2">
      <c r="A906" t="s">
        <v>95</v>
      </c>
      <c r="B906" t="s">
        <v>45</v>
      </c>
      <c r="C906" t="s">
        <v>81</v>
      </c>
      <c r="D906" s="2">
        <v>0</v>
      </c>
      <c r="E906" s="2">
        <v>0</v>
      </c>
    </row>
    <row r="907" spans="1:5" x14ac:dyDescent="0.2">
      <c r="A907" t="s">
        <v>95</v>
      </c>
      <c r="B907" t="s">
        <v>45</v>
      </c>
      <c r="C907" t="s">
        <v>81</v>
      </c>
      <c r="D907" s="2">
        <v>0</v>
      </c>
      <c r="E907" s="2">
        <v>0</v>
      </c>
    </row>
    <row r="908" spans="1:5" x14ac:dyDescent="0.2">
      <c r="A908" t="s">
        <v>95</v>
      </c>
      <c r="B908" t="s">
        <v>45</v>
      </c>
      <c r="C908" t="s">
        <v>81</v>
      </c>
      <c r="D908" s="2">
        <v>247.35873219999999</v>
      </c>
      <c r="E908" s="2">
        <v>242</v>
      </c>
    </row>
    <row r="909" spans="1:5" x14ac:dyDescent="0.2">
      <c r="A909" t="s">
        <v>95</v>
      </c>
      <c r="B909" t="s">
        <v>45</v>
      </c>
      <c r="C909" t="s">
        <v>81</v>
      </c>
      <c r="D909" s="2">
        <v>279.00415120000002</v>
      </c>
      <c r="E909" s="2">
        <v>356</v>
      </c>
    </row>
    <row r="910" spans="1:5" x14ac:dyDescent="0.2">
      <c r="A910" t="s">
        <v>95</v>
      </c>
      <c r="B910" t="s">
        <v>45</v>
      </c>
      <c r="C910" t="s">
        <v>81</v>
      </c>
      <c r="D910" s="2">
        <v>0</v>
      </c>
      <c r="E910" s="2">
        <v>0</v>
      </c>
    </row>
    <row r="911" spans="1:5" x14ac:dyDescent="0.2">
      <c r="A911" t="s">
        <v>95</v>
      </c>
      <c r="B911" t="s">
        <v>45</v>
      </c>
      <c r="C911" t="s">
        <v>81</v>
      </c>
      <c r="D911" s="2">
        <v>583.75817700000005</v>
      </c>
      <c r="E911" s="2">
        <v>344</v>
      </c>
    </row>
    <row r="912" spans="1:5" x14ac:dyDescent="0.2">
      <c r="A912" t="s">
        <v>95</v>
      </c>
      <c r="B912" t="s">
        <v>45</v>
      </c>
      <c r="C912" t="s">
        <v>81</v>
      </c>
      <c r="D912" s="2">
        <v>0</v>
      </c>
      <c r="E912" s="2">
        <v>0</v>
      </c>
    </row>
    <row r="913" spans="1:5" x14ac:dyDescent="0.2">
      <c r="A913" t="s">
        <v>95</v>
      </c>
      <c r="B913" t="s">
        <v>45</v>
      </c>
      <c r="C913" t="s">
        <v>81</v>
      </c>
      <c r="D913" s="2">
        <v>0</v>
      </c>
      <c r="E913" s="2">
        <v>0</v>
      </c>
    </row>
    <row r="914" spans="1:5" x14ac:dyDescent="0.2">
      <c r="A914" t="s">
        <v>95</v>
      </c>
      <c r="B914" t="s">
        <v>45</v>
      </c>
      <c r="C914" t="s">
        <v>81</v>
      </c>
      <c r="D914" s="2">
        <v>335.1099878</v>
      </c>
      <c r="E914" s="2">
        <v>452</v>
      </c>
    </row>
    <row r="915" spans="1:5" x14ac:dyDescent="0.2">
      <c r="A915" t="s">
        <v>95</v>
      </c>
      <c r="B915" t="s">
        <v>45</v>
      </c>
      <c r="C915" t="s">
        <v>81</v>
      </c>
      <c r="D915" s="2">
        <v>0</v>
      </c>
      <c r="E915" s="2">
        <v>0</v>
      </c>
    </row>
    <row r="916" spans="1:5" x14ac:dyDescent="0.2">
      <c r="A916" t="s">
        <v>94</v>
      </c>
      <c r="B916" t="s">
        <v>45</v>
      </c>
      <c r="C916" t="s">
        <v>81</v>
      </c>
      <c r="D916" s="2">
        <v>0</v>
      </c>
      <c r="E916" s="2">
        <v>0</v>
      </c>
    </row>
    <row r="917" spans="1:5" x14ac:dyDescent="0.2">
      <c r="A917" t="s">
        <v>94</v>
      </c>
      <c r="B917" t="s">
        <v>45</v>
      </c>
      <c r="C917" t="s">
        <v>81</v>
      </c>
      <c r="D917" s="2">
        <v>0</v>
      </c>
      <c r="E917" s="2">
        <v>0</v>
      </c>
    </row>
    <row r="918" spans="1:5" x14ac:dyDescent="0.2">
      <c r="A918" t="s">
        <v>94</v>
      </c>
      <c r="B918" t="s">
        <v>45</v>
      </c>
      <c r="C918" t="s">
        <v>81</v>
      </c>
      <c r="D918" s="2">
        <v>0</v>
      </c>
      <c r="E918" s="2">
        <v>0</v>
      </c>
    </row>
    <row r="919" spans="1:5" x14ac:dyDescent="0.2">
      <c r="A919" t="s">
        <v>94</v>
      </c>
      <c r="B919" t="s">
        <v>45</v>
      </c>
      <c r="C919" t="s">
        <v>81</v>
      </c>
      <c r="D919" s="2">
        <v>120.2073432</v>
      </c>
      <c r="E919" s="2">
        <v>296</v>
      </c>
    </row>
    <row r="920" spans="1:5" x14ac:dyDescent="0.2">
      <c r="A920" t="s">
        <v>94</v>
      </c>
      <c r="B920" t="s">
        <v>45</v>
      </c>
      <c r="C920" t="s">
        <v>81</v>
      </c>
      <c r="D920" s="2">
        <v>0</v>
      </c>
      <c r="E920" s="2">
        <v>0</v>
      </c>
    </row>
    <row r="921" spans="1:5" x14ac:dyDescent="0.2">
      <c r="A921" t="s">
        <v>94</v>
      </c>
      <c r="B921" t="s">
        <v>45</v>
      </c>
      <c r="C921" t="s">
        <v>81</v>
      </c>
      <c r="D921" s="2">
        <v>109.688985</v>
      </c>
      <c r="E921" s="2">
        <v>58</v>
      </c>
    </row>
    <row r="922" spans="1:5" x14ac:dyDescent="0.2">
      <c r="A922" t="s">
        <v>94</v>
      </c>
      <c r="B922" t="s">
        <v>45</v>
      </c>
      <c r="C922" t="s">
        <v>81</v>
      </c>
      <c r="D922" s="2">
        <v>0</v>
      </c>
      <c r="E922" s="2">
        <v>24</v>
      </c>
    </row>
    <row r="923" spans="1:5" x14ac:dyDescent="0.2">
      <c r="A923" t="s">
        <v>96</v>
      </c>
      <c r="B923" t="s">
        <v>45</v>
      </c>
      <c r="C923" t="s">
        <v>81</v>
      </c>
      <c r="D923" s="2">
        <v>172.59288000000001</v>
      </c>
      <c r="E923" s="2">
        <v>352</v>
      </c>
    </row>
    <row r="924" spans="1:5" x14ac:dyDescent="0.2">
      <c r="A924" t="s">
        <v>96</v>
      </c>
      <c r="B924" t="s">
        <v>45</v>
      </c>
      <c r="C924" t="s">
        <v>81</v>
      </c>
      <c r="D924" s="2">
        <v>125.52627680000001</v>
      </c>
      <c r="E924" s="2">
        <v>104</v>
      </c>
    </row>
    <row r="925" spans="1:5" x14ac:dyDescent="0.2">
      <c r="A925" t="s">
        <v>96</v>
      </c>
      <c r="B925" t="s">
        <v>45</v>
      </c>
      <c r="C925" t="s">
        <v>81</v>
      </c>
      <c r="D925" s="2">
        <v>0</v>
      </c>
      <c r="E925" s="2">
        <v>0</v>
      </c>
    </row>
    <row r="926" spans="1:5" x14ac:dyDescent="0.2">
      <c r="A926" t="s">
        <v>96</v>
      </c>
      <c r="B926" t="s">
        <v>45</v>
      </c>
      <c r="C926" t="s">
        <v>81</v>
      </c>
      <c r="D926" s="2">
        <v>60.521918999999997</v>
      </c>
      <c r="E926" s="2">
        <v>92</v>
      </c>
    </row>
    <row r="927" spans="1:5" x14ac:dyDescent="0.2">
      <c r="A927" t="s">
        <v>96</v>
      </c>
      <c r="B927" t="s">
        <v>45</v>
      </c>
      <c r="C927" t="s">
        <v>81</v>
      </c>
      <c r="D927" s="2">
        <v>0</v>
      </c>
      <c r="E927" s="2">
        <v>0</v>
      </c>
    </row>
    <row r="928" spans="1:5" x14ac:dyDescent="0.2">
      <c r="A928" t="s">
        <v>96</v>
      </c>
      <c r="B928" t="s">
        <v>45</v>
      </c>
      <c r="C928" t="s">
        <v>81</v>
      </c>
      <c r="D928" s="2">
        <v>0</v>
      </c>
      <c r="E928" s="2">
        <v>0</v>
      </c>
    </row>
    <row r="929" spans="1:5" x14ac:dyDescent="0.2">
      <c r="A929" t="s">
        <v>96</v>
      </c>
      <c r="B929" t="s">
        <v>45</v>
      </c>
      <c r="C929" t="s">
        <v>81</v>
      </c>
      <c r="D929" s="2">
        <v>0</v>
      </c>
      <c r="E929" s="2">
        <v>0</v>
      </c>
    </row>
    <row r="930" spans="1:5" x14ac:dyDescent="0.2">
      <c r="A930" t="s">
        <v>93</v>
      </c>
      <c r="B930" t="s">
        <v>79</v>
      </c>
      <c r="C930" t="s">
        <v>81</v>
      </c>
      <c r="D930" s="2">
        <v>0</v>
      </c>
      <c r="E930" s="2">
        <v>0</v>
      </c>
    </row>
    <row r="931" spans="1:5" x14ac:dyDescent="0.2">
      <c r="A931" t="s">
        <v>93</v>
      </c>
      <c r="B931" t="s">
        <v>79</v>
      </c>
      <c r="C931" t="s">
        <v>81</v>
      </c>
      <c r="D931" s="2">
        <v>0</v>
      </c>
      <c r="E931" s="2">
        <v>0</v>
      </c>
    </row>
    <row r="932" spans="1:5" x14ac:dyDescent="0.2">
      <c r="A932" t="s">
        <v>93</v>
      </c>
      <c r="B932" t="s">
        <v>79</v>
      </c>
      <c r="C932" t="s">
        <v>81</v>
      </c>
      <c r="D932" s="2">
        <v>61.467930000000003</v>
      </c>
      <c r="E932" s="2">
        <v>0</v>
      </c>
    </row>
    <row r="933" spans="1:5" x14ac:dyDescent="0.2">
      <c r="A933" t="s">
        <v>93</v>
      </c>
      <c r="B933" t="s">
        <v>79</v>
      </c>
      <c r="C933" t="s">
        <v>81</v>
      </c>
      <c r="D933" s="2">
        <v>35.696196800000003</v>
      </c>
      <c r="E933" s="2">
        <v>0</v>
      </c>
    </row>
    <row r="934" spans="1:5" x14ac:dyDescent="0.2">
      <c r="A934" t="s">
        <v>95</v>
      </c>
      <c r="B934" t="s">
        <v>79</v>
      </c>
      <c r="C934" t="s">
        <v>81</v>
      </c>
      <c r="D934" s="2">
        <v>0</v>
      </c>
      <c r="E934" s="2">
        <v>0</v>
      </c>
    </row>
    <row r="935" spans="1:5" x14ac:dyDescent="0.2">
      <c r="A935" t="s">
        <v>95</v>
      </c>
      <c r="B935" t="s">
        <v>79</v>
      </c>
      <c r="C935" t="s">
        <v>81</v>
      </c>
      <c r="D935" s="2">
        <v>0</v>
      </c>
      <c r="E935" s="2">
        <v>0</v>
      </c>
    </row>
    <row r="936" spans="1:5" x14ac:dyDescent="0.2">
      <c r="A936" t="s">
        <v>95</v>
      </c>
      <c r="B936" t="s">
        <v>79</v>
      </c>
      <c r="C936" t="s">
        <v>81</v>
      </c>
      <c r="D936" s="2">
        <v>0</v>
      </c>
      <c r="E936" s="2">
        <v>0</v>
      </c>
    </row>
    <row r="937" spans="1:5" x14ac:dyDescent="0.2">
      <c r="A937" t="s">
        <v>95</v>
      </c>
      <c r="B937" t="s">
        <v>79</v>
      </c>
      <c r="C937" t="s">
        <v>81</v>
      </c>
      <c r="D937" s="2">
        <v>0</v>
      </c>
      <c r="E937" s="2">
        <v>0</v>
      </c>
    </row>
    <row r="938" spans="1:5" x14ac:dyDescent="0.2">
      <c r="A938" t="s">
        <v>95</v>
      </c>
      <c r="B938" t="s">
        <v>79</v>
      </c>
      <c r="C938" t="s">
        <v>81</v>
      </c>
      <c r="D938" s="2">
        <v>0</v>
      </c>
      <c r="E938" s="2">
        <v>0</v>
      </c>
    </row>
    <row r="939" spans="1:5" x14ac:dyDescent="0.2">
      <c r="A939" t="s">
        <v>95</v>
      </c>
      <c r="B939" t="s">
        <v>79</v>
      </c>
      <c r="C939" t="s">
        <v>81</v>
      </c>
      <c r="D939" s="2">
        <v>0</v>
      </c>
      <c r="E939" s="2">
        <v>0</v>
      </c>
    </row>
    <row r="940" spans="1:5" x14ac:dyDescent="0.2">
      <c r="A940" t="s">
        <v>95</v>
      </c>
      <c r="B940" t="s">
        <v>79</v>
      </c>
      <c r="C940" t="s">
        <v>81</v>
      </c>
      <c r="D940" s="2">
        <v>258.10521199999999</v>
      </c>
      <c r="E940" s="2">
        <v>0</v>
      </c>
    </row>
    <row r="941" spans="1:5" x14ac:dyDescent="0.2">
      <c r="A941" t="s">
        <v>95</v>
      </c>
      <c r="B941" t="s">
        <v>79</v>
      </c>
      <c r="C941" t="s">
        <v>81</v>
      </c>
      <c r="D941" s="2">
        <v>370.12541959999999</v>
      </c>
      <c r="E941" s="2">
        <v>0</v>
      </c>
    </row>
    <row r="942" spans="1:5" x14ac:dyDescent="0.2">
      <c r="A942" t="s">
        <v>95</v>
      </c>
      <c r="B942" t="s">
        <v>79</v>
      </c>
      <c r="C942" t="s">
        <v>81</v>
      </c>
      <c r="D942" s="2">
        <v>0</v>
      </c>
      <c r="E942" s="2">
        <v>0</v>
      </c>
    </row>
    <row r="943" spans="1:5" x14ac:dyDescent="0.2">
      <c r="A943" t="s">
        <v>95</v>
      </c>
      <c r="B943" t="s">
        <v>79</v>
      </c>
      <c r="C943" t="s">
        <v>81</v>
      </c>
      <c r="D943" s="2">
        <v>646.00843420000001</v>
      </c>
      <c r="E943" s="2">
        <v>0</v>
      </c>
    </row>
    <row r="944" spans="1:5" x14ac:dyDescent="0.2">
      <c r="A944" t="s">
        <v>95</v>
      </c>
      <c r="B944" t="s">
        <v>79</v>
      </c>
      <c r="C944" t="s">
        <v>81</v>
      </c>
      <c r="D944" s="2">
        <v>0</v>
      </c>
      <c r="E944" s="2">
        <v>0</v>
      </c>
    </row>
    <row r="945" spans="1:5" x14ac:dyDescent="0.2">
      <c r="A945" t="s">
        <v>95</v>
      </c>
      <c r="B945" t="s">
        <v>79</v>
      </c>
      <c r="C945" t="s">
        <v>81</v>
      </c>
      <c r="D945" s="2">
        <v>0</v>
      </c>
      <c r="E945" s="2">
        <v>0</v>
      </c>
    </row>
    <row r="946" spans="1:5" x14ac:dyDescent="0.2">
      <c r="A946" t="s">
        <v>95</v>
      </c>
      <c r="B946" t="s">
        <v>79</v>
      </c>
      <c r="C946" t="s">
        <v>81</v>
      </c>
      <c r="D946" s="2">
        <v>434.81538060000003</v>
      </c>
      <c r="E946" s="2">
        <v>0</v>
      </c>
    </row>
    <row r="947" spans="1:5" x14ac:dyDescent="0.2">
      <c r="A947" t="s">
        <v>95</v>
      </c>
      <c r="B947" t="s">
        <v>79</v>
      </c>
      <c r="C947" t="s">
        <v>81</v>
      </c>
      <c r="D947" s="2">
        <v>0</v>
      </c>
      <c r="E947" s="2">
        <v>0</v>
      </c>
    </row>
    <row r="948" spans="1:5" x14ac:dyDescent="0.2">
      <c r="A948" t="s">
        <v>94</v>
      </c>
      <c r="B948" t="s">
        <v>79</v>
      </c>
      <c r="C948" t="s">
        <v>81</v>
      </c>
      <c r="D948" s="2">
        <v>0</v>
      </c>
      <c r="E948" s="2">
        <v>0</v>
      </c>
    </row>
    <row r="949" spans="1:5" x14ac:dyDescent="0.2">
      <c r="A949" t="s">
        <v>94</v>
      </c>
      <c r="B949" t="s">
        <v>79</v>
      </c>
      <c r="C949" t="s">
        <v>81</v>
      </c>
      <c r="D949" s="2">
        <v>0</v>
      </c>
      <c r="E949" s="2">
        <v>0</v>
      </c>
    </row>
    <row r="950" spans="1:5" x14ac:dyDescent="0.2">
      <c r="A950" t="s">
        <v>94</v>
      </c>
      <c r="B950" t="s">
        <v>79</v>
      </c>
      <c r="C950" t="s">
        <v>81</v>
      </c>
      <c r="D950" s="2">
        <v>0</v>
      </c>
      <c r="E950" s="2">
        <v>0</v>
      </c>
    </row>
    <row r="951" spans="1:5" x14ac:dyDescent="0.2">
      <c r="A951" t="s">
        <v>94</v>
      </c>
      <c r="B951" t="s">
        <v>79</v>
      </c>
      <c r="C951" t="s">
        <v>81</v>
      </c>
      <c r="D951" s="2">
        <v>595.62418739999998</v>
      </c>
      <c r="E951" s="2">
        <v>0</v>
      </c>
    </row>
    <row r="952" spans="1:5" x14ac:dyDescent="0.2">
      <c r="A952" t="s">
        <v>94</v>
      </c>
      <c r="B952" t="s">
        <v>79</v>
      </c>
      <c r="C952" t="s">
        <v>81</v>
      </c>
      <c r="D952" s="2">
        <v>0</v>
      </c>
      <c r="E952" s="2">
        <v>0</v>
      </c>
    </row>
    <row r="953" spans="1:5" x14ac:dyDescent="0.2">
      <c r="A953" t="s">
        <v>94</v>
      </c>
      <c r="B953" t="s">
        <v>79</v>
      </c>
      <c r="C953" t="s">
        <v>81</v>
      </c>
      <c r="D953" s="2">
        <v>223.5509314</v>
      </c>
      <c r="E953" s="2">
        <v>0</v>
      </c>
    </row>
    <row r="954" spans="1:5" x14ac:dyDescent="0.2">
      <c r="A954" t="s">
        <v>94</v>
      </c>
      <c r="B954" t="s">
        <v>79</v>
      </c>
      <c r="C954" t="s">
        <v>81</v>
      </c>
      <c r="D954" s="2">
        <v>153.6907424</v>
      </c>
      <c r="E954" s="2">
        <v>0</v>
      </c>
    </row>
    <row r="955" spans="1:5" x14ac:dyDescent="0.2">
      <c r="A955" t="s">
        <v>96</v>
      </c>
      <c r="B955" t="s">
        <v>79</v>
      </c>
      <c r="C955" t="s">
        <v>81</v>
      </c>
      <c r="D955" s="2">
        <v>256.60131899999999</v>
      </c>
      <c r="E955" s="2">
        <v>0</v>
      </c>
    </row>
    <row r="956" spans="1:5" x14ac:dyDescent="0.2">
      <c r="A956" t="s">
        <v>96</v>
      </c>
      <c r="B956" t="s">
        <v>79</v>
      </c>
      <c r="C956" t="s">
        <v>81</v>
      </c>
      <c r="D956" s="2">
        <v>181.44766999999999</v>
      </c>
      <c r="E956" s="2">
        <v>0</v>
      </c>
    </row>
    <row r="957" spans="1:5" x14ac:dyDescent="0.2">
      <c r="A957" t="s">
        <v>96</v>
      </c>
      <c r="B957" t="s">
        <v>79</v>
      </c>
      <c r="C957" t="s">
        <v>81</v>
      </c>
      <c r="D957" s="2">
        <v>72.898753400000004</v>
      </c>
      <c r="E957" s="2">
        <v>0</v>
      </c>
    </row>
    <row r="958" spans="1:5" x14ac:dyDescent="0.2">
      <c r="A958" t="s">
        <v>96</v>
      </c>
      <c r="B958" t="s">
        <v>79</v>
      </c>
      <c r="C958" t="s">
        <v>81</v>
      </c>
      <c r="D958" s="2">
        <v>121.5051718</v>
      </c>
      <c r="E958" s="2">
        <v>0</v>
      </c>
    </row>
    <row r="959" spans="1:5" x14ac:dyDescent="0.2">
      <c r="A959" t="s">
        <v>96</v>
      </c>
      <c r="B959" t="s">
        <v>79</v>
      </c>
      <c r="C959" t="s">
        <v>81</v>
      </c>
      <c r="D959" s="2">
        <v>0</v>
      </c>
      <c r="E959" s="2">
        <v>0</v>
      </c>
    </row>
    <row r="960" spans="1:5" x14ac:dyDescent="0.2">
      <c r="A960" t="s">
        <v>96</v>
      </c>
      <c r="B960" t="s">
        <v>79</v>
      </c>
      <c r="C960" t="s">
        <v>81</v>
      </c>
      <c r="D960" s="2">
        <v>0</v>
      </c>
      <c r="E960" s="2">
        <v>0</v>
      </c>
    </row>
    <row r="961" spans="1:5" x14ac:dyDescent="0.2">
      <c r="A961" t="s">
        <v>96</v>
      </c>
      <c r="B961" t="s">
        <v>79</v>
      </c>
      <c r="C961" t="s">
        <v>81</v>
      </c>
      <c r="D961" s="2">
        <v>0</v>
      </c>
      <c r="E961" s="2">
        <v>0</v>
      </c>
    </row>
    <row r="962" spans="1:5" x14ac:dyDescent="0.2">
      <c r="A962" t="s">
        <v>93</v>
      </c>
      <c r="B962" t="s">
        <v>66</v>
      </c>
      <c r="C962" t="s">
        <v>81</v>
      </c>
      <c r="D962" s="2">
        <v>0</v>
      </c>
      <c r="E962" s="2">
        <v>0</v>
      </c>
    </row>
    <row r="963" spans="1:5" x14ac:dyDescent="0.2">
      <c r="A963" t="s">
        <v>93</v>
      </c>
      <c r="B963" t="s">
        <v>66</v>
      </c>
      <c r="C963" t="s">
        <v>81</v>
      </c>
      <c r="D963" s="2">
        <v>0</v>
      </c>
      <c r="E963" s="2">
        <v>0</v>
      </c>
    </row>
    <row r="964" spans="1:5" x14ac:dyDescent="0.2">
      <c r="A964" t="s">
        <v>93</v>
      </c>
      <c r="B964" t="s">
        <v>66</v>
      </c>
      <c r="C964" t="s">
        <v>81</v>
      </c>
      <c r="D964" s="2">
        <v>0</v>
      </c>
      <c r="E964" s="2">
        <v>52</v>
      </c>
    </row>
    <row r="965" spans="1:5" x14ac:dyDescent="0.2">
      <c r="A965" t="s">
        <v>93</v>
      </c>
      <c r="B965" t="s">
        <v>66</v>
      </c>
      <c r="C965" t="s">
        <v>81</v>
      </c>
      <c r="D965" s="2">
        <v>0</v>
      </c>
      <c r="E965" s="2">
        <v>12</v>
      </c>
    </row>
    <row r="966" spans="1:5" x14ac:dyDescent="0.2">
      <c r="A966" t="s">
        <v>95</v>
      </c>
      <c r="B966" t="s">
        <v>66</v>
      </c>
      <c r="C966" t="s">
        <v>81</v>
      </c>
      <c r="D966" s="2">
        <v>0</v>
      </c>
      <c r="E966" s="2">
        <v>0</v>
      </c>
    </row>
    <row r="967" spans="1:5" x14ac:dyDescent="0.2">
      <c r="A967" t="s">
        <v>95</v>
      </c>
      <c r="B967" t="s">
        <v>66</v>
      </c>
      <c r="C967" t="s">
        <v>81</v>
      </c>
      <c r="D967" s="2">
        <v>0</v>
      </c>
      <c r="E967" s="2">
        <v>0</v>
      </c>
    </row>
    <row r="968" spans="1:5" x14ac:dyDescent="0.2">
      <c r="A968" t="s">
        <v>95</v>
      </c>
      <c r="B968" t="s">
        <v>66</v>
      </c>
      <c r="C968" t="s">
        <v>81</v>
      </c>
      <c r="D968" s="2">
        <v>0</v>
      </c>
      <c r="E968" s="2">
        <v>0</v>
      </c>
    </row>
    <row r="969" spans="1:5" x14ac:dyDescent="0.2">
      <c r="A969" t="s">
        <v>95</v>
      </c>
      <c r="B969" t="s">
        <v>66</v>
      </c>
      <c r="C969" t="s">
        <v>81</v>
      </c>
      <c r="D969" s="2">
        <v>0</v>
      </c>
      <c r="E969" s="2">
        <v>0</v>
      </c>
    </row>
    <row r="970" spans="1:5" x14ac:dyDescent="0.2">
      <c r="A970" t="s">
        <v>95</v>
      </c>
      <c r="B970" t="s">
        <v>66</v>
      </c>
      <c r="C970" t="s">
        <v>81</v>
      </c>
      <c r="D970" s="2">
        <v>0</v>
      </c>
      <c r="E970" s="2">
        <v>0</v>
      </c>
    </row>
    <row r="971" spans="1:5" x14ac:dyDescent="0.2">
      <c r="A971" t="s">
        <v>95</v>
      </c>
      <c r="B971" t="s">
        <v>66</v>
      </c>
      <c r="C971" t="s">
        <v>81</v>
      </c>
      <c r="D971" s="2">
        <v>0</v>
      </c>
      <c r="E971" s="2">
        <v>0</v>
      </c>
    </row>
    <row r="972" spans="1:5" x14ac:dyDescent="0.2">
      <c r="A972" t="s">
        <v>95</v>
      </c>
      <c r="B972" t="s">
        <v>66</v>
      </c>
      <c r="C972" t="s">
        <v>81</v>
      </c>
      <c r="D972" s="2">
        <v>0</v>
      </c>
      <c r="E972" s="2">
        <v>258</v>
      </c>
    </row>
    <row r="973" spans="1:5" x14ac:dyDescent="0.2">
      <c r="A973" t="s">
        <v>95</v>
      </c>
      <c r="B973" t="s">
        <v>66</v>
      </c>
      <c r="C973" t="s">
        <v>81</v>
      </c>
      <c r="D973" s="2">
        <v>0</v>
      </c>
      <c r="E973" s="2">
        <v>270</v>
      </c>
    </row>
    <row r="974" spans="1:5" x14ac:dyDescent="0.2">
      <c r="A974" t="s">
        <v>95</v>
      </c>
      <c r="B974" t="s">
        <v>66</v>
      </c>
      <c r="C974" t="s">
        <v>81</v>
      </c>
      <c r="D974" s="2">
        <v>0</v>
      </c>
      <c r="E974" s="2">
        <v>0</v>
      </c>
    </row>
    <row r="975" spans="1:5" x14ac:dyDescent="0.2">
      <c r="A975" t="s">
        <v>95</v>
      </c>
      <c r="B975" t="s">
        <v>66</v>
      </c>
      <c r="C975" t="s">
        <v>81</v>
      </c>
      <c r="D975" s="2">
        <v>0</v>
      </c>
      <c r="E975" s="2">
        <v>312</v>
      </c>
    </row>
    <row r="976" spans="1:5" x14ac:dyDescent="0.2">
      <c r="A976" t="s">
        <v>95</v>
      </c>
      <c r="B976" t="s">
        <v>66</v>
      </c>
      <c r="C976" t="s">
        <v>81</v>
      </c>
      <c r="D976" s="2">
        <v>0</v>
      </c>
      <c r="E976" s="2">
        <v>0</v>
      </c>
    </row>
    <row r="977" spans="1:5" x14ac:dyDescent="0.2">
      <c r="A977" t="s">
        <v>95</v>
      </c>
      <c r="B977" t="s">
        <v>66</v>
      </c>
      <c r="C977" t="s">
        <v>81</v>
      </c>
      <c r="D977" s="2">
        <v>0</v>
      </c>
      <c r="E977" s="2">
        <v>0</v>
      </c>
    </row>
    <row r="978" spans="1:5" x14ac:dyDescent="0.2">
      <c r="A978" t="s">
        <v>95</v>
      </c>
      <c r="B978" t="s">
        <v>66</v>
      </c>
      <c r="C978" t="s">
        <v>81</v>
      </c>
      <c r="D978" s="2">
        <v>0</v>
      </c>
      <c r="E978" s="2">
        <v>352</v>
      </c>
    </row>
    <row r="979" spans="1:5" x14ac:dyDescent="0.2">
      <c r="A979" t="s">
        <v>95</v>
      </c>
      <c r="B979" t="s">
        <v>66</v>
      </c>
      <c r="C979" t="s">
        <v>81</v>
      </c>
      <c r="D979" s="2">
        <v>0</v>
      </c>
      <c r="E979" s="2">
        <v>0</v>
      </c>
    </row>
    <row r="980" spans="1:5" x14ac:dyDescent="0.2">
      <c r="A980" t="s">
        <v>94</v>
      </c>
      <c r="B980" t="s">
        <v>66</v>
      </c>
      <c r="C980" t="s">
        <v>81</v>
      </c>
      <c r="D980" s="2">
        <v>0</v>
      </c>
      <c r="E980" s="2">
        <v>0</v>
      </c>
    </row>
    <row r="981" spans="1:5" x14ac:dyDescent="0.2">
      <c r="A981" t="s">
        <v>94</v>
      </c>
      <c r="B981" t="s">
        <v>66</v>
      </c>
      <c r="C981" t="s">
        <v>81</v>
      </c>
      <c r="D981" s="2">
        <v>0</v>
      </c>
      <c r="E981" s="2">
        <v>0</v>
      </c>
    </row>
    <row r="982" spans="1:5" x14ac:dyDescent="0.2">
      <c r="A982" t="s">
        <v>94</v>
      </c>
      <c r="B982" t="s">
        <v>66</v>
      </c>
      <c r="C982" t="s">
        <v>81</v>
      </c>
      <c r="D982" s="2">
        <v>0</v>
      </c>
      <c r="E982" s="2">
        <v>0</v>
      </c>
    </row>
    <row r="983" spans="1:5" x14ac:dyDescent="0.2">
      <c r="A983" t="s">
        <v>94</v>
      </c>
      <c r="B983" t="s">
        <v>66</v>
      </c>
      <c r="C983" t="s">
        <v>81</v>
      </c>
      <c r="D983" s="2">
        <v>0</v>
      </c>
      <c r="E983" s="2">
        <v>38</v>
      </c>
    </row>
    <row r="984" spans="1:5" x14ac:dyDescent="0.2">
      <c r="A984" t="s">
        <v>94</v>
      </c>
      <c r="B984" t="s">
        <v>66</v>
      </c>
      <c r="C984" t="s">
        <v>81</v>
      </c>
      <c r="D984" s="2">
        <v>0</v>
      </c>
      <c r="E984" s="2">
        <v>0</v>
      </c>
    </row>
    <row r="985" spans="1:5" x14ac:dyDescent="0.2">
      <c r="A985" t="s">
        <v>94</v>
      </c>
      <c r="B985" t="s">
        <v>66</v>
      </c>
      <c r="C985" t="s">
        <v>81</v>
      </c>
      <c r="D985" s="2">
        <v>0</v>
      </c>
      <c r="E985" s="2">
        <v>20</v>
      </c>
    </row>
    <row r="986" spans="1:5" x14ac:dyDescent="0.2">
      <c r="A986" t="s">
        <v>94</v>
      </c>
      <c r="B986" t="s">
        <v>66</v>
      </c>
      <c r="C986" t="s">
        <v>81</v>
      </c>
      <c r="D986" s="2">
        <v>0</v>
      </c>
      <c r="E986" s="2">
        <v>0</v>
      </c>
    </row>
    <row r="987" spans="1:5" x14ac:dyDescent="0.2">
      <c r="A987" t="s">
        <v>96</v>
      </c>
      <c r="B987" t="s">
        <v>66</v>
      </c>
      <c r="C987" t="s">
        <v>81</v>
      </c>
      <c r="D987" s="2">
        <v>0</v>
      </c>
      <c r="E987" s="2">
        <v>204</v>
      </c>
    </row>
    <row r="988" spans="1:5" x14ac:dyDescent="0.2">
      <c r="A988" t="s">
        <v>96</v>
      </c>
      <c r="B988" t="s">
        <v>66</v>
      </c>
      <c r="C988" t="s">
        <v>81</v>
      </c>
      <c r="D988" s="2">
        <v>0</v>
      </c>
      <c r="E988" s="2">
        <v>72</v>
      </c>
    </row>
    <row r="989" spans="1:5" x14ac:dyDescent="0.2">
      <c r="A989" t="s">
        <v>96</v>
      </c>
      <c r="B989" t="s">
        <v>66</v>
      </c>
      <c r="C989" t="s">
        <v>81</v>
      </c>
      <c r="D989" s="2">
        <v>0</v>
      </c>
      <c r="E989" s="2">
        <v>2</v>
      </c>
    </row>
    <row r="990" spans="1:5" x14ac:dyDescent="0.2">
      <c r="A990" t="s">
        <v>96</v>
      </c>
      <c r="B990" t="s">
        <v>66</v>
      </c>
      <c r="C990" t="s">
        <v>81</v>
      </c>
      <c r="D990" s="2">
        <v>0</v>
      </c>
      <c r="E990" s="2">
        <v>76</v>
      </c>
    </row>
    <row r="991" spans="1:5" x14ac:dyDescent="0.2">
      <c r="A991" t="s">
        <v>96</v>
      </c>
      <c r="B991" t="s">
        <v>66</v>
      </c>
      <c r="C991" t="s">
        <v>81</v>
      </c>
      <c r="D991" s="2">
        <v>0</v>
      </c>
      <c r="E991" s="2">
        <v>0</v>
      </c>
    </row>
    <row r="992" spans="1:5" x14ac:dyDescent="0.2">
      <c r="A992" t="s">
        <v>96</v>
      </c>
      <c r="B992" t="s">
        <v>66</v>
      </c>
      <c r="C992" t="s">
        <v>81</v>
      </c>
      <c r="D992" s="2">
        <v>0</v>
      </c>
      <c r="E992" s="2">
        <v>0</v>
      </c>
    </row>
    <row r="993" spans="1:5" x14ac:dyDescent="0.2">
      <c r="A993" t="s">
        <v>96</v>
      </c>
      <c r="B993" t="s">
        <v>66</v>
      </c>
      <c r="C993" t="s">
        <v>81</v>
      </c>
      <c r="D993" s="2">
        <v>0</v>
      </c>
      <c r="E993" s="2">
        <v>0</v>
      </c>
    </row>
    <row r="994" spans="1:5" x14ac:dyDescent="0.2">
      <c r="A994" t="s">
        <v>93</v>
      </c>
      <c r="B994" t="s">
        <v>44</v>
      </c>
      <c r="C994" t="s">
        <v>81</v>
      </c>
      <c r="D994" s="2">
        <v>0</v>
      </c>
      <c r="E994" s="2">
        <v>0</v>
      </c>
    </row>
    <row r="995" spans="1:5" x14ac:dyDescent="0.2">
      <c r="A995" t="s">
        <v>93</v>
      </c>
      <c r="B995" t="s">
        <v>44</v>
      </c>
      <c r="C995" t="s">
        <v>81</v>
      </c>
      <c r="D995" s="2">
        <v>0</v>
      </c>
      <c r="E995" s="2">
        <v>0</v>
      </c>
    </row>
    <row r="996" spans="1:5" x14ac:dyDescent="0.2">
      <c r="A996" t="s">
        <v>93</v>
      </c>
      <c r="B996" t="s">
        <v>44</v>
      </c>
      <c r="C996" t="s">
        <v>81</v>
      </c>
      <c r="D996" s="2">
        <v>49.9882998</v>
      </c>
      <c r="E996" s="2">
        <v>52</v>
      </c>
    </row>
    <row r="997" spans="1:5" x14ac:dyDescent="0.2">
      <c r="A997" t="s">
        <v>93</v>
      </c>
      <c r="B997" t="s">
        <v>44</v>
      </c>
      <c r="C997" t="s">
        <v>81</v>
      </c>
      <c r="D997" s="2">
        <v>39.733646399999998</v>
      </c>
      <c r="E997" s="2">
        <v>6</v>
      </c>
    </row>
    <row r="998" spans="1:5" x14ac:dyDescent="0.2">
      <c r="A998" t="s">
        <v>95</v>
      </c>
      <c r="B998" t="s">
        <v>44</v>
      </c>
      <c r="C998" t="s">
        <v>81</v>
      </c>
      <c r="D998" s="2">
        <v>0</v>
      </c>
      <c r="E998" s="2">
        <v>0</v>
      </c>
    </row>
    <row r="999" spans="1:5" x14ac:dyDescent="0.2">
      <c r="A999" t="s">
        <v>95</v>
      </c>
      <c r="B999" t="s">
        <v>44</v>
      </c>
      <c r="C999" t="s">
        <v>81</v>
      </c>
      <c r="D999" s="2">
        <v>0</v>
      </c>
      <c r="E999" s="2">
        <v>0</v>
      </c>
    </row>
    <row r="1000" spans="1:5" x14ac:dyDescent="0.2">
      <c r="A1000" t="s">
        <v>95</v>
      </c>
      <c r="B1000" t="s">
        <v>44</v>
      </c>
      <c r="C1000" t="s">
        <v>81</v>
      </c>
      <c r="D1000" s="2">
        <v>0</v>
      </c>
      <c r="E1000" s="2">
        <v>0</v>
      </c>
    </row>
    <row r="1001" spans="1:5" x14ac:dyDescent="0.2">
      <c r="A1001" t="s">
        <v>95</v>
      </c>
      <c r="B1001" t="s">
        <v>44</v>
      </c>
      <c r="C1001" t="s">
        <v>81</v>
      </c>
      <c r="D1001" s="2">
        <v>0</v>
      </c>
      <c r="E1001" s="2">
        <v>0</v>
      </c>
    </row>
    <row r="1002" spans="1:5" x14ac:dyDescent="0.2">
      <c r="A1002" t="s">
        <v>95</v>
      </c>
      <c r="B1002" t="s">
        <v>44</v>
      </c>
      <c r="C1002" t="s">
        <v>81</v>
      </c>
      <c r="D1002" s="2">
        <v>0</v>
      </c>
      <c r="E1002" s="2">
        <v>0</v>
      </c>
    </row>
    <row r="1003" spans="1:5" x14ac:dyDescent="0.2">
      <c r="A1003" t="s">
        <v>95</v>
      </c>
      <c r="B1003" t="s">
        <v>44</v>
      </c>
      <c r="C1003" t="s">
        <v>81</v>
      </c>
      <c r="D1003" s="2">
        <v>0</v>
      </c>
      <c r="E1003" s="2">
        <v>0</v>
      </c>
    </row>
    <row r="1004" spans="1:5" x14ac:dyDescent="0.2">
      <c r="A1004" t="s">
        <v>95</v>
      </c>
      <c r="B1004" t="s">
        <v>44</v>
      </c>
      <c r="C1004" t="s">
        <v>81</v>
      </c>
      <c r="D1004" s="2">
        <v>242.27784020000001</v>
      </c>
      <c r="E1004" s="2">
        <v>292</v>
      </c>
    </row>
    <row r="1005" spans="1:5" x14ac:dyDescent="0.2">
      <c r="A1005" t="s">
        <v>95</v>
      </c>
      <c r="B1005" t="s">
        <v>44</v>
      </c>
      <c r="C1005" t="s">
        <v>81</v>
      </c>
      <c r="D1005" s="2">
        <v>266.6158302</v>
      </c>
      <c r="E1005" s="2">
        <v>332</v>
      </c>
    </row>
    <row r="1006" spans="1:5" x14ac:dyDescent="0.2">
      <c r="A1006" t="s">
        <v>95</v>
      </c>
      <c r="B1006" t="s">
        <v>44</v>
      </c>
      <c r="C1006" t="s">
        <v>81</v>
      </c>
      <c r="D1006" s="2">
        <v>0</v>
      </c>
      <c r="E1006" s="2">
        <v>0</v>
      </c>
    </row>
    <row r="1007" spans="1:5" x14ac:dyDescent="0.2">
      <c r="A1007" t="s">
        <v>95</v>
      </c>
      <c r="B1007" t="s">
        <v>44</v>
      </c>
      <c r="C1007" t="s">
        <v>81</v>
      </c>
      <c r="D1007" s="2">
        <v>580.30089999999996</v>
      </c>
      <c r="E1007" s="2">
        <v>422</v>
      </c>
    </row>
    <row r="1008" spans="1:5" x14ac:dyDescent="0.2">
      <c r="A1008" t="s">
        <v>95</v>
      </c>
      <c r="B1008" t="s">
        <v>44</v>
      </c>
      <c r="C1008" t="s">
        <v>81</v>
      </c>
      <c r="D1008" s="2">
        <v>0</v>
      </c>
      <c r="E1008" s="2">
        <v>0</v>
      </c>
    </row>
    <row r="1009" spans="1:5" x14ac:dyDescent="0.2">
      <c r="A1009" t="s">
        <v>95</v>
      </c>
      <c r="B1009" t="s">
        <v>44</v>
      </c>
      <c r="C1009" t="s">
        <v>81</v>
      </c>
      <c r="D1009" s="2">
        <v>0</v>
      </c>
      <c r="E1009" s="2">
        <v>0</v>
      </c>
    </row>
    <row r="1010" spans="1:5" x14ac:dyDescent="0.2">
      <c r="A1010" t="s">
        <v>95</v>
      </c>
      <c r="B1010" t="s">
        <v>44</v>
      </c>
      <c r="C1010" t="s">
        <v>81</v>
      </c>
      <c r="D1010" s="2">
        <v>325.960151</v>
      </c>
      <c r="E1010" s="2">
        <v>486</v>
      </c>
    </row>
    <row r="1011" spans="1:5" x14ac:dyDescent="0.2">
      <c r="A1011" t="s">
        <v>95</v>
      </c>
      <c r="B1011" t="s">
        <v>44</v>
      </c>
      <c r="C1011" t="s">
        <v>81</v>
      </c>
      <c r="D1011" s="2">
        <v>0</v>
      </c>
      <c r="E1011" s="2">
        <v>0</v>
      </c>
    </row>
    <row r="1012" spans="1:5" x14ac:dyDescent="0.2">
      <c r="A1012" t="s">
        <v>94</v>
      </c>
      <c r="B1012" t="s">
        <v>44</v>
      </c>
      <c r="C1012" t="s">
        <v>81</v>
      </c>
      <c r="D1012" s="2">
        <v>0</v>
      </c>
      <c r="E1012" s="2">
        <v>0</v>
      </c>
    </row>
    <row r="1013" spans="1:5" x14ac:dyDescent="0.2">
      <c r="A1013" t="s">
        <v>94</v>
      </c>
      <c r="B1013" t="s">
        <v>44</v>
      </c>
      <c r="C1013" t="s">
        <v>81</v>
      </c>
      <c r="D1013" s="2">
        <v>0</v>
      </c>
      <c r="E1013" s="2">
        <v>0</v>
      </c>
    </row>
    <row r="1014" spans="1:5" x14ac:dyDescent="0.2">
      <c r="A1014" t="s">
        <v>94</v>
      </c>
      <c r="B1014" t="s">
        <v>44</v>
      </c>
      <c r="C1014" t="s">
        <v>81</v>
      </c>
      <c r="D1014" s="2">
        <v>0</v>
      </c>
      <c r="E1014" s="2">
        <v>0</v>
      </c>
    </row>
    <row r="1015" spans="1:5" x14ac:dyDescent="0.2">
      <c r="A1015" t="s">
        <v>94</v>
      </c>
      <c r="B1015" t="s">
        <v>44</v>
      </c>
      <c r="C1015" t="s">
        <v>81</v>
      </c>
      <c r="D1015" s="2">
        <v>107.7722576</v>
      </c>
      <c r="E1015" s="2">
        <v>234</v>
      </c>
    </row>
    <row r="1016" spans="1:5" x14ac:dyDescent="0.2">
      <c r="A1016" t="s">
        <v>94</v>
      </c>
      <c r="B1016" t="s">
        <v>44</v>
      </c>
      <c r="C1016" t="s">
        <v>81</v>
      </c>
      <c r="D1016" s="2">
        <v>0</v>
      </c>
      <c r="E1016" s="2">
        <v>0</v>
      </c>
    </row>
    <row r="1017" spans="1:5" x14ac:dyDescent="0.2">
      <c r="A1017" t="s">
        <v>94</v>
      </c>
      <c r="B1017" t="s">
        <v>44</v>
      </c>
      <c r="C1017" t="s">
        <v>81</v>
      </c>
      <c r="D1017" s="2">
        <v>98.341613600000002</v>
      </c>
      <c r="E1017" s="2">
        <v>42</v>
      </c>
    </row>
    <row r="1018" spans="1:5" x14ac:dyDescent="0.2">
      <c r="A1018" t="s">
        <v>94</v>
      </c>
      <c r="B1018" t="s">
        <v>44</v>
      </c>
      <c r="C1018" t="s">
        <v>81</v>
      </c>
      <c r="D1018" s="2">
        <v>0</v>
      </c>
      <c r="E1018" s="2">
        <v>44</v>
      </c>
    </row>
    <row r="1019" spans="1:5" x14ac:dyDescent="0.2">
      <c r="A1019" t="s">
        <v>96</v>
      </c>
      <c r="B1019" t="s">
        <v>44</v>
      </c>
      <c r="C1019" t="s">
        <v>81</v>
      </c>
      <c r="D1019" s="2">
        <v>164.8908266</v>
      </c>
      <c r="E1019" s="2">
        <v>298</v>
      </c>
    </row>
    <row r="1020" spans="1:5" x14ac:dyDescent="0.2">
      <c r="A1020" t="s">
        <v>96</v>
      </c>
      <c r="B1020" t="s">
        <v>44</v>
      </c>
      <c r="C1020" t="s">
        <v>81</v>
      </c>
      <c r="D1020" s="2">
        <v>113.04780719999999</v>
      </c>
      <c r="E1020" s="2">
        <v>130</v>
      </c>
    </row>
    <row r="1021" spans="1:5" x14ac:dyDescent="0.2">
      <c r="A1021" t="s">
        <v>96</v>
      </c>
      <c r="B1021" t="s">
        <v>44</v>
      </c>
      <c r="C1021" t="s">
        <v>81</v>
      </c>
      <c r="D1021" s="2">
        <v>0</v>
      </c>
      <c r="E1021" s="2">
        <v>0</v>
      </c>
    </row>
    <row r="1022" spans="1:5" x14ac:dyDescent="0.2">
      <c r="A1022" t="s">
        <v>96</v>
      </c>
      <c r="B1022" t="s">
        <v>44</v>
      </c>
      <c r="C1022" t="s">
        <v>81</v>
      </c>
      <c r="D1022" s="2">
        <v>60.560253000000003</v>
      </c>
      <c r="E1022" s="2">
        <v>88</v>
      </c>
    </row>
    <row r="1023" spans="1:5" x14ac:dyDescent="0.2">
      <c r="A1023" t="s">
        <v>96</v>
      </c>
      <c r="B1023" t="s">
        <v>44</v>
      </c>
      <c r="C1023" t="s">
        <v>81</v>
      </c>
      <c r="D1023" s="2">
        <v>0</v>
      </c>
      <c r="E1023" s="2">
        <v>0</v>
      </c>
    </row>
    <row r="1024" spans="1:5" x14ac:dyDescent="0.2">
      <c r="A1024" t="s">
        <v>96</v>
      </c>
      <c r="B1024" t="s">
        <v>44</v>
      </c>
      <c r="C1024" t="s">
        <v>81</v>
      </c>
      <c r="D1024" s="2">
        <v>0</v>
      </c>
      <c r="E1024" s="2">
        <v>0</v>
      </c>
    </row>
    <row r="1025" spans="1:5" x14ac:dyDescent="0.2">
      <c r="A1025" t="s">
        <v>96</v>
      </c>
      <c r="B1025" t="s">
        <v>44</v>
      </c>
      <c r="C1025" t="s">
        <v>81</v>
      </c>
      <c r="D1025" s="2">
        <v>0</v>
      </c>
      <c r="E1025" s="2">
        <v>0</v>
      </c>
    </row>
    <row r="1026" spans="1:5" x14ac:dyDescent="0.2">
      <c r="A1026" t="s">
        <v>93</v>
      </c>
      <c r="B1026" t="s">
        <v>78</v>
      </c>
      <c r="C1026" t="s">
        <v>81</v>
      </c>
      <c r="D1026" s="2">
        <v>0</v>
      </c>
      <c r="E1026" s="2">
        <v>0</v>
      </c>
    </row>
    <row r="1027" spans="1:5" x14ac:dyDescent="0.2">
      <c r="A1027" t="s">
        <v>93</v>
      </c>
      <c r="B1027" t="s">
        <v>78</v>
      </c>
      <c r="C1027" t="s">
        <v>81</v>
      </c>
      <c r="D1027" s="2">
        <v>0</v>
      </c>
      <c r="E1027" s="2">
        <v>0</v>
      </c>
    </row>
    <row r="1028" spans="1:5" x14ac:dyDescent="0.2">
      <c r="A1028" t="s">
        <v>93</v>
      </c>
      <c r="B1028" t="s">
        <v>78</v>
      </c>
      <c r="C1028" t="s">
        <v>81</v>
      </c>
      <c r="D1028" s="2">
        <v>50.139215999999998</v>
      </c>
      <c r="E1028" s="2">
        <v>0</v>
      </c>
    </row>
    <row r="1029" spans="1:5" x14ac:dyDescent="0.2">
      <c r="A1029" t="s">
        <v>93</v>
      </c>
      <c r="B1029" t="s">
        <v>78</v>
      </c>
      <c r="C1029" t="s">
        <v>81</v>
      </c>
      <c r="D1029" s="2">
        <v>31.686458600000002</v>
      </c>
      <c r="E1029" s="2">
        <v>0</v>
      </c>
    </row>
    <row r="1030" spans="1:5" x14ac:dyDescent="0.2">
      <c r="A1030" t="s">
        <v>95</v>
      </c>
      <c r="B1030" t="s">
        <v>78</v>
      </c>
      <c r="C1030" t="s">
        <v>81</v>
      </c>
      <c r="D1030" s="2">
        <v>0</v>
      </c>
      <c r="E1030" s="2">
        <v>0</v>
      </c>
    </row>
    <row r="1031" spans="1:5" x14ac:dyDescent="0.2">
      <c r="A1031" t="s">
        <v>95</v>
      </c>
      <c r="B1031" t="s">
        <v>78</v>
      </c>
      <c r="C1031" t="s">
        <v>81</v>
      </c>
      <c r="D1031" s="2">
        <v>0</v>
      </c>
      <c r="E1031" s="2">
        <v>0</v>
      </c>
    </row>
    <row r="1032" spans="1:5" x14ac:dyDescent="0.2">
      <c r="A1032" t="s">
        <v>95</v>
      </c>
      <c r="B1032" t="s">
        <v>78</v>
      </c>
      <c r="C1032" t="s">
        <v>81</v>
      </c>
      <c r="D1032" s="2">
        <v>0</v>
      </c>
      <c r="E1032" s="2">
        <v>0</v>
      </c>
    </row>
    <row r="1033" spans="1:5" x14ac:dyDescent="0.2">
      <c r="A1033" t="s">
        <v>95</v>
      </c>
      <c r="B1033" t="s">
        <v>78</v>
      </c>
      <c r="C1033" t="s">
        <v>81</v>
      </c>
      <c r="D1033" s="2">
        <v>0</v>
      </c>
      <c r="E1033" s="2">
        <v>0</v>
      </c>
    </row>
    <row r="1034" spans="1:5" x14ac:dyDescent="0.2">
      <c r="A1034" t="s">
        <v>95</v>
      </c>
      <c r="B1034" t="s">
        <v>78</v>
      </c>
      <c r="C1034" t="s">
        <v>81</v>
      </c>
      <c r="D1034" s="2">
        <v>0</v>
      </c>
      <c r="E1034" s="2">
        <v>0</v>
      </c>
    </row>
    <row r="1035" spans="1:5" x14ac:dyDescent="0.2">
      <c r="A1035" t="s">
        <v>95</v>
      </c>
      <c r="B1035" t="s">
        <v>78</v>
      </c>
      <c r="C1035" t="s">
        <v>81</v>
      </c>
      <c r="D1035" s="2">
        <v>0</v>
      </c>
      <c r="E1035" s="2">
        <v>0</v>
      </c>
    </row>
    <row r="1036" spans="1:5" x14ac:dyDescent="0.2">
      <c r="A1036" t="s">
        <v>95</v>
      </c>
      <c r="B1036" t="s">
        <v>78</v>
      </c>
      <c r="C1036" t="s">
        <v>81</v>
      </c>
      <c r="D1036" s="2">
        <v>262.5902026</v>
      </c>
      <c r="E1036" s="2">
        <v>0</v>
      </c>
    </row>
    <row r="1037" spans="1:5" x14ac:dyDescent="0.2">
      <c r="A1037" t="s">
        <v>95</v>
      </c>
      <c r="B1037" t="s">
        <v>78</v>
      </c>
      <c r="C1037" t="s">
        <v>81</v>
      </c>
      <c r="D1037" s="2">
        <v>367.29328600000002</v>
      </c>
      <c r="E1037" s="2">
        <v>0</v>
      </c>
    </row>
    <row r="1038" spans="1:5" x14ac:dyDescent="0.2">
      <c r="A1038" t="s">
        <v>95</v>
      </c>
      <c r="B1038" t="s">
        <v>78</v>
      </c>
      <c r="C1038" t="s">
        <v>81</v>
      </c>
      <c r="D1038" s="2">
        <v>0</v>
      </c>
      <c r="E1038" s="2">
        <v>0</v>
      </c>
    </row>
    <row r="1039" spans="1:5" x14ac:dyDescent="0.2">
      <c r="A1039" t="s">
        <v>95</v>
      </c>
      <c r="B1039" t="s">
        <v>78</v>
      </c>
      <c r="C1039" t="s">
        <v>81</v>
      </c>
      <c r="D1039" s="2">
        <v>688.6272682</v>
      </c>
      <c r="E1039" s="2">
        <v>0</v>
      </c>
    </row>
    <row r="1040" spans="1:5" x14ac:dyDescent="0.2">
      <c r="A1040" t="s">
        <v>95</v>
      </c>
      <c r="B1040" t="s">
        <v>78</v>
      </c>
      <c r="C1040" t="s">
        <v>81</v>
      </c>
      <c r="D1040" s="2">
        <v>0</v>
      </c>
      <c r="E1040" s="2">
        <v>0</v>
      </c>
    </row>
    <row r="1041" spans="1:5" x14ac:dyDescent="0.2">
      <c r="A1041" t="s">
        <v>95</v>
      </c>
      <c r="B1041" t="s">
        <v>78</v>
      </c>
      <c r="C1041" t="s">
        <v>81</v>
      </c>
      <c r="D1041" s="2">
        <v>0</v>
      </c>
      <c r="E1041" s="2">
        <v>0</v>
      </c>
    </row>
    <row r="1042" spans="1:5" x14ac:dyDescent="0.2">
      <c r="A1042" t="s">
        <v>95</v>
      </c>
      <c r="B1042" t="s">
        <v>78</v>
      </c>
      <c r="C1042" t="s">
        <v>81</v>
      </c>
      <c r="D1042" s="2">
        <v>464.7372704</v>
      </c>
      <c r="E1042" s="2">
        <v>0</v>
      </c>
    </row>
    <row r="1043" spans="1:5" x14ac:dyDescent="0.2">
      <c r="A1043" t="s">
        <v>95</v>
      </c>
      <c r="B1043" t="s">
        <v>78</v>
      </c>
      <c r="C1043" t="s">
        <v>81</v>
      </c>
      <c r="D1043" s="2">
        <v>0</v>
      </c>
      <c r="E1043" s="2">
        <v>0</v>
      </c>
    </row>
    <row r="1044" spans="1:5" x14ac:dyDescent="0.2">
      <c r="A1044" t="s">
        <v>94</v>
      </c>
      <c r="B1044" t="s">
        <v>78</v>
      </c>
      <c r="C1044" t="s">
        <v>81</v>
      </c>
      <c r="D1044" s="2">
        <v>0</v>
      </c>
      <c r="E1044" s="2">
        <v>0</v>
      </c>
    </row>
    <row r="1045" spans="1:5" x14ac:dyDescent="0.2">
      <c r="A1045" t="s">
        <v>94</v>
      </c>
      <c r="B1045" t="s">
        <v>78</v>
      </c>
      <c r="C1045" t="s">
        <v>81</v>
      </c>
      <c r="D1045" s="2">
        <v>0</v>
      </c>
      <c r="E1045" s="2">
        <v>0</v>
      </c>
    </row>
    <row r="1046" spans="1:5" x14ac:dyDescent="0.2">
      <c r="A1046" t="s">
        <v>94</v>
      </c>
      <c r="B1046" t="s">
        <v>78</v>
      </c>
      <c r="C1046" t="s">
        <v>81</v>
      </c>
      <c r="D1046" s="2">
        <v>0</v>
      </c>
      <c r="E1046" s="2">
        <v>0</v>
      </c>
    </row>
    <row r="1047" spans="1:5" x14ac:dyDescent="0.2">
      <c r="A1047" t="s">
        <v>94</v>
      </c>
      <c r="B1047" t="s">
        <v>78</v>
      </c>
      <c r="C1047" t="s">
        <v>81</v>
      </c>
      <c r="D1047" s="2">
        <v>537.93193199999996</v>
      </c>
      <c r="E1047" s="2">
        <v>0</v>
      </c>
    </row>
    <row r="1048" spans="1:5" x14ac:dyDescent="0.2">
      <c r="A1048" t="s">
        <v>94</v>
      </c>
      <c r="B1048" t="s">
        <v>78</v>
      </c>
      <c r="C1048" t="s">
        <v>81</v>
      </c>
      <c r="D1048" s="2">
        <v>0</v>
      </c>
      <c r="E1048" s="2">
        <v>0</v>
      </c>
    </row>
    <row r="1049" spans="1:5" x14ac:dyDescent="0.2">
      <c r="A1049" t="s">
        <v>94</v>
      </c>
      <c r="B1049" t="s">
        <v>78</v>
      </c>
      <c r="C1049" t="s">
        <v>81</v>
      </c>
      <c r="D1049" s="2">
        <v>216.85143339999999</v>
      </c>
      <c r="E1049" s="2">
        <v>0</v>
      </c>
    </row>
    <row r="1050" spans="1:5" x14ac:dyDescent="0.2">
      <c r="A1050" t="s">
        <v>94</v>
      </c>
      <c r="B1050" t="s">
        <v>78</v>
      </c>
      <c r="C1050" t="s">
        <v>81</v>
      </c>
      <c r="D1050" s="2">
        <v>152.59273200000001</v>
      </c>
      <c r="E1050" s="2">
        <v>0</v>
      </c>
    </row>
    <row r="1051" spans="1:5" x14ac:dyDescent="0.2">
      <c r="A1051" t="s">
        <v>96</v>
      </c>
      <c r="B1051" t="s">
        <v>78</v>
      </c>
      <c r="C1051" t="s">
        <v>81</v>
      </c>
      <c r="D1051" s="2">
        <v>257.91340400000001</v>
      </c>
      <c r="E1051" s="2">
        <v>0</v>
      </c>
    </row>
    <row r="1052" spans="1:5" x14ac:dyDescent="0.2">
      <c r="A1052" t="s">
        <v>96</v>
      </c>
      <c r="B1052" t="s">
        <v>78</v>
      </c>
      <c r="C1052" t="s">
        <v>81</v>
      </c>
      <c r="D1052" s="2">
        <v>197.81089399999999</v>
      </c>
      <c r="E1052" s="2">
        <v>0</v>
      </c>
    </row>
    <row r="1053" spans="1:5" x14ac:dyDescent="0.2">
      <c r="A1053" t="s">
        <v>96</v>
      </c>
      <c r="B1053" t="s">
        <v>78</v>
      </c>
      <c r="C1053" t="s">
        <v>81</v>
      </c>
      <c r="D1053" s="2">
        <v>74.797998000000007</v>
      </c>
      <c r="E1053" s="2">
        <v>0</v>
      </c>
    </row>
    <row r="1054" spans="1:5" x14ac:dyDescent="0.2">
      <c r="A1054" t="s">
        <v>96</v>
      </c>
      <c r="B1054" t="s">
        <v>78</v>
      </c>
      <c r="C1054" t="s">
        <v>81</v>
      </c>
      <c r="D1054" s="2">
        <v>62.335383999999998</v>
      </c>
      <c r="E1054" s="2">
        <v>0</v>
      </c>
    </row>
    <row r="1055" spans="1:5" x14ac:dyDescent="0.2">
      <c r="A1055" t="s">
        <v>96</v>
      </c>
      <c r="B1055" t="s">
        <v>78</v>
      </c>
      <c r="C1055" t="s">
        <v>81</v>
      </c>
      <c r="D1055" s="2">
        <v>0</v>
      </c>
      <c r="E1055" s="2">
        <v>0</v>
      </c>
    </row>
    <row r="1056" spans="1:5" x14ac:dyDescent="0.2">
      <c r="A1056" t="s">
        <v>96</v>
      </c>
      <c r="B1056" t="s">
        <v>78</v>
      </c>
      <c r="C1056" t="s">
        <v>81</v>
      </c>
      <c r="D1056" s="2">
        <v>0</v>
      </c>
      <c r="E1056" s="2">
        <v>0</v>
      </c>
    </row>
    <row r="1057" spans="1:5" x14ac:dyDescent="0.2">
      <c r="A1057" t="s">
        <v>96</v>
      </c>
      <c r="B1057" t="s">
        <v>78</v>
      </c>
      <c r="C1057" t="s">
        <v>81</v>
      </c>
      <c r="D1057" s="2">
        <v>0</v>
      </c>
      <c r="E1057" s="2">
        <v>0</v>
      </c>
    </row>
    <row r="1058" spans="1:5" x14ac:dyDescent="0.2">
      <c r="A1058" t="s">
        <v>93</v>
      </c>
      <c r="B1058" t="s">
        <v>65</v>
      </c>
      <c r="C1058" t="s">
        <v>81</v>
      </c>
      <c r="D1058" s="2">
        <v>0</v>
      </c>
      <c r="E1058" s="2">
        <v>0</v>
      </c>
    </row>
    <row r="1059" spans="1:5" x14ac:dyDescent="0.2">
      <c r="A1059" t="s">
        <v>93</v>
      </c>
      <c r="B1059" t="s">
        <v>65</v>
      </c>
      <c r="C1059" t="s">
        <v>81</v>
      </c>
      <c r="D1059" s="2">
        <v>0</v>
      </c>
      <c r="E1059" s="2">
        <v>0</v>
      </c>
    </row>
    <row r="1060" spans="1:5" x14ac:dyDescent="0.2">
      <c r="A1060" t="s">
        <v>93</v>
      </c>
      <c r="B1060" t="s">
        <v>65</v>
      </c>
      <c r="C1060" t="s">
        <v>81</v>
      </c>
      <c r="D1060" s="2">
        <v>0</v>
      </c>
      <c r="E1060" s="2">
        <v>48</v>
      </c>
    </row>
    <row r="1061" spans="1:5" x14ac:dyDescent="0.2">
      <c r="A1061" t="s">
        <v>93</v>
      </c>
      <c r="B1061" t="s">
        <v>65</v>
      </c>
      <c r="C1061" t="s">
        <v>81</v>
      </c>
      <c r="D1061" s="2">
        <v>0</v>
      </c>
      <c r="E1061" s="2">
        <v>20</v>
      </c>
    </row>
    <row r="1062" spans="1:5" x14ac:dyDescent="0.2">
      <c r="A1062" t="s">
        <v>95</v>
      </c>
      <c r="B1062" t="s">
        <v>65</v>
      </c>
      <c r="C1062" t="s">
        <v>81</v>
      </c>
      <c r="D1062" s="2">
        <v>0</v>
      </c>
      <c r="E1062" s="2">
        <v>0</v>
      </c>
    </row>
    <row r="1063" spans="1:5" x14ac:dyDescent="0.2">
      <c r="A1063" t="s">
        <v>95</v>
      </c>
      <c r="B1063" t="s">
        <v>65</v>
      </c>
      <c r="C1063" t="s">
        <v>81</v>
      </c>
      <c r="D1063" s="2">
        <v>0</v>
      </c>
      <c r="E1063" s="2">
        <v>0</v>
      </c>
    </row>
    <row r="1064" spans="1:5" x14ac:dyDescent="0.2">
      <c r="A1064" t="s">
        <v>95</v>
      </c>
      <c r="B1064" t="s">
        <v>65</v>
      </c>
      <c r="C1064" t="s">
        <v>81</v>
      </c>
      <c r="D1064" s="2">
        <v>0</v>
      </c>
      <c r="E1064" s="2">
        <v>0</v>
      </c>
    </row>
    <row r="1065" spans="1:5" x14ac:dyDescent="0.2">
      <c r="A1065" t="s">
        <v>95</v>
      </c>
      <c r="B1065" t="s">
        <v>65</v>
      </c>
      <c r="C1065" t="s">
        <v>81</v>
      </c>
      <c r="D1065" s="2">
        <v>0</v>
      </c>
      <c r="E1065" s="2">
        <v>0</v>
      </c>
    </row>
    <row r="1066" spans="1:5" x14ac:dyDescent="0.2">
      <c r="A1066" t="s">
        <v>95</v>
      </c>
      <c r="B1066" t="s">
        <v>65</v>
      </c>
      <c r="C1066" t="s">
        <v>81</v>
      </c>
      <c r="D1066" s="2">
        <v>0</v>
      </c>
      <c r="E1066" s="2">
        <v>0</v>
      </c>
    </row>
    <row r="1067" spans="1:5" x14ac:dyDescent="0.2">
      <c r="A1067" t="s">
        <v>95</v>
      </c>
      <c r="B1067" t="s">
        <v>65</v>
      </c>
      <c r="C1067" t="s">
        <v>81</v>
      </c>
      <c r="D1067" s="2">
        <v>0</v>
      </c>
      <c r="E1067" s="2">
        <v>0</v>
      </c>
    </row>
    <row r="1068" spans="1:5" x14ac:dyDescent="0.2">
      <c r="A1068" t="s">
        <v>95</v>
      </c>
      <c r="B1068" t="s">
        <v>65</v>
      </c>
      <c r="C1068" t="s">
        <v>81</v>
      </c>
      <c r="D1068" s="2">
        <v>0</v>
      </c>
      <c r="E1068" s="2">
        <v>248</v>
      </c>
    </row>
    <row r="1069" spans="1:5" x14ac:dyDescent="0.2">
      <c r="A1069" t="s">
        <v>95</v>
      </c>
      <c r="B1069" t="s">
        <v>65</v>
      </c>
      <c r="C1069" t="s">
        <v>81</v>
      </c>
      <c r="D1069" s="2">
        <v>0</v>
      </c>
      <c r="E1069" s="2">
        <v>296</v>
      </c>
    </row>
    <row r="1070" spans="1:5" x14ac:dyDescent="0.2">
      <c r="A1070" t="s">
        <v>95</v>
      </c>
      <c r="B1070" t="s">
        <v>65</v>
      </c>
      <c r="C1070" t="s">
        <v>81</v>
      </c>
      <c r="D1070" s="2">
        <v>0</v>
      </c>
      <c r="E1070" s="2">
        <v>0</v>
      </c>
    </row>
    <row r="1071" spans="1:5" x14ac:dyDescent="0.2">
      <c r="A1071" t="s">
        <v>95</v>
      </c>
      <c r="B1071" t="s">
        <v>65</v>
      </c>
      <c r="C1071" t="s">
        <v>81</v>
      </c>
      <c r="D1071" s="2">
        <v>0</v>
      </c>
      <c r="E1071" s="2">
        <v>306</v>
      </c>
    </row>
    <row r="1072" spans="1:5" x14ac:dyDescent="0.2">
      <c r="A1072" t="s">
        <v>95</v>
      </c>
      <c r="B1072" t="s">
        <v>65</v>
      </c>
      <c r="C1072" t="s">
        <v>81</v>
      </c>
      <c r="D1072" s="2">
        <v>0</v>
      </c>
      <c r="E1072" s="2">
        <v>0</v>
      </c>
    </row>
    <row r="1073" spans="1:5" x14ac:dyDescent="0.2">
      <c r="A1073" t="s">
        <v>95</v>
      </c>
      <c r="B1073" t="s">
        <v>65</v>
      </c>
      <c r="C1073" t="s">
        <v>81</v>
      </c>
      <c r="D1073" s="2">
        <v>0</v>
      </c>
      <c r="E1073" s="2">
        <v>0</v>
      </c>
    </row>
    <row r="1074" spans="1:5" x14ac:dyDescent="0.2">
      <c r="A1074" t="s">
        <v>95</v>
      </c>
      <c r="B1074" t="s">
        <v>65</v>
      </c>
      <c r="C1074" t="s">
        <v>81</v>
      </c>
      <c r="D1074" s="2">
        <v>0</v>
      </c>
      <c r="E1074" s="2">
        <v>346</v>
      </c>
    </row>
    <row r="1075" spans="1:5" x14ac:dyDescent="0.2">
      <c r="A1075" t="s">
        <v>95</v>
      </c>
      <c r="B1075" t="s">
        <v>65</v>
      </c>
      <c r="C1075" t="s">
        <v>81</v>
      </c>
      <c r="D1075" s="2">
        <v>0</v>
      </c>
      <c r="E1075" s="2">
        <v>0</v>
      </c>
    </row>
    <row r="1076" spans="1:5" x14ac:dyDescent="0.2">
      <c r="A1076" t="s">
        <v>94</v>
      </c>
      <c r="B1076" t="s">
        <v>65</v>
      </c>
      <c r="C1076" t="s">
        <v>81</v>
      </c>
      <c r="D1076" s="2">
        <v>0</v>
      </c>
      <c r="E1076" s="2">
        <v>0</v>
      </c>
    </row>
    <row r="1077" spans="1:5" x14ac:dyDescent="0.2">
      <c r="A1077" t="s">
        <v>94</v>
      </c>
      <c r="B1077" t="s">
        <v>65</v>
      </c>
      <c r="C1077" t="s">
        <v>81</v>
      </c>
      <c r="D1077" s="2">
        <v>0</v>
      </c>
      <c r="E1077" s="2">
        <v>0</v>
      </c>
    </row>
    <row r="1078" spans="1:5" x14ac:dyDescent="0.2">
      <c r="A1078" t="s">
        <v>94</v>
      </c>
      <c r="B1078" t="s">
        <v>65</v>
      </c>
      <c r="C1078" t="s">
        <v>81</v>
      </c>
      <c r="D1078" s="2">
        <v>0</v>
      </c>
      <c r="E1078" s="2">
        <v>0</v>
      </c>
    </row>
    <row r="1079" spans="1:5" x14ac:dyDescent="0.2">
      <c r="A1079" t="s">
        <v>94</v>
      </c>
      <c r="B1079" t="s">
        <v>65</v>
      </c>
      <c r="C1079" t="s">
        <v>81</v>
      </c>
      <c r="D1079" s="2">
        <v>0</v>
      </c>
      <c r="E1079" s="2">
        <v>38</v>
      </c>
    </row>
    <row r="1080" spans="1:5" x14ac:dyDescent="0.2">
      <c r="A1080" t="s">
        <v>94</v>
      </c>
      <c r="B1080" t="s">
        <v>65</v>
      </c>
      <c r="C1080" t="s">
        <v>81</v>
      </c>
      <c r="D1080" s="2">
        <v>0</v>
      </c>
      <c r="E1080" s="2">
        <v>0</v>
      </c>
    </row>
    <row r="1081" spans="1:5" x14ac:dyDescent="0.2">
      <c r="A1081" t="s">
        <v>94</v>
      </c>
      <c r="B1081" t="s">
        <v>65</v>
      </c>
      <c r="C1081" t="s">
        <v>81</v>
      </c>
      <c r="D1081" s="2">
        <v>0</v>
      </c>
      <c r="E1081" s="2">
        <v>12</v>
      </c>
    </row>
    <row r="1082" spans="1:5" x14ac:dyDescent="0.2">
      <c r="A1082" t="s">
        <v>94</v>
      </c>
      <c r="B1082" t="s">
        <v>65</v>
      </c>
      <c r="C1082" t="s">
        <v>81</v>
      </c>
      <c r="D1082" s="2">
        <v>0</v>
      </c>
      <c r="E1082" s="2">
        <v>0</v>
      </c>
    </row>
    <row r="1083" spans="1:5" x14ac:dyDescent="0.2">
      <c r="A1083" t="s">
        <v>96</v>
      </c>
      <c r="B1083" t="s">
        <v>65</v>
      </c>
      <c r="C1083" t="s">
        <v>81</v>
      </c>
      <c r="D1083" s="2">
        <v>0</v>
      </c>
      <c r="E1083" s="2">
        <v>232</v>
      </c>
    </row>
    <row r="1084" spans="1:5" x14ac:dyDescent="0.2">
      <c r="A1084" t="s">
        <v>96</v>
      </c>
      <c r="B1084" t="s">
        <v>65</v>
      </c>
      <c r="C1084" t="s">
        <v>81</v>
      </c>
      <c r="D1084" s="2">
        <v>0</v>
      </c>
      <c r="E1084" s="2">
        <v>74</v>
      </c>
    </row>
    <row r="1085" spans="1:5" x14ac:dyDescent="0.2">
      <c r="A1085" t="s">
        <v>96</v>
      </c>
      <c r="B1085" t="s">
        <v>65</v>
      </c>
      <c r="C1085" t="s">
        <v>81</v>
      </c>
      <c r="D1085" s="2">
        <v>0</v>
      </c>
      <c r="E1085" s="2">
        <v>10</v>
      </c>
    </row>
    <row r="1086" spans="1:5" x14ac:dyDescent="0.2">
      <c r="A1086" t="s">
        <v>96</v>
      </c>
      <c r="B1086" t="s">
        <v>65</v>
      </c>
      <c r="C1086" t="s">
        <v>81</v>
      </c>
      <c r="D1086" s="2">
        <v>0</v>
      </c>
      <c r="E1086" s="2">
        <v>24</v>
      </c>
    </row>
    <row r="1087" spans="1:5" x14ac:dyDescent="0.2">
      <c r="A1087" t="s">
        <v>96</v>
      </c>
      <c r="B1087" t="s">
        <v>65</v>
      </c>
      <c r="C1087" t="s">
        <v>81</v>
      </c>
      <c r="D1087" s="2">
        <v>0</v>
      </c>
      <c r="E1087" s="2">
        <v>0</v>
      </c>
    </row>
    <row r="1088" spans="1:5" x14ac:dyDescent="0.2">
      <c r="A1088" t="s">
        <v>96</v>
      </c>
      <c r="B1088" t="s">
        <v>65</v>
      </c>
      <c r="C1088" t="s">
        <v>81</v>
      </c>
      <c r="D1088" s="2">
        <v>0</v>
      </c>
      <c r="E1088" s="2">
        <v>0</v>
      </c>
    </row>
    <row r="1089" spans="1:5" x14ac:dyDescent="0.2">
      <c r="A1089" t="s">
        <v>96</v>
      </c>
      <c r="B1089" t="s">
        <v>65</v>
      </c>
      <c r="C1089" t="s">
        <v>81</v>
      </c>
      <c r="D1089" s="2">
        <v>0</v>
      </c>
      <c r="E1089" s="2">
        <v>0</v>
      </c>
    </row>
    <row r="1090" spans="1:5" x14ac:dyDescent="0.2">
      <c r="A1090" t="s">
        <v>93</v>
      </c>
      <c r="B1090" t="s">
        <v>43</v>
      </c>
      <c r="C1090" t="s">
        <v>81</v>
      </c>
      <c r="D1090" s="2">
        <v>0</v>
      </c>
      <c r="E1090" s="2">
        <v>0</v>
      </c>
    </row>
    <row r="1091" spans="1:5" x14ac:dyDescent="0.2">
      <c r="A1091" t="s">
        <v>93</v>
      </c>
      <c r="B1091" t="s">
        <v>43</v>
      </c>
      <c r="C1091" t="s">
        <v>81</v>
      </c>
      <c r="D1091" s="2">
        <v>0</v>
      </c>
      <c r="E1091" s="2">
        <v>0</v>
      </c>
    </row>
    <row r="1092" spans="1:5" x14ac:dyDescent="0.2">
      <c r="A1092" t="s">
        <v>93</v>
      </c>
      <c r="B1092" t="s">
        <v>43</v>
      </c>
      <c r="C1092" t="s">
        <v>81</v>
      </c>
      <c r="D1092" s="2">
        <v>52.309148800000003</v>
      </c>
      <c r="E1092" s="2">
        <v>76</v>
      </c>
    </row>
    <row r="1093" spans="1:5" x14ac:dyDescent="0.2">
      <c r="A1093" t="s">
        <v>93</v>
      </c>
      <c r="B1093" t="s">
        <v>43</v>
      </c>
      <c r="C1093" t="s">
        <v>81</v>
      </c>
      <c r="D1093" s="2">
        <v>38.008918999999999</v>
      </c>
      <c r="E1093" s="2">
        <v>16</v>
      </c>
    </row>
    <row r="1094" spans="1:5" x14ac:dyDescent="0.2">
      <c r="A1094" t="s">
        <v>95</v>
      </c>
      <c r="B1094" t="s">
        <v>43</v>
      </c>
      <c r="C1094" t="s">
        <v>81</v>
      </c>
      <c r="D1094" s="2">
        <v>0</v>
      </c>
      <c r="E1094" s="2">
        <v>0</v>
      </c>
    </row>
    <row r="1095" spans="1:5" x14ac:dyDescent="0.2">
      <c r="A1095" t="s">
        <v>95</v>
      </c>
      <c r="B1095" t="s">
        <v>43</v>
      </c>
      <c r="C1095" t="s">
        <v>81</v>
      </c>
      <c r="D1095" s="2">
        <v>0</v>
      </c>
      <c r="E1095" s="2">
        <v>0</v>
      </c>
    </row>
    <row r="1096" spans="1:5" x14ac:dyDescent="0.2">
      <c r="A1096" t="s">
        <v>95</v>
      </c>
      <c r="B1096" t="s">
        <v>43</v>
      </c>
      <c r="C1096" t="s">
        <v>81</v>
      </c>
      <c r="D1096" s="2">
        <v>0</v>
      </c>
      <c r="E1096" s="2">
        <v>0</v>
      </c>
    </row>
    <row r="1097" spans="1:5" x14ac:dyDescent="0.2">
      <c r="A1097" t="s">
        <v>95</v>
      </c>
      <c r="B1097" t="s">
        <v>43</v>
      </c>
      <c r="C1097" t="s">
        <v>81</v>
      </c>
      <c r="D1097" s="2">
        <v>0</v>
      </c>
      <c r="E1097" s="2">
        <v>0</v>
      </c>
    </row>
    <row r="1098" spans="1:5" x14ac:dyDescent="0.2">
      <c r="A1098" t="s">
        <v>95</v>
      </c>
      <c r="B1098" t="s">
        <v>43</v>
      </c>
      <c r="C1098" t="s">
        <v>81</v>
      </c>
      <c r="D1098" s="2">
        <v>0</v>
      </c>
      <c r="E1098" s="2">
        <v>0</v>
      </c>
    </row>
    <row r="1099" spans="1:5" x14ac:dyDescent="0.2">
      <c r="A1099" t="s">
        <v>95</v>
      </c>
      <c r="B1099" t="s">
        <v>43</v>
      </c>
      <c r="C1099" t="s">
        <v>81</v>
      </c>
      <c r="D1099" s="2">
        <v>0</v>
      </c>
      <c r="E1099" s="2">
        <v>0</v>
      </c>
    </row>
    <row r="1100" spans="1:5" x14ac:dyDescent="0.2">
      <c r="A1100" t="s">
        <v>95</v>
      </c>
      <c r="B1100" t="s">
        <v>43</v>
      </c>
      <c r="C1100" t="s">
        <v>81</v>
      </c>
      <c r="D1100" s="2">
        <v>258.92981459999999</v>
      </c>
      <c r="E1100" s="2">
        <v>282</v>
      </c>
    </row>
    <row r="1101" spans="1:5" x14ac:dyDescent="0.2">
      <c r="A1101" t="s">
        <v>95</v>
      </c>
      <c r="B1101" t="s">
        <v>43</v>
      </c>
      <c r="C1101" t="s">
        <v>81</v>
      </c>
      <c r="D1101" s="2">
        <v>263.474084</v>
      </c>
      <c r="E1101" s="2">
        <v>332</v>
      </c>
    </row>
    <row r="1102" spans="1:5" x14ac:dyDescent="0.2">
      <c r="A1102" t="s">
        <v>95</v>
      </c>
      <c r="B1102" t="s">
        <v>43</v>
      </c>
      <c r="C1102" t="s">
        <v>81</v>
      </c>
      <c r="D1102" s="2">
        <v>0</v>
      </c>
      <c r="E1102" s="2">
        <v>0</v>
      </c>
    </row>
    <row r="1103" spans="1:5" x14ac:dyDescent="0.2">
      <c r="A1103" t="s">
        <v>95</v>
      </c>
      <c r="B1103" t="s">
        <v>43</v>
      </c>
      <c r="C1103" t="s">
        <v>81</v>
      </c>
      <c r="D1103" s="2">
        <v>599.52135820000001</v>
      </c>
      <c r="E1103" s="2">
        <v>404</v>
      </c>
    </row>
    <row r="1104" spans="1:5" x14ac:dyDescent="0.2">
      <c r="A1104" t="s">
        <v>95</v>
      </c>
      <c r="B1104" t="s">
        <v>43</v>
      </c>
      <c r="C1104" t="s">
        <v>81</v>
      </c>
      <c r="D1104" s="2">
        <v>0</v>
      </c>
      <c r="E1104" s="2">
        <v>0</v>
      </c>
    </row>
    <row r="1105" spans="1:5" x14ac:dyDescent="0.2">
      <c r="A1105" t="s">
        <v>95</v>
      </c>
      <c r="B1105" t="s">
        <v>43</v>
      </c>
      <c r="C1105" t="s">
        <v>81</v>
      </c>
      <c r="D1105" s="2">
        <v>0</v>
      </c>
      <c r="E1105" s="2">
        <v>0</v>
      </c>
    </row>
    <row r="1106" spans="1:5" x14ac:dyDescent="0.2">
      <c r="A1106" t="s">
        <v>95</v>
      </c>
      <c r="B1106" t="s">
        <v>43</v>
      </c>
      <c r="C1106" t="s">
        <v>81</v>
      </c>
      <c r="D1106" s="2">
        <v>335.9641216</v>
      </c>
      <c r="E1106" s="2">
        <v>400</v>
      </c>
    </row>
    <row r="1107" spans="1:5" x14ac:dyDescent="0.2">
      <c r="A1107" t="s">
        <v>95</v>
      </c>
      <c r="B1107" t="s">
        <v>43</v>
      </c>
      <c r="C1107" t="s">
        <v>81</v>
      </c>
      <c r="D1107" s="2">
        <v>0</v>
      </c>
      <c r="E1107" s="2">
        <v>0</v>
      </c>
    </row>
    <row r="1108" spans="1:5" x14ac:dyDescent="0.2">
      <c r="A1108" t="s">
        <v>94</v>
      </c>
      <c r="B1108" t="s">
        <v>43</v>
      </c>
      <c r="C1108" t="s">
        <v>81</v>
      </c>
      <c r="D1108" s="2">
        <v>0</v>
      </c>
      <c r="E1108" s="2">
        <v>0</v>
      </c>
    </row>
    <row r="1109" spans="1:5" x14ac:dyDescent="0.2">
      <c r="A1109" t="s">
        <v>94</v>
      </c>
      <c r="B1109" t="s">
        <v>43</v>
      </c>
      <c r="C1109" t="s">
        <v>81</v>
      </c>
      <c r="D1109" s="2">
        <v>0</v>
      </c>
      <c r="E1109" s="2">
        <v>0</v>
      </c>
    </row>
    <row r="1110" spans="1:5" x14ac:dyDescent="0.2">
      <c r="A1110" t="s">
        <v>94</v>
      </c>
      <c r="B1110" t="s">
        <v>43</v>
      </c>
      <c r="C1110" t="s">
        <v>81</v>
      </c>
      <c r="D1110" s="2">
        <v>0</v>
      </c>
      <c r="E1110" s="2">
        <v>0</v>
      </c>
    </row>
    <row r="1111" spans="1:5" x14ac:dyDescent="0.2">
      <c r="A1111" t="s">
        <v>94</v>
      </c>
      <c r="B1111" t="s">
        <v>43</v>
      </c>
      <c r="C1111" t="s">
        <v>81</v>
      </c>
      <c r="D1111" s="2">
        <v>114.46141780000001</v>
      </c>
      <c r="E1111" s="2">
        <v>194</v>
      </c>
    </row>
    <row r="1112" spans="1:5" x14ac:dyDescent="0.2">
      <c r="A1112" t="s">
        <v>94</v>
      </c>
      <c r="B1112" t="s">
        <v>43</v>
      </c>
      <c r="C1112" t="s">
        <v>81</v>
      </c>
      <c r="D1112" s="2">
        <v>0</v>
      </c>
      <c r="E1112" s="2">
        <v>0</v>
      </c>
    </row>
    <row r="1113" spans="1:5" x14ac:dyDescent="0.2">
      <c r="A1113" t="s">
        <v>94</v>
      </c>
      <c r="B1113" t="s">
        <v>43</v>
      </c>
      <c r="C1113" t="s">
        <v>81</v>
      </c>
      <c r="D1113" s="2">
        <v>107.30787340000001</v>
      </c>
      <c r="E1113" s="2">
        <v>56</v>
      </c>
    </row>
    <row r="1114" spans="1:5" x14ac:dyDescent="0.2">
      <c r="A1114" t="s">
        <v>94</v>
      </c>
      <c r="B1114" t="s">
        <v>43</v>
      </c>
      <c r="C1114" t="s">
        <v>81</v>
      </c>
      <c r="D1114" s="2">
        <v>0</v>
      </c>
      <c r="E1114" s="2">
        <v>20</v>
      </c>
    </row>
    <row r="1115" spans="1:5" x14ac:dyDescent="0.2">
      <c r="A1115" t="s">
        <v>96</v>
      </c>
      <c r="B1115" t="s">
        <v>43</v>
      </c>
      <c r="C1115" t="s">
        <v>81</v>
      </c>
      <c r="D1115" s="2">
        <v>168.70798780000001</v>
      </c>
      <c r="E1115" s="2">
        <v>208</v>
      </c>
    </row>
    <row r="1116" spans="1:5" x14ac:dyDescent="0.2">
      <c r="A1116" t="s">
        <v>96</v>
      </c>
      <c r="B1116" t="s">
        <v>43</v>
      </c>
      <c r="C1116" t="s">
        <v>81</v>
      </c>
      <c r="D1116" s="2">
        <v>140.88254620000001</v>
      </c>
      <c r="E1116" s="2">
        <v>126</v>
      </c>
    </row>
    <row r="1117" spans="1:5" x14ac:dyDescent="0.2">
      <c r="A1117" t="s">
        <v>96</v>
      </c>
      <c r="B1117" t="s">
        <v>43</v>
      </c>
      <c r="C1117" t="s">
        <v>81</v>
      </c>
      <c r="D1117" s="2">
        <v>0</v>
      </c>
      <c r="E1117" s="2">
        <v>4</v>
      </c>
    </row>
    <row r="1118" spans="1:5" x14ac:dyDescent="0.2">
      <c r="A1118" t="s">
        <v>96</v>
      </c>
      <c r="B1118" t="s">
        <v>43</v>
      </c>
      <c r="C1118" t="s">
        <v>81</v>
      </c>
      <c r="D1118" s="2">
        <v>68.612102199999995</v>
      </c>
      <c r="E1118" s="2">
        <v>74</v>
      </c>
    </row>
    <row r="1119" spans="1:5" x14ac:dyDescent="0.2">
      <c r="A1119" t="s">
        <v>96</v>
      </c>
      <c r="B1119" t="s">
        <v>43</v>
      </c>
      <c r="C1119" t="s">
        <v>81</v>
      </c>
      <c r="D1119" s="2">
        <v>0</v>
      </c>
      <c r="E1119" s="2">
        <v>0</v>
      </c>
    </row>
    <row r="1120" spans="1:5" x14ac:dyDescent="0.2">
      <c r="A1120" t="s">
        <v>96</v>
      </c>
      <c r="B1120" t="s">
        <v>43</v>
      </c>
      <c r="C1120" t="s">
        <v>81</v>
      </c>
      <c r="D1120" s="2">
        <v>0</v>
      </c>
      <c r="E1120" s="2">
        <v>0</v>
      </c>
    </row>
    <row r="1121" spans="1:5" x14ac:dyDescent="0.2">
      <c r="A1121" t="s">
        <v>96</v>
      </c>
      <c r="B1121" t="s">
        <v>43</v>
      </c>
      <c r="C1121" t="s">
        <v>81</v>
      </c>
      <c r="D1121" s="2">
        <v>0</v>
      </c>
      <c r="E1121" s="2">
        <v>0</v>
      </c>
    </row>
    <row r="1122" spans="1:5" x14ac:dyDescent="0.2">
      <c r="A1122" t="s">
        <v>93</v>
      </c>
      <c r="B1122" t="s">
        <v>77</v>
      </c>
      <c r="C1122" t="s">
        <v>81</v>
      </c>
      <c r="D1122" s="2">
        <v>0</v>
      </c>
      <c r="E1122" s="2">
        <v>0</v>
      </c>
    </row>
    <row r="1123" spans="1:5" x14ac:dyDescent="0.2">
      <c r="A1123" t="s">
        <v>93</v>
      </c>
      <c r="B1123" t="s">
        <v>77</v>
      </c>
      <c r="C1123" t="s">
        <v>81</v>
      </c>
      <c r="D1123" s="2">
        <v>0</v>
      </c>
      <c r="E1123" s="2">
        <v>0</v>
      </c>
    </row>
    <row r="1124" spans="1:5" x14ac:dyDescent="0.2">
      <c r="A1124" t="s">
        <v>93</v>
      </c>
      <c r="B1124" t="s">
        <v>77</v>
      </c>
      <c r="C1124" t="s">
        <v>81</v>
      </c>
      <c r="D1124" s="2">
        <v>66.197347399999998</v>
      </c>
      <c r="E1124" s="2">
        <v>0</v>
      </c>
    </row>
    <row r="1125" spans="1:5" x14ac:dyDescent="0.2">
      <c r="A1125" t="s">
        <v>93</v>
      </c>
      <c r="B1125" t="s">
        <v>77</v>
      </c>
      <c r="C1125" t="s">
        <v>81</v>
      </c>
      <c r="D1125" s="2">
        <v>24.808955399999999</v>
      </c>
      <c r="E1125" s="2">
        <v>0</v>
      </c>
    </row>
    <row r="1126" spans="1:5" x14ac:dyDescent="0.2">
      <c r="A1126" t="s">
        <v>95</v>
      </c>
      <c r="B1126" t="s">
        <v>77</v>
      </c>
      <c r="C1126" t="s">
        <v>81</v>
      </c>
      <c r="D1126" s="2">
        <v>0</v>
      </c>
      <c r="E1126" s="2">
        <v>0</v>
      </c>
    </row>
    <row r="1127" spans="1:5" x14ac:dyDescent="0.2">
      <c r="A1127" t="s">
        <v>95</v>
      </c>
      <c r="B1127" t="s">
        <v>77</v>
      </c>
      <c r="C1127" t="s">
        <v>81</v>
      </c>
      <c r="D1127" s="2">
        <v>0</v>
      </c>
      <c r="E1127" s="2">
        <v>0</v>
      </c>
    </row>
    <row r="1128" spans="1:5" x14ac:dyDescent="0.2">
      <c r="A1128" t="s">
        <v>95</v>
      </c>
      <c r="B1128" t="s">
        <v>77</v>
      </c>
      <c r="C1128" t="s">
        <v>81</v>
      </c>
      <c r="D1128" s="2">
        <v>0</v>
      </c>
      <c r="E1128" s="2">
        <v>0</v>
      </c>
    </row>
    <row r="1129" spans="1:5" x14ac:dyDescent="0.2">
      <c r="A1129" t="s">
        <v>95</v>
      </c>
      <c r="B1129" t="s">
        <v>77</v>
      </c>
      <c r="C1129" t="s">
        <v>81</v>
      </c>
      <c r="D1129" s="2">
        <v>0</v>
      </c>
      <c r="E1129" s="2">
        <v>0</v>
      </c>
    </row>
    <row r="1130" spans="1:5" x14ac:dyDescent="0.2">
      <c r="A1130" t="s">
        <v>95</v>
      </c>
      <c r="B1130" t="s">
        <v>77</v>
      </c>
      <c r="C1130" t="s">
        <v>81</v>
      </c>
      <c r="D1130" s="2">
        <v>0</v>
      </c>
      <c r="E1130" s="2">
        <v>0</v>
      </c>
    </row>
    <row r="1131" spans="1:5" x14ac:dyDescent="0.2">
      <c r="A1131" t="s">
        <v>95</v>
      </c>
      <c r="B1131" t="s">
        <v>77</v>
      </c>
      <c r="C1131" t="s">
        <v>81</v>
      </c>
      <c r="D1131" s="2">
        <v>0</v>
      </c>
      <c r="E1131" s="2">
        <v>0</v>
      </c>
    </row>
    <row r="1132" spans="1:5" x14ac:dyDescent="0.2">
      <c r="A1132" t="s">
        <v>95</v>
      </c>
      <c r="B1132" t="s">
        <v>77</v>
      </c>
      <c r="C1132" t="s">
        <v>81</v>
      </c>
      <c r="D1132" s="2">
        <v>266.1969904</v>
      </c>
      <c r="E1132" s="2">
        <v>0</v>
      </c>
    </row>
    <row r="1133" spans="1:5" x14ac:dyDescent="0.2">
      <c r="A1133" t="s">
        <v>95</v>
      </c>
      <c r="B1133" t="s">
        <v>77</v>
      </c>
      <c r="C1133" t="s">
        <v>81</v>
      </c>
      <c r="D1133" s="2">
        <v>309.04342059999999</v>
      </c>
      <c r="E1133" s="2">
        <v>0</v>
      </c>
    </row>
    <row r="1134" spans="1:5" x14ac:dyDescent="0.2">
      <c r="A1134" t="s">
        <v>95</v>
      </c>
      <c r="B1134" t="s">
        <v>77</v>
      </c>
      <c r="C1134" t="s">
        <v>81</v>
      </c>
      <c r="D1134" s="2">
        <v>0</v>
      </c>
      <c r="E1134" s="2">
        <v>0</v>
      </c>
    </row>
    <row r="1135" spans="1:5" x14ac:dyDescent="0.2">
      <c r="A1135" t="s">
        <v>95</v>
      </c>
      <c r="B1135" t="s">
        <v>77</v>
      </c>
      <c r="C1135" t="s">
        <v>81</v>
      </c>
      <c r="D1135" s="2">
        <v>741.36557600000003</v>
      </c>
      <c r="E1135" s="2">
        <v>0</v>
      </c>
    </row>
    <row r="1136" spans="1:5" x14ac:dyDescent="0.2">
      <c r="A1136" t="s">
        <v>95</v>
      </c>
      <c r="B1136" t="s">
        <v>77</v>
      </c>
      <c r="C1136" t="s">
        <v>81</v>
      </c>
      <c r="D1136" s="2">
        <v>0</v>
      </c>
      <c r="E1136" s="2">
        <v>0</v>
      </c>
    </row>
    <row r="1137" spans="1:5" x14ac:dyDescent="0.2">
      <c r="A1137" t="s">
        <v>95</v>
      </c>
      <c r="B1137" t="s">
        <v>77</v>
      </c>
      <c r="C1137" t="s">
        <v>81</v>
      </c>
      <c r="D1137" s="2">
        <v>0</v>
      </c>
      <c r="E1137" s="2">
        <v>0</v>
      </c>
    </row>
    <row r="1138" spans="1:5" x14ac:dyDescent="0.2">
      <c r="A1138" t="s">
        <v>95</v>
      </c>
      <c r="B1138" t="s">
        <v>77</v>
      </c>
      <c r="C1138" t="s">
        <v>81</v>
      </c>
      <c r="D1138" s="2">
        <v>371.86617219999999</v>
      </c>
      <c r="E1138" s="2">
        <v>0</v>
      </c>
    </row>
    <row r="1139" spans="1:5" x14ac:dyDescent="0.2">
      <c r="A1139" t="s">
        <v>95</v>
      </c>
      <c r="B1139" t="s">
        <v>77</v>
      </c>
      <c r="C1139" t="s">
        <v>81</v>
      </c>
      <c r="D1139" s="2">
        <v>0</v>
      </c>
      <c r="E1139" s="2">
        <v>0</v>
      </c>
    </row>
    <row r="1140" spans="1:5" x14ac:dyDescent="0.2">
      <c r="A1140" t="s">
        <v>94</v>
      </c>
      <c r="B1140" t="s">
        <v>77</v>
      </c>
      <c r="C1140" t="s">
        <v>81</v>
      </c>
      <c r="D1140" s="2">
        <v>0</v>
      </c>
      <c r="E1140" s="2">
        <v>0</v>
      </c>
    </row>
    <row r="1141" spans="1:5" x14ac:dyDescent="0.2">
      <c r="A1141" t="s">
        <v>94</v>
      </c>
      <c r="B1141" t="s">
        <v>77</v>
      </c>
      <c r="C1141" t="s">
        <v>81</v>
      </c>
      <c r="D1141" s="2">
        <v>0</v>
      </c>
      <c r="E1141" s="2">
        <v>0</v>
      </c>
    </row>
    <row r="1142" spans="1:5" x14ac:dyDescent="0.2">
      <c r="A1142" t="s">
        <v>94</v>
      </c>
      <c r="B1142" t="s">
        <v>77</v>
      </c>
      <c r="C1142" t="s">
        <v>81</v>
      </c>
      <c r="D1142" s="2">
        <v>0</v>
      </c>
      <c r="E1142" s="2">
        <v>0</v>
      </c>
    </row>
    <row r="1143" spans="1:5" x14ac:dyDescent="0.2">
      <c r="A1143" t="s">
        <v>94</v>
      </c>
      <c r="B1143" t="s">
        <v>77</v>
      </c>
      <c r="C1143" t="s">
        <v>81</v>
      </c>
      <c r="D1143" s="2">
        <v>491.5965832</v>
      </c>
      <c r="E1143" s="2">
        <v>0</v>
      </c>
    </row>
    <row r="1144" spans="1:5" x14ac:dyDescent="0.2">
      <c r="A1144" t="s">
        <v>94</v>
      </c>
      <c r="B1144" t="s">
        <v>77</v>
      </c>
      <c r="C1144" t="s">
        <v>81</v>
      </c>
      <c r="D1144" s="2">
        <v>0</v>
      </c>
      <c r="E1144" s="2">
        <v>0</v>
      </c>
    </row>
    <row r="1145" spans="1:5" x14ac:dyDescent="0.2">
      <c r="A1145" t="s">
        <v>94</v>
      </c>
      <c r="B1145" t="s">
        <v>77</v>
      </c>
      <c r="C1145" t="s">
        <v>81</v>
      </c>
      <c r="D1145" s="2">
        <v>203.34901020000001</v>
      </c>
      <c r="E1145" s="2">
        <v>0</v>
      </c>
    </row>
    <row r="1146" spans="1:5" x14ac:dyDescent="0.2">
      <c r="A1146" t="s">
        <v>94</v>
      </c>
      <c r="B1146" t="s">
        <v>77</v>
      </c>
      <c r="C1146" t="s">
        <v>81</v>
      </c>
      <c r="D1146" s="2">
        <v>147.4275308</v>
      </c>
      <c r="E1146" s="2">
        <v>0</v>
      </c>
    </row>
    <row r="1147" spans="1:5" x14ac:dyDescent="0.2">
      <c r="A1147" t="s">
        <v>96</v>
      </c>
      <c r="B1147" t="s">
        <v>77</v>
      </c>
      <c r="C1147" t="s">
        <v>81</v>
      </c>
      <c r="D1147" s="2">
        <v>225.33182959999999</v>
      </c>
      <c r="E1147" s="2">
        <v>0</v>
      </c>
    </row>
    <row r="1148" spans="1:5" x14ac:dyDescent="0.2">
      <c r="A1148" t="s">
        <v>96</v>
      </c>
      <c r="B1148" t="s">
        <v>77</v>
      </c>
      <c r="C1148" t="s">
        <v>81</v>
      </c>
      <c r="D1148" s="2">
        <v>182.9879196</v>
      </c>
      <c r="E1148" s="2">
        <v>0</v>
      </c>
    </row>
    <row r="1149" spans="1:5" x14ac:dyDescent="0.2">
      <c r="A1149" t="s">
        <v>96</v>
      </c>
      <c r="B1149" t="s">
        <v>77</v>
      </c>
      <c r="C1149" t="s">
        <v>81</v>
      </c>
      <c r="D1149" s="2">
        <v>49.011711400000003</v>
      </c>
      <c r="E1149" s="2">
        <v>0</v>
      </c>
    </row>
    <row r="1150" spans="1:5" x14ac:dyDescent="0.2">
      <c r="A1150" t="s">
        <v>96</v>
      </c>
      <c r="B1150" t="s">
        <v>77</v>
      </c>
      <c r="C1150" t="s">
        <v>81</v>
      </c>
      <c r="D1150" s="2">
        <v>91.902441999999994</v>
      </c>
      <c r="E1150" s="2">
        <v>0</v>
      </c>
    </row>
    <row r="1151" spans="1:5" x14ac:dyDescent="0.2">
      <c r="A1151" t="s">
        <v>96</v>
      </c>
      <c r="B1151" t="s">
        <v>77</v>
      </c>
      <c r="C1151" t="s">
        <v>81</v>
      </c>
      <c r="D1151" s="2">
        <v>0</v>
      </c>
      <c r="E1151" s="2">
        <v>0</v>
      </c>
    </row>
    <row r="1152" spans="1:5" x14ac:dyDescent="0.2">
      <c r="A1152" t="s">
        <v>96</v>
      </c>
      <c r="B1152" t="s">
        <v>77</v>
      </c>
      <c r="C1152" t="s">
        <v>81</v>
      </c>
      <c r="D1152" s="2">
        <v>0</v>
      </c>
      <c r="E1152" s="2">
        <v>0</v>
      </c>
    </row>
    <row r="1153" spans="1:5" x14ac:dyDescent="0.2">
      <c r="A1153" t="s">
        <v>96</v>
      </c>
      <c r="B1153" t="s">
        <v>77</v>
      </c>
      <c r="C1153" t="s">
        <v>81</v>
      </c>
      <c r="D1153" s="2">
        <v>0</v>
      </c>
      <c r="E1153" s="2">
        <v>0</v>
      </c>
    </row>
  </sheetData>
  <autoFilter ref="A1:E1154" xr:uid="{140EFE4C-8DAE-4F83-A610-D1AA9C685D28}">
    <sortState xmlns:xlrd2="http://schemas.microsoft.com/office/spreadsheetml/2017/richdata2" ref="A2:E1153">
      <sortCondition ref="B1:B1154"/>
    </sortState>
  </autoFilter>
  <pageMargins left="0.7" right="0.7" top="0.75" bottom="0.75" header="0.3" footer="0.3"/>
  <customProperties>
    <customPr name="_pios_id" r:id="rId1"/>
    <customPr name="FPMExcelClientCellBasedFunctionStatus" r:id="rId2"/>
    <customPr name="FPMExcelClientRefreshTime" r:id="rId3"/>
  </customProperties>
  <drawing r:id="rId4"/>
  <legacyDrawing r:id="rId5"/>
  <controls>
    <mc:AlternateContent xmlns:mc="http://schemas.openxmlformats.org/markup-compatibility/2006">
      <mc:Choice Requires="x14">
        <control shapeId="563204" r:id="rId6" name="AnalyzerDynReport000tb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1219200</xdr:colOff>
                <xdr:row>0</xdr:row>
                <xdr:rowOff>0</xdr:rowOff>
              </to>
            </anchor>
          </controlPr>
        </control>
      </mc:Choice>
      <mc:Fallback>
        <control shapeId="563204" r:id="rId6" name="AnalyzerDynReport000tb1"/>
      </mc:Fallback>
    </mc:AlternateContent>
    <mc:AlternateContent xmlns:mc="http://schemas.openxmlformats.org/markup-compatibility/2006">
      <mc:Choice Requires="x14">
        <control shapeId="563203" r:id="rId8" name="MultipleReportManagerInfotb1">
          <controlPr defaultSize="0" autoLine="0" autoPict="0" r:id="rId9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1219200</xdr:colOff>
                <xdr:row>0</xdr:row>
                <xdr:rowOff>0</xdr:rowOff>
              </to>
            </anchor>
          </controlPr>
        </control>
      </mc:Choice>
      <mc:Fallback>
        <control shapeId="563203" r:id="rId8" name="MultipleReportManagerInfotb1"/>
      </mc:Fallback>
    </mc:AlternateContent>
    <mc:AlternateContent xmlns:mc="http://schemas.openxmlformats.org/markup-compatibility/2006">
      <mc:Choice Requires="x14">
        <control shapeId="563202" r:id="rId10" name="ConnectionDescriptorsInfotb1">
          <controlPr defaultSize="0" autoLine="0" autoPict="0" r:id="rId11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1219200</xdr:colOff>
                <xdr:row>0</xdr:row>
                <xdr:rowOff>0</xdr:rowOff>
              </to>
            </anchor>
          </controlPr>
        </control>
      </mc:Choice>
      <mc:Fallback>
        <control shapeId="563202" r:id="rId10" name="ConnectionDescriptorsInfotb1"/>
      </mc:Fallback>
    </mc:AlternateContent>
    <mc:AlternateContent xmlns:mc="http://schemas.openxmlformats.org/markup-compatibility/2006">
      <mc:Choice Requires="x14">
        <control shapeId="563201" r:id="rId12" name="FPMExcelClientSheetOptionstb1">
          <controlPr defaultSize="0" autoLine="0" autoPict="0" r:id="rId13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1219200</xdr:colOff>
                <xdr:row>0</xdr:row>
                <xdr:rowOff>0</xdr:rowOff>
              </to>
            </anchor>
          </controlPr>
        </control>
      </mc:Choice>
      <mc:Fallback>
        <control shapeId="563201" r:id="rId12" name="FPMExcelClientSheetOptionstb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7">
    <tabColor rgb="FF50B47F"/>
  </sheetPr>
  <dimension ref="B1:DB29"/>
  <sheetViews>
    <sheetView showGridLines="0" zoomScale="115" zoomScaleNormal="115" workbookViewId="0">
      <pane xSplit="2" ySplit="6" topLeftCell="C7" activePane="bottomRight" state="frozen"/>
      <selection activeCell="D26" sqref="D26"/>
      <selection pane="topRight" activeCell="D26" sqref="D26"/>
      <selection pane="bottomLeft" activeCell="D26" sqref="D26"/>
      <selection pane="bottomRight" activeCell="C3" sqref="C3"/>
    </sheetView>
  </sheetViews>
  <sheetFormatPr defaultColWidth="9.140625" defaultRowHeight="12.75" outlineLevelRow="1" x14ac:dyDescent="0.2"/>
  <cols>
    <col min="1" max="1" width="3.7109375" style="1" customWidth="1"/>
    <col min="2" max="2" width="19.140625" style="1" customWidth="1"/>
    <col min="3" max="5" width="14.28515625" style="9" customWidth="1"/>
    <col min="6" max="6" width="1.42578125" style="1" customWidth="1"/>
    <col min="7" max="10" width="11.42578125" style="1" customWidth="1"/>
    <col min="11" max="11" width="0.7109375" style="1" customWidth="1"/>
    <col min="12" max="14" width="14.28515625" style="1" customWidth="1"/>
    <col min="15" max="15" width="0.7109375" style="1" customWidth="1"/>
    <col min="16" max="19" width="11.42578125" style="1" customWidth="1"/>
    <col min="20" max="20" width="1.42578125" style="1" customWidth="1"/>
    <col min="21" max="23" width="14.28515625" style="1" customWidth="1"/>
    <col min="24" max="24" width="1.42578125" style="1" customWidth="1"/>
    <col min="25" max="28" width="11.42578125" style="1" customWidth="1"/>
    <col min="29" max="30" width="16.42578125" style="1" hidden="1" customWidth="1"/>
    <col min="31" max="31" width="1.42578125" style="1" customWidth="1"/>
    <col min="32" max="34" width="16.42578125" style="1" customWidth="1"/>
    <col min="35" max="35" width="4.140625" style="1" customWidth="1"/>
    <col min="36" max="40" width="16.42578125" style="1" customWidth="1"/>
    <col min="41" max="41" width="4.140625" style="1" customWidth="1"/>
    <col min="42" max="43" width="16.42578125" style="1" customWidth="1"/>
    <col min="44" max="44" width="4.140625" style="1" customWidth="1"/>
    <col min="45" max="57" width="13.42578125" style="1" customWidth="1"/>
    <col min="58" max="58" width="4.140625" style="1" customWidth="1"/>
    <col min="59" max="70" width="13.42578125" style="1" customWidth="1"/>
    <col min="71" max="71" width="4.140625" style="1" customWidth="1"/>
    <col min="72" max="84" width="13.42578125" style="1" customWidth="1"/>
    <col min="85" max="85" width="4.140625" style="1" customWidth="1"/>
    <col min="86" max="98" width="13.42578125" style="1" customWidth="1"/>
    <col min="99" max="99" width="4.140625" style="1" customWidth="1"/>
    <col min="100" max="100" width="15.7109375" style="1" customWidth="1"/>
    <col min="101" max="102" width="13.42578125" style="1" customWidth="1"/>
    <col min="103" max="103" width="4.140625" style="1" customWidth="1"/>
    <col min="104" max="104" width="13.42578125" style="1" customWidth="1"/>
    <col min="105" max="105" width="16.42578125" style="1" customWidth="1"/>
    <col min="106" max="106" width="17" style="1" customWidth="1"/>
    <col min="107" max="16384" width="9.140625" style="1"/>
  </cols>
  <sheetData>
    <row r="1" spans="2:106" ht="15" outlineLevel="1" x14ac:dyDescent="0.25">
      <c r="B1" s="6"/>
      <c r="C1" s="6" t="s">
        <v>92</v>
      </c>
      <c r="D1" s="7" t="s">
        <v>15</v>
      </c>
      <c r="E1" s="7" t="s">
        <v>16</v>
      </c>
      <c r="BG1" s="11">
        <f t="shared" ref="BG1:BR1" si="0">MONTH(DATEVALUE(LEFT(BG6,3)&amp;"1"))</f>
        <v>8</v>
      </c>
      <c r="BH1" s="11">
        <f t="shared" si="0"/>
        <v>9</v>
      </c>
      <c r="BI1" s="11">
        <f t="shared" si="0"/>
        <v>10</v>
      </c>
      <c r="BJ1" s="11">
        <f t="shared" si="0"/>
        <v>11</v>
      </c>
      <c r="BK1" s="11">
        <f t="shared" si="0"/>
        <v>12</v>
      </c>
      <c r="BL1" s="11">
        <f t="shared" si="0"/>
        <v>1</v>
      </c>
      <c r="BM1" s="11">
        <f t="shared" si="0"/>
        <v>2</v>
      </c>
      <c r="BN1" s="11">
        <f t="shared" si="0"/>
        <v>3</v>
      </c>
      <c r="BO1" s="11">
        <f t="shared" si="0"/>
        <v>4</v>
      </c>
      <c r="BP1" s="11">
        <f t="shared" si="0"/>
        <v>5</v>
      </c>
      <c r="BQ1" s="11">
        <f t="shared" si="0"/>
        <v>6</v>
      </c>
      <c r="BR1" s="11">
        <f t="shared" si="0"/>
        <v>7</v>
      </c>
      <c r="BT1" s="11">
        <v>13</v>
      </c>
      <c r="BU1" s="11">
        <v>14</v>
      </c>
      <c r="BV1" s="11">
        <v>15</v>
      </c>
      <c r="BW1" s="11">
        <v>16</v>
      </c>
      <c r="BX1" s="11">
        <v>17</v>
      </c>
      <c r="BY1" s="11">
        <v>18</v>
      </c>
      <c r="BZ1" s="11">
        <v>19</v>
      </c>
      <c r="CA1" s="11">
        <v>20</v>
      </c>
      <c r="CB1" s="11">
        <v>21</v>
      </c>
      <c r="CC1" s="11">
        <v>22</v>
      </c>
      <c r="CD1" s="11">
        <v>23</v>
      </c>
      <c r="CE1" s="11">
        <v>24</v>
      </c>
      <c r="CH1" s="11">
        <v>13</v>
      </c>
      <c r="CI1" s="11">
        <v>14</v>
      </c>
      <c r="CJ1" s="11">
        <v>15</v>
      </c>
      <c r="CK1" s="11">
        <v>16</v>
      </c>
      <c r="CL1" s="11">
        <v>17</v>
      </c>
      <c r="CM1" s="11">
        <v>18</v>
      </c>
      <c r="CN1" s="11">
        <v>19</v>
      </c>
      <c r="CO1" s="11">
        <v>20</v>
      </c>
      <c r="CP1" s="11">
        <v>21</v>
      </c>
      <c r="CQ1" s="11">
        <v>22</v>
      </c>
      <c r="CR1" s="11">
        <v>23</v>
      </c>
      <c r="CS1" s="11">
        <v>24</v>
      </c>
    </row>
    <row r="2" spans="2:106" outlineLevel="1" x14ac:dyDescent="0.2">
      <c r="B2" s="8" t="s">
        <v>120</v>
      </c>
      <c r="C2" s="9">
        <v>2020</v>
      </c>
      <c r="D2" s="1"/>
      <c r="E2" s="1"/>
    </row>
    <row r="3" spans="2:106" s="149" customFormat="1" ht="15.75" customHeight="1" outlineLevel="1" x14ac:dyDescent="0.2">
      <c r="B3" s="8" t="s">
        <v>83</v>
      </c>
      <c r="C3" s="10" t="s">
        <v>8</v>
      </c>
      <c r="D3" s="7">
        <f>MONTH(DATEVALUE(C3&amp;"1"))</f>
        <v>7</v>
      </c>
      <c r="E3" s="7">
        <f>12-D3</f>
        <v>5</v>
      </c>
      <c r="BG3" s="190"/>
      <c r="BH3" s="190"/>
      <c r="BI3" s="190"/>
      <c r="BJ3" s="190"/>
      <c r="BK3" s="190"/>
      <c r="BL3" s="190"/>
      <c r="BM3" s="190"/>
      <c r="BN3" s="190"/>
      <c r="BO3" s="190"/>
      <c r="BP3" s="190"/>
      <c r="BQ3" s="190"/>
      <c r="BR3" s="190"/>
    </row>
    <row r="4" spans="2:106" s="149" customFormat="1" ht="12.75" customHeight="1" x14ac:dyDescent="0.2">
      <c r="BG4" s="190"/>
      <c r="BH4" s="190"/>
      <c r="BI4" s="190"/>
      <c r="BJ4" s="190"/>
      <c r="BK4" s="190"/>
      <c r="BL4" s="190"/>
      <c r="BM4" s="190"/>
      <c r="BN4" s="190"/>
      <c r="BO4" s="190"/>
      <c r="BP4" s="190"/>
      <c r="BQ4" s="190"/>
      <c r="BR4" s="190"/>
      <c r="BT4" s="210" t="s">
        <v>125</v>
      </c>
      <c r="BU4" s="210"/>
      <c r="BV4" s="210"/>
      <c r="BW4" s="210"/>
      <c r="BX4" s="210"/>
      <c r="BY4" s="210"/>
      <c r="BZ4" s="210"/>
      <c r="CA4" s="210"/>
      <c r="CB4" s="210"/>
      <c r="CC4" s="210"/>
      <c r="CD4" s="210"/>
      <c r="CE4" s="210"/>
      <c r="CF4" s="210"/>
      <c r="CH4" s="210" t="s">
        <v>124</v>
      </c>
      <c r="CI4" s="210"/>
      <c r="CJ4" s="210"/>
      <c r="CK4" s="210"/>
      <c r="CL4" s="210"/>
      <c r="CM4" s="210"/>
      <c r="CN4" s="210"/>
      <c r="CO4" s="210"/>
      <c r="CP4" s="210"/>
      <c r="CQ4" s="210"/>
      <c r="CR4" s="210"/>
      <c r="CS4" s="210"/>
      <c r="CT4" s="210"/>
      <c r="CV4" s="211" t="s">
        <v>47</v>
      </c>
      <c r="CW4" s="211"/>
      <c r="CX4" s="211"/>
    </row>
    <row r="5" spans="2:106" ht="12.75" customHeight="1" x14ac:dyDescent="0.2">
      <c r="C5" s="216" t="str">
        <f>"MTD "&amp;$C$3</f>
        <v>MTD Jul</v>
      </c>
      <c r="D5" s="216"/>
      <c r="E5" s="216"/>
      <c r="G5" s="216" t="s">
        <v>48</v>
      </c>
      <c r="H5" s="216"/>
      <c r="I5" s="216"/>
      <c r="J5" s="216"/>
      <c r="L5" s="216" t="str">
        <f>"YTD "&amp;$C$3</f>
        <v>YTD Jul</v>
      </c>
      <c r="M5" s="216"/>
      <c r="N5" s="216"/>
      <c r="P5" s="216" t="s">
        <v>48</v>
      </c>
      <c r="Q5" s="216"/>
      <c r="R5" s="216"/>
      <c r="S5" s="216"/>
      <c r="U5" s="216" t="s">
        <v>31</v>
      </c>
      <c r="V5" s="216"/>
      <c r="W5" s="216"/>
      <c r="Y5" s="216" t="s">
        <v>48</v>
      </c>
      <c r="Z5" s="216"/>
      <c r="AA5" s="216"/>
      <c r="AB5" s="216"/>
      <c r="AC5" s="216"/>
      <c r="AD5" s="216"/>
      <c r="AF5" s="216" t="s">
        <v>47</v>
      </c>
      <c r="AG5" s="216"/>
      <c r="AH5" s="216"/>
      <c r="AJ5" s="216" t="s">
        <v>100</v>
      </c>
      <c r="AK5" s="216"/>
      <c r="AL5" s="216"/>
      <c r="AM5" s="216"/>
      <c r="AN5" s="216"/>
      <c r="AS5" s="212" t="str">
        <f>"Act "&amp;Summary!$C$2</f>
        <v>Act 2020</v>
      </c>
      <c r="AT5" s="212"/>
      <c r="AU5" s="212"/>
      <c r="AV5" s="212"/>
      <c r="AW5" s="212"/>
      <c r="AX5" s="212"/>
      <c r="AY5" s="212"/>
      <c r="AZ5" s="212"/>
      <c r="BA5" s="212"/>
      <c r="BB5" s="212"/>
      <c r="BC5" s="212"/>
      <c r="BD5" s="212"/>
      <c r="BE5" s="212"/>
      <c r="BF5" s="12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2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2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Z5" s="213" t="s">
        <v>49</v>
      </c>
      <c r="DA5" s="214"/>
      <c r="DB5" s="215"/>
    </row>
    <row r="6" spans="2:106" s="56" customFormat="1" ht="45" x14ac:dyDescent="0.2">
      <c r="B6" s="57" t="str">
        <f>IF(Mapping!$C$2=1000,"Total Sales in kUSD",IF(Mapping!C2=1,"Total Sales in USD",IF(Mapping!C2=1000000,"Total Sales in mUSD","Error")))</f>
        <v>Total Sales in kUSD</v>
      </c>
      <c r="C6" s="52" t="str">
        <f>"Act "&amp;Summary!$C$2-1</f>
        <v>Act 2019</v>
      </c>
      <c r="D6" s="52" t="str">
        <f>Mapping!$B$3&amp;" "&amp;Summary!$C$2</f>
        <v>Budget 2020</v>
      </c>
      <c r="E6" s="53" t="str">
        <f>"Act "&amp;Summary!$C$2</f>
        <v>Act 2020</v>
      </c>
      <c r="G6" s="208" t="s">
        <v>50</v>
      </c>
      <c r="H6" s="209"/>
      <c r="I6" s="208" t="s">
        <v>32</v>
      </c>
      <c r="J6" s="209"/>
      <c r="L6" s="52" t="str">
        <f>C6</f>
        <v>Act 2019</v>
      </c>
      <c r="M6" s="52" t="str">
        <f>D6</f>
        <v>Budget 2020</v>
      </c>
      <c r="N6" s="52" t="str">
        <f>E6</f>
        <v>Act 2020</v>
      </c>
      <c r="P6" s="208" t="s">
        <v>50</v>
      </c>
      <c r="Q6" s="209"/>
      <c r="R6" s="208" t="s">
        <v>32</v>
      </c>
      <c r="S6" s="209"/>
      <c r="U6" s="52" t="str">
        <f>L6</f>
        <v>Act 2019</v>
      </c>
      <c r="V6" s="52" t="str">
        <f>M6</f>
        <v>Budget 2020</v>
      </c>
      <c r="W6" s="52" t="str">
        <f>"Act "&amp;Summary!$C$2</f>
        <v>Act 2020</v>
      </c>
      <c r="Y6" s="208" t="s">
        <v>50</v>
      </c>
      <c r="Z6" s="209"/>
      <c r="AA6" s="208" t="s">
        <v>32</v>
      </c>
      <c r="AB6" s="209"/>
      <c r="AC6" s="53" t="e">
        <f>"vs "&amp;LEFT(#REF!,6)</f>
        <v>#REF!</v>
      </c>
      <c r="AD6" s="53"/>
      <c r="AF6" s="52" t="s">
        <v>15</v>
      </c>
      <c r="AG6" s="52" t="s">
        <v>16</v>
      </c>
      <c r="AH6" s="53" t="s">
        <v>33</v>
      </c>
      <c r="AJ6" s="53" t="s">
        <v>101</v>
      </c>
      <c r="AK6" s="53" t="s">
        <v>102</v>
      </c>
      <c r="AL6" s="53" t="s">
        <v>103</v>
      </c>
      <c r="AM6" s="53" t="s">
        <v>124</v>
      </c>
      <c r="AN6" s="54" t="s">
        <v>125</v>
      </c>
      <c r="AP6" s="52" t="str">
        <f>"YTG "&amp;RIGHT(Summary!$C$2,2)-1</f>
        <v>YTG 19</v>
      </c>
      <c r="AQ6" s="53" t="str">
        <f>"YTG "&amp;RIGHT(Summary!$C$2,2)</f>
        <v>YTG 20</v>
      </c>
      <c r="AS6" s="14" t="str">
        <f>'Bridges for Trends'!$A$4</f>
        <v>Jan 2020</v>
      </c>
      <c r="AT6" s="14" t="str">
        <f>'Bridges for Trends'!$A$5</f>
        <v>Feb 2020</v>
      </c>
      <c r="AU6" s="14" t="str">
        <f>'Bridges for Trends'!$A$6</f>
        <v>Mar 2020</v>
      </c>
      <c r="AV6" s="14" t="str">
        <f>'Bridges for Trends'!$A$7</f>
        <v>Apr 2020</v>
      </c>
      <c r="AW6" s="14" t="str">
        <f>'Bridges for Trends'!$A$8</f>
        <v>May 2020</v>
      </c>
      <c r="AX6" s="14" t="str">
        <f>'Bridges for Trends'!$A$9</f>
        <v>Jun 2020</v>
      </c>
      <c r="AY6" s="14" t="str">
        <f>'Bridges for Trends'!$A$10</f>
        <v>Jul 2020</v>
      </c>
      <c r="AZ6" s="14" t="str">
        <f>'Bridges for Trends'!$A$11</f>
        <v>Aug 2020</v>
      </c>
      <c r="BA6" s="14" t="str">
        <f>'Bridges for Trends'!$A$12</f>
        <v>Sep 2020</v>
      </c>
      <c r="BB6" s="14" t="str">
        <f>'Bridges for Trends'!$A$13</f>
        <v>Oct 2020</v>
      </c>
      <c r="BC6" s="14" t="str">
        <f>'Bridges for Trends'!$A$14</f>
        <v>Nov 2020</v>
      </c>
      <c r="BD6" s="14" t="str">
        <f>'Bridges for Trends'!$A$15</f>
        <v>Dec 2020</v>
      </c>
      <c r="BE6" s="14" t="s">
        <v>14</v>
      </c>
      <c r="BF6" s="58"/>
      <c r="BG6" s="14" t="str">
        <f>VLOOKUP($BR6,'Bridges for Trends'!$A:$M,12,FALSE)</f>
        <v>Aug 2019</v>
      </c>
      <c r="BH6" s="14" t="str">
        <f>VLOOKUP($BR6,'Bridges for Trends'!$A:$M,11,FALSE)</f>
        <v>Sep 2019</v>
      </c>
      <c r="BI6" s="14" t="str">
        <f>VLOOKUP($BR6,'Bridges for Trends'!$A:$M,10,FALSE)</f>
        <v>Oct 2019</v>
      </c>
      <c r="BJ6" s="14" t="str">
        <f>VLOOKUP($BR6,'Bridges for Trends'!$A:$M,9,FALSE)</f>
        <v>Nov 2019</v>
      </c>
      <c r="BK6" s="14" t="str">
        <f>VLOOKUP($BR6,'Bridges for Trends'!$A:$M,8,FALSE)</f>
        <v>Dec 2019</v>
      </c>
      <c r="BL6" s="14" t="str">
        <f>VLOOKUP($BR6,'Bridges for Trends'!$A:$M,7,FALSE)</f>
        <v>Jan 2020</v>
      </c>
      <c r="BM6" s="14" t="str">
        <f>VLOOKUP($BR6,'Bridges for Trends'!$A:$M,6,FALSE)</f>
        <v>Feb 2020</v>
      </c>
      <c r="BN6" s="14" t="str">
        <f>VLOOKUP($BR6,'Bridges for Trends'!$A:$M,5,FALSE)</f>
        <v>Mar 2020</v>
      </c>
      <c r="BO6" s="14" t="str">
        <f>VLOOKUP($BR6,'Bridges for Trends'!$A:$M,4,FALSE)</f>
        <v>Apr 2020</v>
      </c>
      <c r="BP6" s="14" t="str">
        <f>VLOOKUP($BR6,'Bridges for Trends'!$A:$M,3,FALSE)</f>
        <v>May 2020</v>
      </c>
      <c r="BQ6" s="14" t="str">
        <f>VLOOKUP($BR6,'Bridges for Trends'!$A:$M,2,FALSE)</f>
        <v>Jun 2020</v>
      </c>
      <c r="BR6" s="14" t="str">
        <f>Summary!$C$3&amp;" "&amp;Summary!$C$2</f>
        <v>Jul 2020</v>
      </c>
      <c r="BS6" s="58"/>
      <c r="BT6" s="14" t="str">
        <f>Mapping!$D$2</f>
        <v>Jan</v>
      </c>
      <c r="BU6" s="14" t="str">
        <f>Mapping!$D$3</f>
        <v>Feb</v>
      </c>
      <c r="BV6" s="14" t="str">
        <f>Mapping!$D$4</f>
        <v>Mar</v>
      </c>
      <c r="BW6" s="14" t="str">
        <f>Mapping!$D$5</f>
        <v>Apr</v>
      </c>
      <c r="BX6" s="14" t="str">
        <f>Mapping!$D$6</f>
        <v>May</v>
      </c>
      <c r="BY6" s="14" t="str">
        <f>Mapping!$D$7</f>
        <v>Jun</v>
      </c>
      <c r="BZ6" s="14" t="str">
        <f>Mapping!$D$8</f>
        <v>Jul</v>
      </c>
      <c r="CA6" s="14" t="str">
        <f>Mapping!$D$9</f>
        <v>Aug</v>
      </c>
      <c r="CB6" s="14" t="str">
        <f>Mapping!$D$10</f>
        <v>Sep</v>
      </c>
      <c r="CC6" s="14" t="str">
        <f>Mapping!$D$11</f>
        <v>Oct</v>
      </c>
      <c r="CD6" s="14" t="str">
        <f>Mapping!$D$12</f>
        <v>Nov</v>
      </c>
      <c r="CE6" s="14" t="str">
        <f>Mapping!$D$13</f>
        <v>Dec</v>
      </c>
      <c r="CF6" s="14" t="s">
        <v>14</v>
      </c>
      <c r="CG6" s="58"/>
      <c r="CH6" s="14" t="str">
        <f>Mapping!$D$2</f>
        <v>Jan</v>
      </c>
      <c r="CI6" s="14" t="str">
        <f>Mapping!$D$3</f>
        <v>Feb</v>
      </c>
      <c r="CJ6" s="14" t="str">
        <f>Mapping!$D$4</f>
        <v>Mar</v>
      </c>
      <c r="CK6" s="14" t="str">
        <f>Mapping!$D$5</f>
        <v>Apr</v>
      </c>
      <c r="CL6" s="14" t="str">
        <f>Mapping!$D$6</f>
        <v>May</v>
      </c>
      <c r="CM6" s="14" t="str">
        <f>Mapping!$D$7</f>
        <v>Jun</v>
      </c>
      <c r="CN6" s="14" t="str">
        <f>Mapping!$D$8</f>
        <v>Jul</v>
      </c>
      <c r="CO6" s="14" t="str">
        <f>Mapping!$D$9</f>
        <v>Aug</v>
      </c>
      <c r="CP6" s="14" t="str">
        <f>Mapping!$D$10</f>
        <v>Sep</v>
      </c>
      <c r="CQ6" s="14" t="str">
        <f>Mapping!$D$11</f>
        <v>Oct</v>
      </c>
      <c r="CR6" s="14" t="str">
        <f>Mapping!$D$12</f>
        <v>Nov</v>
      </c>
      <c r="CS6" s="14" t="str">
        <f>Mapping!$D$13</f>
        <v>Dec</v>
      </c>
      <c r="CT6" s="14" t="s">
        <v>14</v>
      </c>
      <c r="CV6" s="15" t="s">
        <v>51</v>
      </c>
      <c r="CW6" s="15" t="s">
        <v>52</v>
      </c>
      <c r="CX6" s="15" t="s">
        <v>53</v>
      </c>
      <c r="CZ6" s="53" t="s">
        <v>126</v>
      </c>
      <c r="DA6" s="53" t="s">
        <v>127</v>
      </c>
      <c r="DB6" s="53" t="s">
        <v>128</v>
      </c>
    </row>
    <row r="7" spans="2:106" ht="15" x14ac:dyDescent="0.25">
      <c r="B7" s="16" t="str">
        <f>Mapping!A2</f>
        <v>Tables</v>
      </c>
      <c r="C7" s="17">
        <f>SUMIFS('Sales Data'!$E:$E,'Sales Data'!$A:$A,$B7,'Sales Data'!$B:$B,Summary!$C$3&amp;" "&amp;Summary!$C$2-1,'Sales Data'!$C:$C,"Periodic")/Mapping!$C$2</f>
        <v>445.98745644892921</v>
      </c>
      <c r="D7" s="17">
        <f>SUMIFS('Sales Data'!$D:$D,'Sales Data'!$A:$A,$B7,'Sales Data'!$B:$B,Summary!$C$3&amp;" "&amp;Summary!$C$2,'Sales Data'!$C:$C,"Periodic")/Mapping!$C$2</f>
        <v>451.00764205129218</v>
      </c>
      <c r="E7" s="17">
        <f>SUMIFS('Sales Data'!$E:$E,'Sales Data'!$A:$A,$B7,'Sales Data'!$B:$B,Summary!$C$3&amp;" "&amp;Summary!$C$2,'Sales Data'!$C:$C,"Periodic")/Mapping!$C$2</f>
        <v>321.86195075999996</v>
      </c>
      <c r="G7" s="18">
        <f>E7-C7</f>
        <v>-124.12550568892925</v>
      </c>
      <c r="H7" s="19">
        <f>IF(ISERROR((E7/C7)-1),"N/A",(E7/C7)-1)</f>
        <v>-0.27831613623676676</v>
      </c>
      <c r="I7" s="18">
        <f>E7-D7</f>
        <v>-129.14569129129222</v>
      </c>
      <c r="J7" s="19">
        <f>IF(ISERROR((E7/D7)-1),"N/A",(E7/D7)-1)</f>
        <v>-0.28634923058932282</v>
      </c>
      <c r="L7" s="20">
        <f>SUMIFS('Sales Data'!$E:$E,'Sales Data'!$A:$A,$B7,'Sales Data'!$F:$F,$C$2-1,'Sales Data'!$G:$G,"&lt;="&amp;$D$3)/Mapping!$C$2</f>
        <v>3292.3215945309175</v>
      </c>
      <c r="M7" s="20">
        <f>SUMIFS('Sales Data'!$D:$D,'Sales Data'!$A:$A,$B7,'Sales Data'!$F:$F,$C$2,'Sales Data'!$G:$G,"&lt;="&amp;$D$3)/Mapping!$C$2</f>
        <v>3514.9751424899246</v>
      </c>
      <c r="N7" s="17">
        <f>SUMIFS('Sales Data'!$E:$E,'Sales Data'!$A:$A,$B7,'Sales Data'!$F:$F,$C$2,'Sales Data'!$G:$G,"&lt;="&amp;$D$3)/Mapping!$C$2</f>
        <v>2793.6431690429999</v>
      </c>
      <c r="P7" s="18">
        <f>N7-L7</f>
        <v>-498.67842548791759</v>
      </c>
      <c r="Q7" s="19">
        <f>IF(ISERROR((N7/L7)-1),"N/A",(N7/L7)-1)</f>
        <v>-0.15146710646867056</v>
      </c>
      <c r="R7" s="18">
        <f>N7-M7</f>
        <v>-721.33197344692462</v>
      </c>
      <c r="S7" s="19">
        <f>IF(ISERROR((N7/M7)-1),"N/A",(N7/M7)-1)</f>
        <v>-0.20521680643691553</v>
      </c>
      <c r="U7" s="20">
        <f>SUMIFS('Sales Data'!$E:$E,'Sales Data'!$A:$A,$B7,'Sales Data'!$F:$F,$C$2-1,'Sales Data'!$G:$G,"&lt;="&amp;12)/Mapping!$C$2</f>
        <v>5941.2574600047583</v>
      </c>
      <c r="V7" s="17">
        <f>SUMIFS('Sales Data'!$D:$D,'Sales Data'!$A:$A,$B7,'Sales Data'!$F:$F,$C$2,'Sales Data'!$G:$G,"&lt;="&amp;12)/Mapping!$C$2</f>
        <v>5937.3393478822136</v>
      </c>
      <c r="W7" s="17">
        <f>SUMIFS('Sales Data'!$E:$E,'Sales Data'!$A:$A,$B7,'Sales Data'!$F:$F,$C$2,'Sales Data'!$G:$G,"&lt;="&amp;12)/Mapping!$C$2</f>
        <v>2793.6431690429999</v>
      </c>
      <c r="Y7" s="18">
        <f>W7-U7</f>
        <v>-3147.6142909617583</v>
      </c>
      <c r="Z7" s="19">
        <f>IF(ISERROR((W7/U7)-1),"N/A",(W7/U7)-1)</f>
        <v>-0.52978924279090867</v>
      </c>
      <c r="AA7" s="18">
        <f>W7-V7</f>
        <v>-3143.6961788392136</v>
      </c>
      <c r="AB7" s="19">
        <f>IF(ISERROR((W7/V7)-1),"N/A",(W7/V7)-1)</f>
        <v>-0.52947894581106214</v>
      </c>
      <c r="AC7" s="18" t="e">
        <f>W7-#REF!</f>
        <v>#REF!</v>
      </c>
      <c r="AD7" s="21" t="str">
        <f>IF(ISERROR((W7/#REF!)-1),"N/A",(W7/#REF!)-1)</f>
        <v>N/A</v>
      </c>
      <c r="AF7" s="22">
        <f>N7/Summary!$D$3</f>
        <v>399.09188129185713</v>
      </c>
      <c r="AG7" s="22">
        <f>(V7-N7)/Summary!$E$3</f>
        <v>628.73923576784273</v>
      </c>
      <c r="AH7" s="23">
        <f>AG7-AF7</f>
        <v>229.64735447598559</v>
      </c>
      <c r="AJ7" s="24">
        <f>CZ7-W7</f>
        <v>2115.0614669699999</v>
      </c>
      <c r="AK7" s="24">
        <f>DA7-W7</f>
        <v>1954.3022815200002</v>
      </c>
      <c r="AL7" s="24">
        <f>DB7-W7</f>
        <v>2267.7412643820162</v>
      </c>
      <c r="AM7" s="24">
        <f>CT7-W7</f>
        <v>2227.3197948449988</v>
      </c>
      <c r="AN7" s="25">
        <f>CF7-W7</f>
        <v>3456.9441354107685</v>
      </c>
      <c r="AP7" s="26">
        <f>U7-L7</f>
        <v>2648.9358654738407</v>
      </c>
      <c r="AQ7" s="26">
        <f>V7-N7</f>
        <v>3143.6961788392136</v>
      </c>
      <c r="AS7" s="27">
        <f>SUMIFS('Sales Data'!$E:$E,'Sales Data'!$A:$A,$B7,'Sales Data'!$B:$B,AS$6,'Sales Data'!$C:$C,"Periodic")/Mapping!$C$2</f>
        <v>448.48043121900002</v>
      </c>
      <c r="AT7" s="27">
        <f>SUMIFS('Sales Data'!$E:$E,'Sales Data'!$A:$A,$B7,'Sales Data'!$B:$B,AT$6,'Sales Data'!$C:$C,"Periodic")/Mapping!$C$2</f>
        <v>404.02749370800007</v>
      </c>
      <c r="AU7" s="27">
        <f>SUMIFS('Sales Data'!$E:$E,'Sales Data'!$A:$A,$B7,'Sales Data'!$B:$B,AU$6,'Sales Data'!$C:$C,"Periodic")/Mapping!$C$2</f>
        <v>362.43555380999999</v>
      </c>
      <c r="AV7" s="27">
        <f>SUMIFS('Sales Data'!$E:$E,'Sales Data'!$A:$A,$B7,'Sales Data'!$B:$B,AV$6,'Sales Data'!$C:$C,"Periodic")/Mapping!$C$2</f>
        <v>309.66281012400003</v>
      </c>
      <c r="AW7" s="27">
        <f>SUMIFS('Sales Data'!$E:$E,'Sales Data'!$A:$A,$B7,'Sales Data'!$B:$B,AW$6,'Sales Data'!$C:$C,"Periodic")/Mapping!$C$2</f>
        <v>462.26029832099994</v>
      </c>
      <c r="AX7" s="27">
        <f>SUMIFS('Sales Data'!$E:$E,'Sales Data'!$A:$A,$B7,'Sales Data'!$B:$B,AX$6,'Sales Data'!$C:$C,"Periodic")/Mapping!$C$2</f>
        <v>484.914631101</v>
      </c>
      <c r="AY7" s="27">
        <f>SUMIFS('Sales Data'!$E:$E,'Sales Data'!$A:$A,$B7,'Sales Data'!$B:$B,AY$6,'Sales Data'!$C:$C,"Periodic")/Mapping!$C$2</f>
        <v>321.86195075999996</v>
      </c>
      <c r="AZ7" s="27">
        <f>SUMIFS('Sales Data'!$E:$E,'Sales Data'!$A:$A,$B7,'Sales Data'!$B:$B,AZ$6,'Sales Data'!$C:$C,"Periodic")/Mapping!$C$2</f>
        <v>0</v>
      </c>
      <c r="BA7" s="27">
        <f>SUMIFS('Sales Data'!$E:$E,'Sales Data'!$A:$A,$B7,'Sales Data'!$B:$B,BA$6,'Sales Data'!$C:$C,"Periodic")/Mapping!$C$2</f>
        <v>0</v>
      </c>
      <c r="BB7" s="27">
        <f>SUMIFS('Sales Data'!$E:$E,'Sales Data'!$A:$A,$B7,'Sales Data'!$B:$B,BB$6,'Sales Data'!$C:$C,"Periodic")/Mapping!$C$2</f>
        <v>0</v>
      </c>
      <c r="BC7" s="27">
        <f>SUMIFS('Sales Data'!$E:$E,'Sales Data'!$A:$A,$B7,'Sales Data'!$B:$B,BC$6,'Sales Data'!$C:$C,"Periodic")/Mapping!$C$2</f>
        <v>0</v>
      </c>
      <c r="BD7" s="27">
        <f>SUMIFS('Sales Data'!$E:$E,'Sales Data'!$A:$A,$B7,'Sales Data'!$B:$B,BD$6,'Sales Data'!$C:$C,"Periodic")/Mapping!$C$2</f>
        <v>0</v>
      </c>
      <c r="BE7" s="27">
        <f>SUM(AS7:BD7)</f>
        <v>2793.6431690430004</v>
      </c>
      <c r="BF7" s="27"/>
      <c r="BG7" s="27">
        <f>SUMIFS('Sales Data'!$E:$E,'Sales Data'!$A:$A,$B7,'Sales Data'!$B:$B,BG$6,'Sales Data'!$C:$C,"Periodic")/Mapping!$C$2</f>
        <v>508.46155316924569</v>
      </c>
      <c r="BH7" s="27">
        <f>SUMIFS('Sales Data'!$E:$E,'Sales Data'!$A:$A,$B7,'Sales Data'!$B:$B,BH$6,'Sales Data'!$C:$C,"Periodic")/Mapping!$C$2</f>
        <v>424.09441453268971</v>
      </c>
      <c r="BI7" s="27">
        <f>SUMIFS('Sales Data'!$E:$E,'Sales Data'!$A:$A,$B7,'Sales Data'!$B:$B,BI$6,'Sales Data'!$C:$C,"Periodic")/Mapping!$C$2</f>
        <v>633.17249457973378</v>
      </c>
      <c r="BJ7" s="27">
        <f>SUMIFS('Sales Data'!$E:$E,'Sales Data'!$A:$A,$B7,'Sales Data'!$B:$B,BJ$6,'Sales Data'!$C:$C,"Periodic")/Mapping!$C$2</f>
        <v>700.03736602136826</v>
      </c>
      <c r="BK7" s="27">
        <f>SUMIFS('Sales Data'!$E:$E,'Sales Data'!$A:$A,$B7,'Sales Data'!$B:$B,BK$6,'Sales Data'!$C:$C,"Periodic")/Mapping!$C$2</f>
        <v>383.17003717080217</v>
      </c>
      <c r="BL7" s="27">
        <f>SUMIFS('Sales Data'!$E:$E,'Sales Data'!$A:$A,$B7,'Sales Data'!$B:$B,BL$6,'Sales Data'!$C:$C,"Periodic")/Mapping!$C$2</f>
        <v>448.48043121900002</v>
      </c>
      <c r="BM7" s="27">
        <f>SUMIFS('Sales Data'!$E:$E,'Sales Data'!$A:$A,$B7,'Sales Data'!$B:$B,BM$6,'Sales Data'!$C:$C,"Periodic")/Mapping!$C$2</f>
        <v>404.02749370800007</v>
      </c>
      <c r="BN7" s="27">
        <f>SUMIFS('Sales Data'!$E:$E,'Sales Data'!$A:$A,$B7,'Sales Data'!$B:$B,BN$6,'Sales Data'!$C:$C,"Periodic")/Mapping!$C$2</f>
        <v>362.43555380999999</v>
      </c>
      <c r="BO7" s="27">
        <f>SUMIFS('Sales Data'!$E:$E,'Sales Data'!$A:$A,$B7,'Sales Data'!$B:$B,BO$6,'Sales Data'!$C:$C,"Periodic")/Mapping!$C$2</f>
        <v>309.66281012400003</v>
      </c>
      <c r="BP7" s="27">
        <f>SUMIFS('Sales Data'!$E:$E,'Sales Data'!$A:$A,$B7,'Sales Data'!$B:$B,BP$6,'Sales Data'!$C:$C,"Periodic")/Mapping!$C$2</f>
        <v>462.26029832099994</v>
      </c>
      <c r="BQ7" s="27">
        <f>SUMIFS('Sales Data'!$E:$E,'Sales Data'!$A:$A,$B7,'Sales Data'!$B:$B,BQ$6,'Sales Data'!$C:$C,"Periodic")/Mapping!$C$2</f>
        <v>484.914631101</v>
      </c>
      <c r="BR7" s="27">
        <f>SUMIFS('Sales Data'!$E:$E,'Sales Data'!$A:$A,$B7,'Sales Data'!$B:$B,BR$6,'Sales Data'!$C:$C,"Periodic")/Mapping!$C$2</f>
        <v>321.86195075999996</v>
      </c>
      <c r="BS7" s="27"/>
      <c r="BT7" s="27">
        <f t="shared" ref="BT7:BT24" si="1">IFERROR(IF(AS7&lt;&gt;0,AS7,FORECAST(BT$1,$BG7:$BR7,$BG$1:$BR$1)),"")</f>
        <v>448.48043121900002</v>
      </c>
      <c r="BU7" s="27">
        <f t="shared" ref="BU7:BU24" si="2">IFERROR(IF(AT7&lt;&gt;0,AT7,FORECAST(BU$1,$BG7:$BR7,$BG$1:$BR$1)),"")</f>
        <v>404.02749370800007</v>
      </c>
      <c r="BV7" s="27">
        <f t="shared" ref="BV7:BV24" si="3">IFERROR(IF(AU7&lt;&gt;0,AU7,FORECAST(BV$1,$BG7:$BR7,$BG$1:$BR$1)),"")</f>
        <v>362.43555380999999</v>
      </c>
      <c r="BW7" s="27">
        <f t="shared" ref="BW7:BW24" si="4">IFERROR(IF(AV7&lt;&gt;0,AV7,FORECAST(BW$1,$BG7:$BR7,$BG$1:$BR$1)),"")</f>
        <v>309.66281012400003</v>
      </c>
      <c r="BX7" s="27">
        <f t="shared" ref="BX7:BX24" si="5">IFERROR(IF(AW7&lt;&gt;0,AW7,FORECAST(BX$1,$BG7:$BR7,$BG$1:$BR$1)),"")</f>
        <v>462.26029832099994</v>
      </c>
      <c r="BY7" s="27">
        <f t="shared" ref="BY7:BY24" si="6">IFERROR(IF(AX7&lt;&gt;0,AX7,FORECAST(BY$1,$BG7:$BR7,$BG$1:$BR$1)),"")</f>
        <v>484.914631101</v>
      </c>
      <c r="BZ7" s="27">
        <f t="shared" ref="BZ7:BZ24" si="7">IFERROR(IF(AY7&lt;&gt;0,AY7,FORECAST(BZ$1,$BG7:$BR7,$BG$1:$BR$1)),"")</f>
        <v>321.86195075999996</v>
      </c>
      <c r="CA7" s="27">
        <f t="shared" ref="CA7:CA24" si="8">IFERROR(IF(AZ7&lt;&gt;0,AZ7,FORECAST(CA$1,$BG7:$BR7,$BG$1:$BR$1)),"")</f>
        <v>660.69972073302461</v>
      </c>
      <c r="CB7" s="27">
        <f t="shared" ref="CB7:CB24" si="9">IFERROR(IF(BA7&lt;&gt;0,BA7,FORECAST(CB$1,$BG7:$BR7,$BG$1:$BR$1)),"")</f>
        <v>676.04427390758906</v>
      </c>
      <c r="CC7" s="27">
        <f t="shared" ref="CC7:CC24" si="10">IFERROR(IF(BB7&lt;&gt;0,BB7,FORECAST(CC$1,$BG7:$BR7,$BG$1:$BR$1)),"")</f>
        <v>691.38882708215363</v>
      </c>
      <c r="CD7" s="27">
        <f t="shared" ref="CD7:CD24" si="11">IFERROR(IF(BC7&lt;&gt;0,BC7,FORECAST(CD$1,$BG7:$BR7,$BG$1:$BR$1)),"")</f>
        <v>706.73338025671819</v>
      </c>
      <c r="CE7" s="27">
        <f t="shared" ref="CE7:CE24" si="12">IFERROR(IF(BD7&lt;&gt;0,BD7,FORECAST(CE$1,$BG7:$BR7,$BG$1:$BR$1)),"")</f>
        <v>722.07793343128264</v>
      </c>
      <c r="CF7" s="27">
        <f>SUM(BT7:CE7)</f>
        <v>6250.5873044537684</v>
      </c>
      <c r="CH7" s="28">
        <f t="shared" ref="CH7:CH24" si="13">IFERROR(IF(AS7&lt;&gt;0,AS7,FORECAST(CH$1,$BM7:$BR7,$BM$1:$BR$1)),"")</f>
        <v>448.48043121900002</v>
      </c>
      <c r="CI7" s="28">
        <f t="shared" ref="CI7:CI24" si="14">IFERROR(IF(AT7&lt;&gt;0,AT7,FORECAST(CI$1,$BM7:$BR7,$BM$1:$BR$1)),"")</f>
        <v>404.02749370800007</v>
      </c>
      <c r="CJ7" s="28">
        <f t="shared" ref="CJ7:CJ24" si="15">IFERROR(IF(AU7&lt;&gt;0,AU7,FORECAST(CJ$1,$BM7:$BR7,$BM$1:$BR$1)),"")</f>
        <v>362.43555380999999</v>
      </c>
      <c r="CK7" s="28">
        <f t="shared" ref="CK7:CK24" si="16">IFERROR(IF(AV7&lt;&gt;0,AV7,FORECAST(CK$1,$BM7:$BR7,$BM$1:$BR$1)),"")</f>
        <v>309.66281012400003</v>
      </c>
      <c r="CL7" s="28">
        <f t="shared" ref="CL7:CL24" si="17">IFERROR(IF(AW7&lt;&gt;0,AW7,FORECAST(CL$1,$BM7:$BR7,$BM$1:$BR$1)),"")</f>
        <v>462.26029832099994</v>
      </c>
      <c r="CM7" s="28">
        <f t="shared" ref="CM7:CM24" si="18">IFERROR(IF(AX7&lt;&gt;0,AX7,FORECAST(CM$1,$BM7:$BR7,$BM$1:$BR$1)),"")</f>
        <v>484.914631101</v>
      </c>
      <c r="CN7" s="28">
        <f t="shared" ref="CN7:CN24" si="19">IFERROR(IF(AY7&lt;&gt;0,AY7,FORECAST(CN$1,$BM7:$BR7,$BM$1:$BR$1)),"")</f>
        <v>321.86195075999996</v>
      </c>
      <c r="CO7" s="28">
        <f t="shared" ref="CO7:CO24" si="20">IFERROR(IF(AZ7&lt;&gt;0,AZ7,FORECAST(CO$1,$BM7:$BR7,$BM$1:$BR$1)),"")</f>
        <v>439.22355866442831</v>
      </c>
      <c r="CP7" s="28">
        <f t="shared" ref="CP7:CP24" si="21">IFERROR(IF(BA7&lt;&gt;0,BA7,FORECAST(CP$1,$BM7:$BR7,$BM$1:$BR$1)),"")</f>
        <v>442.34375881671406</v>
      </c>
      <c r="CQ7" s="28">
        <f t="shared" ref="CQ7:CQ24" si="22">IFERROR(IF(BB7&lt;&gt;0,BB7,FORECAST(CQ$1,$BM7:$BR7,$BM$1:$BR$1)),"")</f>
        <v>445.46395896899969</v>
      </c>
      <c r="CR7" s="28">
        <f t="shared" ref="CR7:CR24" si="23">IFERROR(IF(BC7&lt;&gt;0,BC7,FORECAST(CR$1,$BM7:$BR7,$BM$1:$BR$1)),"")</f>
        <v>448.58415912128544</v>
      </c>
      <c r="CS7" s="28">
        <f t="shared" ref="CS7:CS24" si="24">IFERROR(IF(BD7&lt;&gt;0,BD7,FORECAST(CS$1,$BM7:$BR7,$BM$1:$BR$1)),"")</f>
        <v>451.70435927357113</v>
      </c>
      <c r="CT7" s="29">
        <f>SUM(CH7:CS7)</f>
        <v>5020.9629638879987</v>
      </c>
      <c r="CV7" s="29">
        <f>SUM(BP7:BR7)/3</f>
        <v>423.01229339399993</v>
      </c>
      <c r="CW7" s="29">
        <f>SUM(BM7:BR7)/6</f>
        <v>390.86045630400002</v>
      </c>
      <c r="CX7" s="29">
        <f>SUM(BG7:BR7)/12</f>
        <v>453.54825287640324</v>
      </c>
      <c r="CZ7" s="22">
        <f>N7+Summary!$E$3*CV7</f>
        <v>4908.7046360129998</v>
      </c>
      <c r="DA7" s="22">
        <f>N7+CW7*Summary!$E$3</f>
        <v>4747.9454505630001</v>
      </c>
      <c r="DB7" s="30">
        <f>N7+CX7*Summary!$E$3</f>
        <v>5061.3844334250161</v>
      </c>
    </row>
    <row r="8" spans="2:106" ht="15" x14ac:dyDescent="0.25">
      <c r="B8" s="16" t="str">
        <f>Mapping!A3</f>
        <v>Kitchen</v>
      </c>
      <c r="C8" s="31">
        <f>SUMIFS('Sales Data'!$E:$E,'Sales Data'!$A:$A,$B8,'Sales Data'!$B:$B,Summary!$C$3&amp;" "&amp;Summary!$C$2-1,'Sales Data'!$C:$C,"Periodic")/Mapping!$C$2</f>
        <v>141.73287703650118</v>
      </c>
      <c r="D8" s="31">
        <f>SUMIFS('Sales Data'!$D:$D,'Sales Data'!$A:$A,$B8,'Sales Data'!$B:$B,Summary!$C$3&amp;" "&amp;Summary!$C$2,'Sales Data'!$C:$C,"Periodic")/Mapping!$C$2</f>
        <v>417.69260545373788</v>
      </c>
      <c r="E8" s="31">
        <f>SUMIFS('Sales Data'!$E:$E,'Sales Data'!$A:$A,$B8,'Sales Data'!$B:$B,Summary!$C$3&amp;" "&amp;Summary!$C$2,'Sales Data'!$C:$C,"Periodic")/Mapping!$C$2</f>
        <v>294.97234411200003</v>
      </c>
      <c r="G8" s="32">
        <f>E8-C8</f>
        <v>153.23946707549885</v>
      </c>
      <c r="H8" s="33">
        <f>IF(ISERROR((E8/C8)-1),"N/A",(E8/C8)-1)</f>
        <v>1.0811850452738239</v>
      </c>
      <c r="I8" s="32">
        <f>E8-D8</f>
        <v>-122.72026134173785</v>
      </c>
      <c r="J8" s="33">
        <f>IF(ISERROR((E8/D8)-1),"N/A",(E8/D8)-1)</f>
        <v>-0.2938052044479631</v>
      </c>
      <c r="L8" s="34">
        <f>SUMIFS('Sales Data'!$E:$E,'Sales Data'!$A:$A,$B8,'Sales Data'!$F:$F,$C$2-1,'Sales Data'!$G:$G,"&lt;="&amp;$D$3)/Mapping!$C$2</f>
        <v>754.79523840525917</v>
      </c>
      <c r="M8" s="31">
        <f>SUMIFS('Sales Data'!$D:$D,'Sales Data'!$A:$A,$B8,'Sales Data'!$F:$F,$C$2,'Sales Data'!$G:$G,"&lt;="&amp;$D$3)/Mapping!$C$2</f>
        <v>2282.5056507311715</v>
      </c>
      <c r="N8" s="31">
        <f>SUMIFS('Sales Data'!$E:$E,'Sales Data'!$A:$A,$B8,'Sales Data'!$F:$F,$C$2,'Sales Data'!$G:$G,"&lt;="&amp;$D$3)/Mapping!$C$2</f>
        <v>1731.7656407460001</v>
      </c>
      <c r="P8" s="32">
        <f>N8-L8</f>
        <v>976.97040234074097</v>
      </c>
      <c r="Q8" s="33">
        <f>IF(ISERROR((N8/L8)-1),"N/A",(N8/L8)-1)</f>
        <v>1.2943515706390731</v>
      </c>
      <c r="R8" s="32">
        <f>N8-M8</f>
        <v>-550.74000998517135</v>
      </c>
      <c r="S8" s="33">
        <f>IF(ISERROR((N8/M8)-1),"N/A",(N8/M8)-1)</f>
        <v>-0.24128746836124981</v>
      </c>
      <c r="U8" s="34">
        <f>SUMIFS('Sales Data'!$E:$E,'Sales Data'!$A:$A,$B8,'Sales Data'!$F:$F,$C$2-1,'Sales Data'!$G:$G,"&lt;="&amp;12)/Mapping!$C$2</f>
        <v>1792.1636295417372</v>
      </c>
      <c r="V8" s="31">
        <f>SUMIFS('Sales Data'!$D:$D,'Sales Data'!$A:$A,$B8,'Sales Data'!$F:$F,$C$2,'Sales Data'!$G:$G,"&lt;="&amp;12)/Mapping!$C$2</f>
        <v>4921.3565580202476</v>
      </c>
      <c r="W8" s="31">
        <f>SUMIFS('Sales Data'!$E:$E,'Sales Data'!$A:$A,$B8,'Sales Data'!$F:$F,$C$2,'Sales Data'!$G:$G,"&lt;="&amp;12)/Mapping!$C$2</f>
        <v>1731.7656407460001</v>
      </c>
      <c r="Y8" s="32">
        <f>W8-U8</f>
        <v>-60.397988795737092</v>
      </c>
      <c r="Z8" s="33">
        <f>IF(ISERROR((W8/U8)-1),"N/A",(W8/U8)-1)</f>
        <v>-3.3701157528334136E-2</v>
      </c>
      <c r="AA8" s="32">
        <f>W8-V8</f>
        <v>-3189.5909172742477</v>
      </c>
      <c r="AB8" s="33">
        <f>IF(ISERROR((W8/V8)-1),"N/A",(W8/V8)-1)</f>
        <v>-0.64811213730820372</v>
      </c>
      <c r="AC8" s="32" t="e">
        <f>W8-#REF!</f>
        <v>#REF!</v>
      </c>
      <c r="AD8" s="35" t="str">
        <f>IF(ISERROR((W8/#REF!)-1),"N/A",(W8/#REF!)-1)</f>
        <v>N/A</v>
      </c>
      <c r="AF8" s="36">
        <f>N8/Summary!$D$3</f>
        <v>247.39509153514288</v>
      </c>
      <c r="AG8" s="36">
        <f>(V8-N8)/Summary!$E$3</f>
        <v>637.91818345484955</v>
      </c>
      <c r="AH8" s="24">
        <f t="shared" ref="AH8:AH25" si="25">AG8-AF8</f>
        <v>390.52309191970664</v>
      </c>
      <c r="AJ8" s="24">
        <f>CZ8-V8</f>
        <v>-1874.2471444992475</v>
      </c>
      <c r="AK8" s="24">
        <f>DA8-V8</f>
        <v>-1926.1317339592474</v>
      </c>
      <c r="AL8" s="24">
        <f>DB8-V8</f>
        <v>-2035.7850706565487</v>
      </c>
      <c r="AM8" s="24">
        <f>CT8-V8</f>
        <v>-1246.7198348092465</v>
      </c>
      <c r="AN8" s="25">
        <f>CF8-V8</f>
        <v>-2178.576163218961</v>
      </c>
      <c r="AP8" s="26">
        <f>U8-L8</f>
        <v>1037.3683911364781</v>
      </c>
      <c r="AQ8" s="26">
        <f t="shared" ref="AQ8:AQ25" si="26">V8-N8</f>
        <v>3189.5909172742477</v>
      </c>
      <c r="AS8" s="27">
        <f>SUMIFS('Sales Data'!$E:$E,'Sales Data'!$A:$A,$B8,'Sales Data'!$B:$B,AS$6,'Sales Data'!$C:$C,"Periodic")/Mapping!$C$2</f>
        <v>215.61462076800001</v>
      </c>
      <c r="AT8" s="27">
        <f>SUMIFS('Sales Data'!$E:$E,'Sales Data'!$A:$A,$B8,'Sales Data'!$B:$B,AT$6,'Sales Data'!$C:$C,"Periodic")/Mapping!$C$2</f>
        <v>214.22626620299999</v>
      </c>
      <c r="AU8" s="27">
        <f>SUMIFS('Sales Data'!$E:$E,'Sales Data'!$A:$A,$B8,'Sales Data'!$B:$B,AU$6,'Sales Data'!$C:$C,"Periodic")/Mapping!$C$2</f>
        <v>306.67822567799999</v>
      </c>
      <c r="AV8" s="27">
        <f>SUMIFS('Sales Data'!$E:$E,'Sales Data'!$A:$A,$B8,'Sales Data'!$B:$B,AV$6,'Sales Data'!$C:$C,"Periodic")/Mapping!$C$2</f>
        <v>206.04026443199999</v>
      </c>
      <c r="AW8" s="27">
        <f>SUMIFS('Sales Data'!$E:$E,'Sales Data'!$A:$A,$B8,'Sales Data'!$B:$B,AW$6,'Sales Data'!$C:$C,"Periodic")/Mapping!$C$2</f>
        <v>244.29622353899998</v>
      </c>
      <c r="AX8" s="27">
        <f>SUMIFS('Sales Data'!$E:$E,'Sales Data'!$A:$A,$B8,'Sales Data'!$B:$B,AX$6,'Sales Data'!$C:$C,"Periodic")/Mapping!$C$2</f>
        <v>249.93769601399998</v>
      </c>
      <c r="AY8" s="27">
        <f>SUMIFS('Sales Data'!$E:$E,'Sales Data'!$A:$A,$B8,'Sales Data'!$B:$B,AY$6,'Sales Data'!$C:$C,"Periodic")/Mapping!$C$2</f>
        <v>294.97234411200003</v>
      </c>
      <c r="AZ8" s="27">
        <f>SUMIFS('Sales Data'!$E:$E,'Sales Data'!$A:$A,$B8,'Sales Data'!$B:$B,AZ$6,'Sales Data'!$C:$C,"Periodic")/Mapping!$C$2</f>
        <v>0</v>
      </c>
      <c r="BA8" s="27">
        <f>SUMIFS('Sales Data'!$E:$E,'Sales Data'!$A:$A,$B8,'Sales Data'!$B:$B,BA$6,'Sales Data'!$C:$C,"Periodic")/Mapping!$C$2</f>
        <v>0</v>
      </c>
      <c r="BB8" s="27">
        <f>SUMIFS('Sales Data'!$E:$E,'Sales Data'!$A:$A,$B8,'Sales Data'!$B:$B,BB$6,'Sales Data'!$C:$C,"Periodic")/Mapping!$C$2</f>
        <v>0</v>
      </c>
      <c r="BC8" s="27">
        <f>SUMIFS('Sales Data'!$E:$E,'Sales Data'!$A:$A,$B8,'Sales Data'!$B:$B,BC$6,'Sales Data'!$C:$C,"Periodic")/Mapping!$C$2</f>
        <v>0</v>
      </c>
      <c r="BD8" s="27">
        <f>SUMIFS('Sales Data'!$E:$E,'Sales Data'!$A:$A,$B8,'Sales Data'!$B:$B,BD$6,'Sales Data'!$C:$C,"Periodic")/Mapping!$C$2</f>
        <v>0</v>
      </c>
      <c r="BE8" s="27">
        <f t="shared" ref="BE8:BE24" si="27">SUM(AS8:BD8)</f>
        <v>1731.7656407459999</v>
      </c>
      <c r="BF8" s="27"/>
      <c r="BG8" s="27">
        <f>SUMIFS('Sales Data'!$E:$E,'Sales Data'!$A:$A,$B8,'Sales Data'!$B:$B,BG$6,'Sales Data'!$C:$C,"Periodic")/Mapping!$C$2</f>
        <v>171.96272132692715</v>
      </c>
      <c r="BH8" s="27">
        <f>SUMIFS('Sales Data'!$E:$E,'Sales Data'!$A:$A,$B8,'Sales Data'!$B:$B,BH$6,'Sales Data'!$C:$C,"Periodic")/Mapping!$C$2</f>
        <v>171.6325823685728</v>
      </c>
      <c r="BI8" s="27">
        <f>SUMIFS('Sales Data'!$E:$E,'Sales Data'!$A:$A,$B8,'Sales Data'!$B:$B,BI$6,'Sales Data'!$C:$C,"Periodic")/Mapping!$C$2</f>
        <v>212.70068453824723</v>
      </c>
      <c r="BJ8" s="27">
        <f>SUMIFS('Sales Data'!$E:$E,'Sales Data'!$A:$A,$B8,'Sales Data'!$B:$B,BJ$6,'Sales Data'!$C:$C,"Periodic")/Mapping!$C$2</f>
        <v>258.54867200973763</v>
      </c>
      <c r="BK8" s="27">
        <f>SUMIFS('Sales Data'!$E:$E,'Sales Data'!$A:$A,$B8,'Sales Data'!$B:$B,BK$6,'Sales Data'!$C:$C,"Periodic")/Mapping!$C$2</f>
        <v>222.52373089299294</v>
      </c>
      <c r="BL8" s="27">
        <f>SUMIFS('Sales Data'!$E:$E,'Sales Data'!$A:$A,$B8,'Sales Data'!$B:$B,BL$6,'Sales Data'!$C:$C,"Periodic")/Mapping!$C$2</f>
        <v>215.61462076800001</v>
      </c>
      <c r="BM8" s="27">
        <f>SUMIFS('Sales Data'!$E:$E,'Sales Data'!$A:$A,$B8,'Sales Data'!$B:$B,BM$6,'Sales Data'!$C:$C,"Periodic")/Mapping!$C$2</f>
        <v>214.22626620299999</v>
      </c>
      <c r="BN8" s="27">
        <f>SUMIFS('Sales Data'!$E:$E,'Sales Data'!$A:$A,$B8,'Sales Data'!$B:$B,BN$6,'Sales Data'!$C:$C,"Periodic")/Mapping!$C$2</f>
        <v>306.67822567799999</v>
      </c>
      <c r="BO8" s="27">
        <f>SUMIFS('Sales Data'!$E:$E,'Sales Data'!$A:$A,$B8,'Sales Data'!$B:$B,BO$6,'Sales Data'!$C:$C,"Periodic")/Mapping!$C$2</f>
        <v>206.04026443199999</v>
      </c>
      <c r="BP8" s="27">
        <f>SUMIFS('Sales Data'!$E:$E,'Sales Data'!$A:$A,$B8,'Sales Data'!$B:$B,BP$6,'Sales Data'!$C:$C,"Periodic")/Mapping!$C$2</f>
        <v>244.29622353899998</v>
      </c>
      <c r="BQ8" s="27">
        <f>SUMIFS('Sales Data'!$E:$E,'Sales Data'!$A:$A,$B8,'Sales Data'!$B:$B,BQ$6,'Sales Data'!$C:$C,"Periodic")/Mapping!$C$2</f>
        <v>249.93769601399998</v>
      </c>
      <c r="BR8" s="27">
        <f>SUMIFS('Sales Data'!$E:$E,'Sales Data'!$A:$A,$B8,'Sales Data'!$B:$B,BR$6,'Sales Data'!$C:$C,"Periodic")/Mapping!$C$2</f>
        <v>294.97234411200003</v>
      </c>
      <c r="BS8" s="27"/>
      <c r="BT8" s="27">
        <f t="shared" si="1"/>
        <v>215.61462076800001</v>
      </c>
      <c r="BU8" s="27">
        <f t="shared" si="2"/>
        <v>214.22626620299999</v>
      </c>
      <c r="BV8" s="27">
        <f t="shared" si="3"/>
        <v>306.67822567799999</v>
      </c>
      <c r="BW8" s="27">
        <f t="shared" si="4"/>
        <v>206.04026443199999</v>
      </c>
      <c r="BX8" s="27">
        <f t="shared" si="5"/>
        <v>244.29622353899998</v>
      </c>
      <c r="BY8" s="27">
        <f t="shared" si="6"/>
        <v>249.93769601399998</v>
      </c>
      <c r="BZ8" s="27">
        <f t="shared" si="7"/>
        <v>294.97234411200003</v>
      </c>
      <c r="CA8" s="27">
        <f t="shared" si="8"/>
        <v>205.88788223202283</v>
      </c>
      <c r="CB8" s="27">
        <f t="shared" si="9"/>
        <v>204.04541652154006</v>
      </c>
      <c r="CC8" s="27">
        <f t="shared" si="10"/>
        <v>202.20295081105735</v>
      </c>
      <c r="CD8" s="27">
        <f t="shared" si="11"/>
        <v>200.36048510057461</v>
      </c>
      <c r="CE8" s="27">
        <f t="shared" si="12"/>
        <v>198.51801939009187</v>
      </c>
      <c r="CF8" s="27">
        <f t="shared" ref="CF8:CF24" si="28">SUM(BT8:CE8)</f>
        <v>2742.7803948012865</v>
      </c>
      <c r="CH8" s="27">
        <f t="shared" si="13"/>
        <v>215.61462076800001</v>
      </c>
      <c r="CI8" s="27">
        <f t="shared" si="14"/>
        <v>214.22626620299999</v>
      </c>
      <c r="CJ8" s="27">
        <f t="shared" si="15"/>
        <v>306.67822567799999</v>
      </c>
      <c r="CK8" s="27">
        <f t="shared" si="16"/>
        <v>206.04026443199999</v>
      </c>
      <c r="CL8" s="27">
        <f t="shared" si="17"/>
        <v>244.29622353899998</v>
      </c>
      <c r="CM8" s="27">
        <f t="shared" si="18"/>
        <v>249.93769601399998</v>
      </c>
      <c r="CN8" s="27">
        <f t="shared" si="19"/>
        <v>294.97234411200003</v>
      </c>
      <c r="CO8" s="27">
        <f t="shared" si="20"/>
        <v>373.04480165528577</v>
      </c>
      <c r="CP8" s="27">
        <f t="shared" si="21"/>
        <v>380.80950907414291</v>
      </c>
      <c r="CQ8" s="27">
        <f t="shared" si="22"/>
        <v>388.57421649300005</v>
      </c>
      <c r="CR8" s="27">
        <f t="shared" si="23"/>
        <v>396.33892391185725</v>
      </c>
      <c r="CS8" s="27">
        <f t="shared" si="24"/>
        <v>404.10363133071439</v>
      </c>
      <c r="CT8" s="29">
        <f t="shared" ref="CT8:CT24" si="29">SUM(CH8:CS8)</f>
        <v>3674.636723211001</v>
      </c>
      <c r="CV8" s="29">
        <f t="shared" ref="CV8:CV25" si="30">SUM(BP8:BR8)/3</f>
        <v>263.068754555</v>
      </c>
      <c r="CW8" s="29">
        <f t="shared" ref="CW8:CW25" si="31">SUM(BM8:BR8)/6</f>
        <v>252.691836663</v>
      </c>
      <c r="CX8" s="29">
        <f t="shared" ref="CX8:CX25" si="32">SUM(BG8:BR8)/12</f>
        <v>230.76116932353978</v>
      </c>
      <c r="CZ8" s="36">
        <f>N8+Summary!$E$3*CV8</f>
        <v>3047.1094135210001</v>
      </c>
      <c r="DA8" s="36">
        <f>N8+CW8*Summary!$E$3</f>
        <v>2995.2248240610002</v>
      </c>
      <c r="DB8" s="26">
        <f>N8+CX8*Summary!$E$3</f>
        <v>2885.5714873636989</v>
      </c>
    </row>
    <row r="9" spans="2:106" ht="15" x14ac:dyDescent="0.25">
      <c r="B9" s="16" t="str">
        <f>Mapping!A4</f>
        <v>Chairs</v>
      </c>
      <c r="C9" s="31">
        <f>SUMIFS('Sales Data'!$E:$E,'Sales Data'!$A:$A,$B9,'Sales Data'!$B:$B,Summary!$C$3&amp;" "&amp;Summary!$C$2-1,'Sales Data'!$C:$C,"Periodic")/Mapping!$C$2</f>
        <v>330.4977830078887</v>
      </c>
      <c r="D9" s="31">
        <f>SUMIFS('Sales Data'!$D:$D,'Sales Data'!$A:$A,$B9,'Sales Data'!$B:$B,Summary!$C$3&amp;" "&amp;Summary!$C$2,'Sales Data'!$C:$C,"Periodic")/Mapping!$C$2</f>
        <v>329.69726462469686</v>
      </c>
      <c r="E9" s="31">
        <f>SUMIFS('Sales Data'!$E:$E,'Sales Data'!$A:$A,$B9,'Sales Data'!$B:$B,Summary!$C$3&amp;" "&amp;Summary!$C$2,'Sales Data'!$C:$C,"Periodic")/Mapping!$C$2</f>
        <v>348.54445078499998</v>
      </c>
      <c r="G9" s="32">
        <f>E9-C9</f>
        <v>18.046667777111281</v>
      </c>
      <c r="H9" s="33">
        <f>IF(ISERROR((E9/C9)-1),"N/A",(E9/C9)-1)</f>
        <v>5.4604504795363606E-2</v>
      </c>
      <c r="I9" s="32">
        <f>E9-D9</f>
        <v>18.847186160303124</v>
      </c>
      <c r="J9" s="33">
        <f>IF(ISERROR((E9/D9)-1),"N/A",(E9/D9)-1)</f>
        <v>5.7165127474616328E-2</v>
      </c>
      <c r="L9" s="34">
        <f>SUMIFS('Sales Data'!$E:$E,'Sales Data'!$A:$A,$B9,'Sales Data'!$F:$F,$C$2-1,'Sales Data'!$G:$G,"&lt;="&amp;$D$3)/Mapping!$C$2</f>
        <v>2028.7036440648662</v>
      </c>
      <c r="M9" s="31">
        <f>SUMIFS('Sales Data'!$D:$D,'Sales Data'!$A:$A,$B9,'Sales Data'!$F:$F,$C$2,'Sales Data'!$G:$G,"&lt;="&amp;$D$3)/Mapping!$C$2</f>
        <v>2129.531723895263</v>
      </c>
      <c r="N9" s="31">
        <f>SUMIFS('Sales Data'!$E:$E,'Sales Data'!$A:$A,$B9,'Sales Data'!$F:$F,$C$2,'Sales Data'!$G:$G,"&lt;="&amp;$D$3)/Mapping!$C$2</f>
        <v>2203.3072247190003</v>
      </c>
      <c r="P9" s="32">
        <f>N9-L9</f>
        <v>174.60358065413402</v>
      </c>
      <c r="Q9" s="33">
        <f>IF(ISERROR((N9/L9)-1),"N/A",(N9/L9)-1)</f>
        <v>8.6066578115019832E-2</v>
      </c>
      <c r="R9" s="32">
        <f>N9-M9</f>
        <v>73.775500823737275</v>
      </c>
      <c r="S9" s="33">
        <f>IF(ISERROR((N9/M9)-1),"N/A",(N9/M9)-1)</f>
        <v>3.4644001775559374E-2</v>
      </c>
      <c r="U9" s="34">
        <f>SUMIFS('Sales Data'!$E:$E,'Sales Data'!$A:$A,$B9,'Sales Data'!$F:$F,$C$2-1,'Sales Data'!$G:$G,"&lt;="&amp;12)/Mapping!$C$2</f>
        <v>3274.8720241281508</v>
      </c>
      <c r="V9" s="31">
        <f>SUMIFS('Sales Data'!$D:$D,'Sales Data'!$A:$A,$B9,'Sales Data'!$F:$F,$C$2,'Sales Data'!$G:$G,"&lt;="&amp;12)/Mapping!$C$2</f>
        <v>3681.2957584788055</v>
      </c>
      <c r="W9" s="31">
        <f>SUMIFS('Sales Data'!$E:$E,'Sales Data'!$A:$A,$B9,'Sales Data'!$F:$F,$C$2,'Sales Data'!$G:$G,"&lt;="&amp;12)/Mapping!$C$2</f>
        <v>2203.3072247190003</v>
      </c>
      <c r="Y9" s="32">
        <f>W9-U9</f>
        <v>-1071.5647994091505</v>
      </c>
      <c r="Z9" s="33">
        <f>IF(ISERROR((W9/U9)-1),"N/A",(W9/U9)-1)</f>
        <v>-0.32720814478068849</v>
      </c>
      <c r="AA9" s="32">
        <f>W9-V9</f>
        <v>-1477.9885337598053</v>
      </c>
      <c r="AB9" s="33">
        <f>IF(ISERROR((W9/V9)-1),"N/A",(W9/V9)-1)</f>
        <v>-0.40148595242739837</v>
      </c>
      <c r="AC9" s="32" t="e">
        <f>W9-#REF!</f>
        <v>#REF!</v>
      </c>
      <c r="AD9" s="35" t="str">
        <f>IF(ISERROR((W9/#REF!)-1),"N/A",(W9/#REF!)-1)</f>
        <v>N/A</v>
      </c>
      <c r="AF9" s="36">
        <f>N9/Summary!$D$3</f>
        <v>314.75817495985717</v>
      </c>
      <c r="AG9" s="36">
        <f>(V9-N9)/Summary!$E$3</f>
        <v>295.59770675196103</v>
      </c>
      <c r="AH9" s="24">
        <f t="shared" si="25"/>
        <v>-19.160468207896145</v>
      </c>
      <c r="AJ9" s="24">
        <f>CZ9-V9</f>
        <v>186.6817557551949</v>
      </c>
      <c r="AK9" s="24">
        <f>DA9-V9</f>
        <v>69.078110937694873</v>
      </c>
      <c r="AL9" s="24">
        <f>DB9-V9</f>
        <v>-40.707031767186891</v>
      </c>
      <c r="AM9" s="24">
        <f>CT9-V9</f>
        <v>2024.2416093201937</v>
      </c>
      <c r="AN9" s="25">
        <f>CF9-V9</f>
        <v>-529.1015898492351</v>
      </c>
      <c r="AP9" s="26">
        <f>U9-L9</f>
        <v>1246.1683800632845</v>
      </c>
      <c r="AQ9" s="26">
        <f t="shared" si="26"/>
        <v>1477.9885337598053</v>
      </c>
      <c r="AS9" s="27">
        <f>SUMIFS('Sales Data'!$E:$E,'Sales Data'!$A:$A,$B9,'Sales Data'!$B:$B,AS$6,'Sales Data'!$C:$C,"Periodic")/Mapping!$C$2</f>
        <v>346.82725108199998</v>
      </c>
      <c r="AT9" s="27">
        <f>SUMIFS('Sales Data'!$E:$E,'Sales Data'!$A:$A,$B9,'Sales Data'!$B:$B,AT$6,'Sales Data'!$C:$C,"Periodic")/Mapping!$C$2</f>
        <v>238.79549961599997</v>
      </c>
      <c r="AU9" s="27">
        <f>SUMIFS('Sales Data'!$E:$E,'Sales Data'!$A:$A,$B9,'Sales Data'!$B:$B,AU$6,'Sales Data'!$C:$C,"Periodic")/Mapping!$C$2</f>
        <v>350.51170027500001</v>
      </c>
      <c r="AV9" s="27">
        <f>SUMIFS('Sales Data'!$E:$E,'Sales Data'!$A:$A,$B9,'Sales Data'!$B:$B,AV$6,'Sales Data'!$C:$C,"Periodic")/Mapping!$C$2</f>
        <v>268.37060003700003</v>
      </c>
      <c r="AW9" s="27">
        <f>SUMIFS('Sales Data'!$E:$E,'Sales Data'!$A:$A,$B9,'Sales Data'!$B:$B,AW$6,'Sales Data'!$C:$C,"Periodic")/Mapping!$C$2</f>
        <v>198.77341220100004</v>
      </c>
      <c r="AX9" s="27">
        <f>SUMIFS('Sales Data'!$E:$E,'Sales Data'!$A:$A,$B9,'Sales Data'!$B:$B,AX$6,'Sales Data'!$C:$C,"Periodic")/Mapping!$C$2</f>
        <v>451.48431072299996</v>
      </c>
      <c r="AY9" s="27">
        <f>SUMIFS('Sales Data'!$E:$E,'Sales Data'!$A:$A,$B9,'Sales Data'!$B:$B,AY$6,'Sales Data'!$C:$C,"Periodic")/Mapping!$C$2</f>
        <v>348.54445078499998</v>
      </c>
      <c r="AZ9" s="27">
        <f>SUMIFS('Sales Data'!$E:$E,'Sales Data'!$A:$A,$B9,'Sales Data'!$B:$B,AZ$6,'Sales Data'!$C:$C,"Periodic")/Mapping!$C$2</f>
        <v>0</v>
      </c>
      <c r="BA9" s="27">
        <f>SUMIFS('Sales Data'!$E:$E,'Sales Data'!$A:$A,$B9,'Sales Data'!$B:$B,BA$6,'Sales Data'!$C:$C,"Periodic")/Mapping!$C$2</f>
        <v>0</v>
      </c>
      <c r="BB9" s="27">
        <f>SUMIFS('Sales Data'!$E:$E,'Sales Data'!$A:$A,$B9,'Sales Data'!$B:$B,BB$6,'Sales Data'!$C:$C,"Periodic")/Mapping!$C$2</f>
        <v>0</v>
      </c>
      <c r="BC9" s="27">
        <f>SUMIFS('Sales Data'!$E:$E,'Sales Data'!$A:$A,$B9,'Sales Data'!$B:$B,BC$6,'Sales Data'!$C:$C,"Periodic")/Mapping!$C$2</f>
        <v>0</v>
      </c>
      <c r="BD9" s="27">
        <f>SUMIFS('Sales Data'!$E:$E,'Sales Data'!$A:$A,$B9,'Sales Data'!$B:$B,BD$6,'Sales Data'!$C:$C,"Periodic")/Mapping!$C$2</f>
        <v>0</v>
      </c>
      <c r="BE9" s="27">
        <f t="shared" si="27"/>
        <v>2203.3072247190003</v>
      </c>
      <c r="BF9" s="27"/>
      <c r="BG9" s="27">
        <f>SUMIFS('Sales Data'!$E:$E,'Sales Data'!$A:$A,$B9,'Sales Data'!$B:$B,BG$6,'Sales Data'!$C:$C,"Periodic")/Mapping!$C$2</f>
        <v>207.34383916267058</v>
      </c>
      <c r="BH9" s="27">
        <f>SUMIFS('Sales Data'!$E:$E,'Sales Data'!$A:$A,$B9,'Sales Data'!$B:$B,BH$6,'Sales Data'!$C:$C,"Periodic")/Mapping!$C$2</f>
        <v>331.0604260942003</v>
      </c>
      <c r="BI9" s="27">
        <f>SUMIFS('Sales Data'!$E:$E,'Sales Data'!$A:$A,$B9,'Sales Data'!$B:$B,BI$6,'Sales Data'!$C:$C,"Periodic")/Mapping!$C$2</f>
        <v>191.55252713425921</v>
      </c>
      <c r="BJ9" s="27">
        <f>SUMIFS('Sales Data'!$E:$E,'Sales Data'!$A:$A,$B9,'Sales Data'!$B:$B,BJ$6,'Sales Data'!$C:$C,"Periodic")/Mapping!$C$2</f>
        <v>319.95400557495987</v>
      </c>
      <c r="BK9" s="27">
        <f>SUMIFS('Sales Data'!$E:$E,'Sales Data'!$A:$A,$B9,'Sales Data'!$B:$B,BK$6,'Sales Data'!$C:$C,"Periodic")/Mapping!$C$2</f>
        <v>196.25758209719424</v>
      </c>
      <c r="BL9" s="27">
        <f>SUMIFS('Sales Data'!$E:$E,'Sales Data'!$A:$A,$B9,'Sales Data'!$B:$B,BL$6,'Sales Data'!$C:$C,"Periodic")/Mapping!$C$2</f>
        <v>346.82725108199998</v>
      </c>
      <c r="BM9" s="27">
        <f>SUMIFS('Sales Data'!$E:$E,'Sales Data'!$A:$A,$B9,'Sales Data'!$B:$B,BM$6,'Sales Data'!$C:$C,"Periodic")/Mapping!$C$2</f>
        <v>238.79549961599997</v>
      </c>
      <c r="BN9" s="27">
        <f>SUMIFS('Sales Data'!$E:$E,'Sales Data'!$A:$A,$B9,'Sales Data'!$B:$B,BN$6,'Sales Data'!$C:$C,"Periodic")/Mapping!$C$2</f>
        <v>350.51170027500001</v>
      </c>
      <c r="BO9" s="27">
        <f>SUMIFS('Sales Data'!$E:$E,'Sales Data'!$A:$A,$B9,'Sales Data'!$B:$B,BO$6,'Sales Data'!$C:$C,"Periodic")/Mapping!$C$2</f>
        <v>268.37060003700003</v>
      </c>
      <c r="BP9" s="27">
        <f>SUMIFS('Sales Data'!$E:$E,'Sales Data'!$A:$A,$B9,'Sales Data'!$B:$B,BP$6,'Sales Data'!$C:$C,"Periodic")/Mapping!$C$2</f>
        <v>198.77341220100004</v>
      </c>
      <c r="BQ9" s="27">
        <f>SUMIFS('Sales Data'!$E:$E,'Sales Data'!$A:$A,$B9,'Sales Data'!$B:$B,BQ$6,'Sales Data'!$C:$C,"Periodic")/Mapping!$C$2</f>
        <v>451.48431072299996</v>
      </c>
      <c r="BR9" s="27">
        <f>SUMIFS('Sales Data'!$E:$E,'Sales Data'!$A:$A,$B9,'Sales Data'!$B:$B,BR$6,'Sales Data'!$C:$C,"Periodic")/Mapping!$C$2</f>
        <v>348.54445078499998</v>
      </c>
      <c r="BS9" s="27"/>
      <c r="BT9" s="27">
        <f t="shared" si="1"/>
        <v>346.82725108199998</v>
      </c>
      <c r="BU9" s="27">
        <f t="shared" si="2"/>
        <v>238.79549961599997</v>
      </c>
      <c r="BV9" s="27">
        <f t="shared" si="3"/>
        <v>350.51170027500001</v>
      </c>
      <c r="BW9" s="27">
        <f t="shared" si="4"/>
        <v>268.37060003700003</v>
      </c>
      <c r="BX9" s="27">
        <f t="shared" si="5"/>
        <v>198.77341220100004</v>
      </c>
      <c r="BY9" s="27">
        <f t="shared" si="6"/>
        <v>451.48431072299996</v>
      </c>
      <c r="BZ9" s="27">
        <f t="shared" si="7"/>
        <v>348.54445078499998</v>
      </c>
      <c r="CA9" s="27">
        <f t="shared" si="8"/>
        <v>202.38111931326367</v>
      </c>
      <c r="CB9" s="27">
        <f t="shared" si="9"/>
        <v>196.07925404768886</v>
      </c>
      <c r="CC9" s="27">
        <f t="shared" si="10"/>
        <v>189.77738878211403</v>
      </c>
      <c r="CD9" s="27">
        <f t="shared" si="11"/>
        <v>183.47552351653923</v>
      </c>
      <c r="CE9" s="27">
        <f t="shared" si="12"/>
        <v>177.17365825096442</v>
      </c>
      <c r="CF9" s="27">
        <f t="shared" si="28"/>
        <v>3152.1941686295704</v>
      </c>
      <c r="CH9" s="27">
        <f t="shared" si="13"/>
        <v>346.82725108199998</v>
      </c>
      <c r="CI9" s="27">
        <f t="shared" si="14"/>
        <v>238.79549961599997</v>
      </c>
      <c r="CJ9" s="27">
        <f t="shared" si="15"/>
        <v>350.51170027500001</v>
      </c>
      <c r="CK9" s="27">
        <f t="shared" si="16"/>
        <v>268.37060003700003</v>
      </c>
      <c r="CL9" s="27">
        <f t="shared" si="17"/>
        <v>198.77341220100004</v>
      </c>
      <c r="CM9" s="27">
        <f t="shared" si="18"/>
        <v>451.48431072299996</v>
      </c>
      <c r="CN9" s="27">
        <f t="shared" si="19"/>
        <v>348.54445078499998</v>
      </c>
      <c r="CO9" s="27">
        <f t="shared" si="20"/>
        <v>655.75657722439996</v>
      </c>
      <c r="CP9" s="27">
        <f t="shared" si="21"/>
        <v>678.10130292019994</v>
      </c>
      <c r="CQ9" s="27">
        <f t="shared" si="22"/>
        <v>700.44602861599992</v>
      </c>
      <c r="CR9" s="27">
        <f t="shared" si="23"/>
        <v>722.79075431180001</v>
      </c>
      <c r="CS9" s="27">
        <f t="shared" si="24"/>
        <v>745.13548000759999</v>
      </c>
      <c r="CT9" s="29">
        <f t="shared" si="29"/>
        <v>5705.5373677989992</v>
      </c>
      <c r="CV9" s="29">
        <f t="shared" si="30"/>
        <v>332.934057903</v>
      </c>
      <c r="CW9" s="29">
        <f t="shared" si="31"/>
        <v>309.41332893949999</v>
      </c>
      <c r="CX9" s="29">
        <f t="shared" si="32"/>
        <v>287.45630039852364</v>
      </c>
      <c r="CZ9" s="36">
        <f>N9+Summary!$E$3*CV9</f>
        <v>3867.9775142340004</v>
      </c>
      <c r="DA9" s="36">
        <f>N9+CW9*Summary!$E$3</f>
        <v>3750.3738694165004</v>
      </c>
      <c r="DB9" s="26">
        <f>N9+CX9*Summary!$E$3</f>
        <v>3640.5887267116186</v>
      </c>
    </row>
    <row r="10" spans="2:106" ht="15" x14ac:dyDescent="0.25">
      <c r="B10" s="16" t="str">
        <f>Mapping!A5</f>
        <v>Accessories</v>
      </c>
      <c r="C10" s="31">
        <f>SUMIFS('Sales Data'!$E:$E,'Sales Data'!$A:$A,$B10,'Sales Data'!$B:$B,Summary!$C$3&amp;" "&amp;Summary!$C$2-1,'Sales Data'!$C:$C,"Periodic")/Mapping!$C$2</f>
        <v>2447.2910734761708</v>
      </c>
      <c r="D10" s="31">
        <f>SUMIFS('Sales Data'!$D:$D,'Sales Data'!$A:$A,$B10,'Sales Data'!$B:$B,Summary!$C$3&amp;" "&amp;Summary!$C$2,'Sales Data'!$C:$C,"Periodic")/Mapping!$C$2</f>
        <v>2295.1582137395931</v>
      </c>
      <c r="E10" s="31">
        <f>SUMIFS('Sales Data'!$E:$E,'Sales Data'!$A:$A,$B10,'Sales Data'!$B:$B,Summary!$C$3&amp;" "&amp;Summary!$C$2,'Sales Data'!$C:$C,"Periodic")/Mapping!$C$2</f>
        <v>2230.7593678140001</v>
      </c>
      <c r="G10" s="32">
        <f t="shared" ref="G10:G23" si="33">E10-C10</f>
        <v>-216.53170566217068</v>
      </c>
      <c r="H10" s="33">
        <f t="shared" ref="H10:H23" si="34">IF(ISERROR((E10/C10)-1),"N/A",(E10/C10)-1)</f>
        <v>-8.8478116889710856E-2</v>
      </c>
      <c r="I10" s="32">
        <f t="shared" ref="I10:I23" si="35">E10-D10</f>
        <v>-64.398845925592923</v>
      </c>
      <c r="J10" s="33">
        <f t="shared" ref="J10:J23" si="36">IF(ISERROR((E10/D10)-1),"N/A",(E10/D10)-1)</f>
        <v>-2.8058565000042113E-2</v>
      </c>
      <c r="L10" s="34">
        <f>SUMIFS('Sales Data'!$E:$E,'Sales Data'!$A:$A,$B10,'Sales Data'!$F:$F,$C$2-1,'Sales Data'!$G:$G,"&lt;="&amp;$D$3)/Mapping!$C$2</f>
        <v>13676.597083579018</v>
      </c>
      <c r="M10" s="31">
        <f>SUMIFS('Sales Data'!$D:$D,'Sales Data'!$A:$A,$B10,'Sales Data'!$F:$F,$C$2,'Sales Data'!$G:$G,"&lt;="&amp;$D$3)/Mapping!$C$2</f>
        <v>14669.68963533943</v>
      </c>
      <c r="N10" s="31">
        <f>SUMIFS('Sales Data'!$E:$E,'Sales Data'!$A:$A,$B10,'Sales Data'!$F:$F,$C$2,'Sales Data'!$G:$G,"&lt;="&amp;$D$3)/Mapping!$C$2</f>
        <v>15745.227913299004</v>
      </c>
      <c r="P10" s="32">
        <f t="shared" ref="P10:P23" si="37">N10-L10</f>
        <v>2068.6308297199867</v>
      </c>
      <c r="Q10" s="33">
        <f t="shared" ref="Q10:Q23" si="38">IF(ISERROR((N10/L10)-1),"N/A",(N10/L10)-1)</f>
        <v>0.15125332837389172</v>
      </c>
      <c r="R10" s="32">
        <f t="shared" ref="R10:R23" si="39">N10-M10</f>
        <v>1075.5382779595748</v>
      </c>
      <c r="S10" s="33">
        <f t="shared" ref="S10:S23" si="40">IF(ISERROR((N10/M10)-1),"N/A",(N10/M10)-1)</f>
        <v>7.3317043829515871E-2</v>
      </c>
      <c r="U10" s="34">
        <f>SUMIFS('Sales Data'!$E:$E,'Sales Data'!$A:$A,$B10,'Sales Data'!$F:$F,$C$2-1,'Sales Data'!$G:$G,"&lt;="&amp;12)/Mapping!$C$2</f>
        <v>23640.903489164757</v>
      </c>
      <c r="V10" s="31">
        <f>SUMIFS('Sales Data'!$D:$D,'Sales Data'!$A:$A,$B10,'Sales Data'!$F:$F,$C$2,'Sales Data'!$G:$G,"&lt;="&amp;12)/Mapping!$C$2</f>
        <v>25060.10992907354</v>
      </c>
      <c r="W10" s="31">
        <f>SUMIFS('Sales Data'!$E:$E,'Sales Data'!$A:$A,$B10,'Sales Data'!$F:$F,$C$2,'Sales Data'!$G:$G,"&lt;="&amp;12)/Mapping!$C$2</f>
        <v>15745.227913299004</v>
      </c>
      <c r="Y10" s="32">
        <f t="shared" ref="Y10:Y23" si="41">W10-U10</f>
        <v>-7895.6755758657528</v>
      </c>
      <c r="Z10" s="33">
        <f t="shared" ref="Z10:Z23" si="42">IF(ISERROR((W10/U10)-1),"N/A",(W10/U10)-1)</f>
        <v>-0.33398366435041482</v>
      </c>
      <c r="AA10" s="32">
        <f t="shared" ref="AA10:AA23" si="43">W10-V10</f>
        <v>-9314.8820157745358</v>
      </c>
      <c r="AB10" s="33">
        <f t="shared" ref="AB10:AB23" si="44">IF(ISERROR((W10/V10)-1),"N/A",(W10/V10)-1)</f>
        <v>-0.37170156244876862</v>
      </c>
      <c r="AC10" s="32" t="e">
        <f>W10-#REF!</f>
        <v>#REF!</v>
      </c>
      <c r="AD10" s="35" t="str">
        <f>IF(ISERROR((W10/#REF!)-1),"N/A",(W10/#REF!)-1)</f>
        <v>N/A</v>
      </c>
      <c r="AF10" s="36">
        <f>N10/Summary!$D$3</f>
        <v>2249.3182733284293</v>
      </c>
      <c r="AG10" s="36">
        <f>(V10-N10)/Summary!$E$3</f>
        <v>1862.9764031549071</v>
      </c>
      <c r="AH10" s="24">
        <f t="shared" ref="AH10:AH23" si="45">AG10-AF10</f>
        <v>-386.34187017352224</v>
      </c>
      <c r="AJ10" s="24">
        <f t="shared" ref="AJ10:AJ23" si="46">CZ10-V10</f>
        <v>1795.9351823654652</v>
      </c>
      <c r="AK10" s="24">
        <f t="shared" ref="AK10:AK23" si="47">DA10-V10</f>
        <v>1827.1331779654647</v>
      </c>
      <c r="AL10" s="24">
        <f t="shared" ref="AL10:AL23" si="48">DB10-V10</f>
        <v>1397.423950427441</v>
      </c>
      <c r="AM10" s="24">
        <f t="shared" ref="AM10:AM23" si="49">CT10-V10</f>
        <v>2601.2067698554565</v>
      </c>
      <c r="AN10" s="25">
        <f t="shared" ref="AN10:AN23" si="50">CF10-V10</f>
        <v>-784.9653410984829</v>
      </c>
      <c r="AP10" s="26">
        <f t="shared" ref="AP10:AP23" si="51">U10-L10</f>
        <v>9964.3064055857394</v>
      </c>
      <c r="AQ10" s="26">
        <f t="shared" ref="AQ10:AQ23" si="52">V10-N10</f>
        <v>9314.8820157745358</v>
      </c>
      <c r="AS10" s="27">
        <f>SUMIFS('Sales Data'!$E:$E,'Sales Data'!$A:$A,$B10,'Sales Data'!$B:$B,AS$6,'Sales Data'!$C:$C,"Periodic")/Mapping!$C$2</f>
        <v>2374.8096808109999</v>
      </c>
      <c r="AT10" s="27">
        <f>SUMIFS('Sales Data'!$E:$E,'Sales Data'!$A:$A,$B10,'Sales Data'!$B:$B,AT$6,'Sales Data'!$C:$C,"Periodic")/Mapping!$C$2</f>
        <v>1899.9102903480002</v>
      </c>
      <c r="AU10" s="27">
        <f>SUMIFS('Sales Data'!$E:$E,'Sales Data'!$A:$A,$B10,'Sales Data'!$B:$B,AU$6,'Sales Data'!$C:$C,"Periodic")/Mapping!$C$2</f>
        <v>2876.2979462190001</v>
      </c>
      <c r="AV10" s="27">
        <f>SUMIFS('Sales Data'!$E:$E,'Sales Data'!$A:$A,$B10,'Sales Data'!$B:$B,AV$6,'Sales Data'!$C:$C,"Periodic")/Mapping!$C$2</f>
        <v>1927.7196770369999</v>
      </c>
      <c r="AW10" s="27">
        <f>SUMIFS('Sales Data'!$E:$E,'Sales Data'!$A:$A,$B10,'Sales Data'!$B:$B,AW$6,'Sales Data'!$C:$C,"Periodic")/Mapping!$C$2</f>
        <v>2047.5976440450002</v>
      </c>
      <c r="AX10" s="27">
        <f>SUMIFS('Sales Data'!$E:$E,'Sales Data'!$A:$A,$B10,'Sales Data'!$B:$B,AX$6,'Sales Data'!$C:$C,"Periodic")/Mapping!$C$2</f>
        <v>2388.1333070249998</v>
      </c>
      <c r="AY10" s="27">
        <f>SUMIFS('Sales Data'!$E:$E,'Sales Data'!$A:$A,$B10,'Sales Data'!$B:$B,AY$6,'Sales Data'!$C:$C,"Periodic")/Mapping!$C$2</f>
        <v>2230.7593678140001</v>
      </c>
      <c r="AZ10" s="27">
        <f>SUMIFS('Sales Data'!$E:$E,'Sales Data'!$A:$A,$B10,'Sales Data'!$B:$B,AZ$6,'Sales Data'!$C:$C,"Periodic")/Mapping!$C$2</f>
        <v>0</v>
      </c>
      <c r="BA10" s="27">
        <f>SUMIFS('Sales Data'!$E:$E,'Sales Data'!$A:$A,$B10,'Sales Data'!$B:$B,BA$6,'Sales Data'!$C:$C,"Periodic")/Mapping!$C$2</f>
        <v>0</v>
      </c>
      <c r="BB10" s="27">
        <f>SUMIFS('Sales Data'!$E:$E,'Sales Data'!$A:$A,$B10,'Sales Data'!$B:$B,BB$6,'Sales Data'!$C:$C,"Periodic")/Mapping!$C$2</f>
        <v>0</v>
      </c>
      <c r="BC10" s="27">
        <f>SUMIFS('Sales Data'!$E:$E,'Sales Data'!$A:$A,$B10,'Sales Data'!$B:$B,BC$6,'Sales Data'!$C:$C,"Periodic")/Mapping!$C$2</f>
        <v>0</v>
      </c>
      <c r="BD10" s="27">
        <f>SUMIFS('Sales Data'!$E:$E,'Sales Data'!$A:$A,$B10,'Sales Data'!$B:$B,BD$6,'Sales Data'!$C:$C,"Periodic")/Mapping!$C$2</f>
        <v>0</v>
      </c>
      <c r="BE10" s="27">
        <f t="shared" ref="BE10:BE23" si="53">SUM(AS10:BD10)</f>
        <v>15745.227913298999</v>
      </c>
      <c r="BF10" s="27"/>
      <c r="BG10" s="27">
        <f>SUMIFS('Sales Data'!$E:$E,'Sales Data'!$A:$A,$B10,'Sales Data'!$B:$B,BG$6,'Sales Data'!$C:$C,"Periodic")/Mapping!$C$2</f>
        <v>1799.0383362456187</v>
      </c>
      <c r="BH10" s="27">
        <f>SUMIFS('Sales Data'!$E:$E,'Sales Data'!$A:$A,$B10,'Sales Data'!$B:$B,BH$6,'Sales Data'!$C:$C,"Periodic")/Mapping!$C$2</f>
        <v>1950.4351278270096</v>
      </c>
      <c r="BI10" s="27">
        <f>SUMIFS('Sales Data'!$E:$E,'Sales Data'!$A:$A,$B10,'Sales Data'!$B:$B,BI$6,'Sales Data'!$C:$C,"Periodic")/Mapping!$C$2</f>
        <v>2097.4438525737464</v>
      </c>
      <c r="BJ10" s="27">
        <f>SUMIFS('Sales Data'!$E:$E,'Sales Data'!$A:$A,$B10,'Sales Data'!$B:$B,BJ$6,'Sales Data'!$C:$C,"Periodic")/Mapping!$C$2</f>
        <v>1940.7240471902387</v>
      </c>
      <c r="BK10" s="27">
        <f>SUMIFS('Sales Data'!$E:$E,'Sales Data'!$A:$A,$B10,'Sales Data'!$B:$B,BK$6,'Sales Data'!$C:$C,"Periodic")/Mapping!$C$2</f>
        <v>2176.6650417491296</v>
      </c>
      <c r="BL10" s="27">
        <f>SUMIFS('Sales Data'!$E:$E,'Sales Data'!$A:$A,$B10,'Sales Data'!$B:$B,BL$6,'Sales Data'!$C:$C,"Periodic")/Mapping!$C$2</f>
        <v>2374.8096808109999</v>
      </c>
      <c r="BM10" s="27">
        <f>SUMIFS('Sales Data'!$E:$E,'Sales Data'!$A:$A,$B10,'Sales Data'!$B:$B,BM$6,'Sales Data'!$C:$C,"Periodic")/Mapping!$C$2</f>
        <v>1899.9102903480002</v>
      </c>
      <c r="BN10" s="27">
        <f>SUMIFS('Sales Data'!$E:$E,'Sales Data'!$A:$A,$B10,'Sales Data'!$B:$B,BN$6,'Sales Data'!$C:$C,"Periodic")/Mapping!$C$2</f>
        <v>2876.2979462190001</v>
      </c>
      <c r="BO10" s="27">
        <f>SUMIFS('Sales Data'!$E:$E,'Sales Data'!$A:$A,$B10,'Sales Data'!$B:$B,BO$6,'Sales Data'!$C:$C,"Periodic")/Mapping!$C$2</f>
        <v>1927.7196770369999</v>
      </c>
      <c r="BP10" s="27">
        <f>SUMIFS('Sales Data'!$E:$E,'Sales Data'!$A:$A,$B10,'Sales Data'!$B:$B,BP$6,'Sales Data'!$C:$C,"Periodic")/Mapping!$C$2</f>
        <v>2047.5976440450002</v>
      </c>
      <c r="BQ10" s="27">
        <f>SUMIFS('Sales Data'!$E:$E,'Sales Data'!$A:$A,$B10,'Sales Data'!$B:$B,BQ$6,'Sales Data'!$C:$C,"Periodic")/Mapping!$C$2</f>
        <v>2388.1333070249998</v>
      </c>
      <c r="BR10" s="27">
        <f>SUMIFS('Sales Data'!$E:$E,'Sales Data'!$A:$A,$B10,'Sales Data'!$B:$B,BR$6,'Sales Data'!$C:$C,"Periodic")/Mapping!$C$2</f>
        <v>2230.7593678140001</v>
      </c>
      <c r="BS10" s="27"/>
      <c r="BT10" s="27">
        <f t="shared" ref="BT10:BT23" si="54">IFERROR(IF(AS10&lt;&gt;0,AS10,FORECAST(BT$1,$BG10:$BR10,$BG$1:$BR$1)),"")</f>
        <v>2374.8096808109999</v>
      </c>
      <c r="BU10" s="27">
        <f t="shared" ref="BU10:BU23" si="55">IFERROR(IF(AT10&lt;&gt;0,AT10,FORECAST(BU$1,$BG10:$BR10,$BG$1:$BR$1)),"")</f>
        <v>1899.9102903480002</v>
      </c>
      <c r="BV10" s="27">
        <f t="shared" ref="BV10:BV23" si="56">IFERROR(IF(AU10&lt;&gt;0,AU10,FORECAST(BV$1,$BG10:$BR10,$BG$1:$BR$1)),"")</f>
        <v>2876.2979462190001</v>
      </c>
      <c r="BW10" s="27">
        <f t="shared" ref="BW10:BW23" si="57">IFERROR(IF(AV10&lt;&gt;0,AV10,FORECAST(BW$1,$BG10:$BR10,$BG$1:$BR$1)),"")</f>
        <v>1927.7196770369999</v>
      </c>
      <c r="BX10" s="27">
        <f t="shared" ref="BX10:BX23" si="58">IFERROR(IF(AW10&lt;&gt;0,AW10,FORECAST(BX$1,$BG10:$BR10,$BG$1:$BR$1)),"")</f>
        <v>2047.5976440450002</v>
      </c>
      <c r="BY10" s="27">
        <f t="shared" ref="BY10:BY23" si="59">IFERROR(IF(AX10&lt;&gt;0,AX10,FORECAST(BY$1,$BG10:$BR10,$BG$1:$BR$1)),"")</f>
        <v>2388.1333070249998</v>
      </c>
      <c r="BZ10" s="27">
        <f t="shared" ref="BZ10:BZ23" si="60">IFERROR(IF(AY10&lt;&gt;0,AY10,FORECAST(BZ$1,$BG10:$BR10,$BG$1:$BR$1)),"")</f>
        <v>2230.7593678140001</v>
      </c>
      <c r="CA10" s="27">
        <f t="shared" ref="CA10:CA23" si="61">IFERROR(IF(AZ10&lt;&gt;0,AZ10,FORECAST(CA$1,$BG10:$BR10,$BG$1:$BR$1)),"")</f>
        <v>1762.3030585874935</v>
      </c>
      <c r="CB10" s="27">
        <f t="shared" ref="CB10:CB23" si="62">IFERROR(IF(BA10&lt;&gt;0,BA10,FORECAST(CB$1,$BG10:$BR10,$BG$1:$BR$1)),"")</f>
        <v>1734.1431967613526</v>
      </c>
      <c r="CC10" s="27">
        <f t="shared" ref="CC10:CC23" si="63">IFERROR(IF(BB10&lt;&gt;0,BB10,FORECAST(CC$1,$BG10:$BR10,$BG$1:$BR$1)),"")</f>
        <v>1705.9833349352116</v>
      </c>
      <c r="CD10" s="27">
        <f t="shared" ref="CD10:CD23" si="64">IFERROR(IF(BC10&lt;&gt;0,BC10,FORECAST(CD$1,$BG10:$BR10,$BG$1:$BR$1)),"")</f>
        <v>1677.8234731090706</v>
      </c>
      <c r="CE10" s="27">
        <f t="shared" ref="CE10:CE23" si="65">IFERROR(IF(BD10&lt;&gt;0,BD10,FORECAST(CE$1,$BG10:$BR10,$BG$1:$BR$1)),"")</f>
        <v>1649.6636112829297</v>
      </c>
      <c r="CF10" s="27">
        <f t="shared" ref="CF10:CF23" si="66">SUM(BT10:CE10)</f>
        <v>24275.144587975057</v>
      </c>
      <c r="CH10" s="27">
        <f t="shared" ref="CH10:CH23" si="67">IFERROR(IF(AS10&lt;&gt;0,AS10,FORECAST(CH$1,$BM10:$BR10,$BM$1:$BR$1)),"")</f>
        <v>2374.8096808109999</v>
      </c>
      <c r="CI10" s="27">
        <f t="shared" ref="CI10:CI23" si="68">IFERROR(IF(AT10&lt;&gt;0,AT10,FORECAST(CI$1,$BM10:$BR10,$BM$1:$BR$1)),"")</f>
        <v>1899.9102903480002</v>
      </c>
      <c r="CJ10" s="27">
        <f t="shared" ref="CJ10:CJ23" si="69">IFERROR(IF(AU10&lt;&gt;0,AU10,FORECAST(CJ$1,$BM10:$BR10,$BM$1:$BR$1)),"")</f>
        <v>2876.2979462190001</v>
      </c>
      <c r="CK10" s="27">
        <f t="shared" ref="CK10:CK23" si="70">IFERROR(IF(AV10&lt;&gt;0,AV10,FORECAST(CK$1,$BM10:$BR10,$BM$1:$BR$1)),"")</f>
        <v>1927.7196770369999</v>
      </c>
      <c r="CL10" s="27">
        <f t="shared" ref="CL10:CL23" si="71">IFERROR(IF(AW10&lt;&gt;0,AW10,FORECAST(CL$1,$BM10:$BR10,$BM$1:$BR$1)),"")</f>
        <v>2047.5976440450002</v>
      </c>
      <c r="CM10" s="27">
        <f t="shared" ref="CM10:CM23" si="72">IFERROR(IF(AX10&lt;&gt;0,AX10,FORECAST(CM$1,$BM10:$BR10,$BM$1:$BR$1)),"")</f>
        <v>2388.1333070249998</v>
      </c>
      <c r="CN10" s="27">
        <f t="shared" ref="CN10:CN23" si="73">IFERROR(IF(AY10&lt;&gt;0,AY10,FORECAST(CN$1,$BM10:$BR10,$BM$1:$BR$1)),"")</f>
        <v>2230.7593678140001</v>
      </c>
      <c r="CO10" s="27">
        <f t="shared" ref="CO10:CO23" si="74">IFERROR(IF(AZ10&lt;&gt;0,AZ10,FORECAST(CO$1,$BM10:$BR10,$BM$1:$BR$1)),"")</f>
        <v>2365.5246464542283</v>
      </c>
      <c r="CP10" s="27">
        <f t="shared" ref="CP10:CP23" si="75">IFERROR(IF(BA10&lt;&gt;0,BA10,FORECAST(CP$1,$BM10:$BR10,$BM$1:$BR$1)),"")</f>
        <v>2374.3712017901139</v>
      </c>
      <c r="CQ10" s="27">
        <f t="shared" ref="CQ10:CQ23" si="76">IFERROR(IF(BB10&lt;&gt;0,BB10,FORECAST(CQ$1,$BM10:$BR10,$BM$1:$BR$1)),"")</f>
        <v>2383.2177571259999</v>
      </c>
      <c r="CR10" s="27">
        <f t="shared" ref="CR10:CR23" si="77">IFERROR(IF(BC10&lt;&gt;0,BC10,FORECAST(CR$1,$BM10:$BR10,$BM$1:$BR$1)),"")</f>
        <v>2392.0643124618855</v>
      </c>
      <c r="CS10" s="27">
        <f t="shared" ref="CS10:CS23" si="78">IFERROR(IF(BD10&lt;&gt;0,BD10,FORECAST(CS$1,$BM10:$BR10,$BM$1:$BR$1)),"")</f>
        <v>2400.9108677977711</v>
      </c>
      <c r="CT10" s="29">
        <f t="shared" ref="CT10:CT23" si="79">SUM(CH10:CS10)</f>
        <v>27661.316698928997</v>
      </c>
      <c r="CV10" s="29">
        <f t="shared" ref="CV10:CV23" si="80">SUM(BP10:BR10)/3</f>
        <v>2222.1634396280001</v>
      </c>
      <c r="CW10" s="29">
        <f t="shared" ref="CW10:CW23" si="81">SUM(BM10:BR10)/6</f>
        <v>2228.4030387480002</v>
      </c>
      <c r="CX10" s="29">
        <f t="shared" ref="CX10:CX23" si="82">SUM(BG10:BR10)/12</f>
        <v>2142.4611932403955</v>
      </c>
      <c r="CZ10" s="36">
        <f>N10+Summary!$E$3*CV10</f>
        <v>26856.045111439005</v>
      </c>
      <c r="DA10" s="36">
        <f>N10+CW10*Summary!$E$3</f>
        <v>26887.243107039005</v>
      </c>
      <c r="DB10" s="26">
        <f>N10+CX10*Summary!$E$3</f>
        <v>26457.533879500981</v>
      </c>
    </row>
    <row r="11" spans="2:106" ht="15" outlineLevel="1" x14ac:dyDescent="0.25">
      <c r="B11" s="16" t="str">
        <f>Mapping!A6</f>
        <v>Placeholder 1</v>
      </c>
      <c r="C11" s="31">
        <f>SUMIFS('Sales Data'!$E:$E,'Sales Data'!$A:$A,$B11,'Sales Data'!$B:$B,Summary!$C$3&amp;" "&amp;Summary!$C$2-1,'Sales Data'!$C:$C,"Periodic")/Mapping!$C$2</f>
        <v>0</v>
      </c>
      <c r="D11" s="31">
        <f>SUMIFS('Sales Data'!$D:$D,'Sales Data'!$A:$A,$B11,'Sales Data'!$B:$B,Summary!$C$3&amp;" "&amp;Summary!$C$2,'Sales Data'!$C:$C,"Periodic")/Mapping!$C$2</f>
        <v>0</v>
      </c>
      <c r="E11" s="31">
        <f>SUMIFS('Sales Data'!$E:$E,'Sales Data'!$A:$A,$B11,'Sales Data'!$B:$B,Summary!$C$3&amp;" "&amp;Summary!$C$2,'Sales Data'!$C:$C,"Periodic")/Mapping!$C$2</f>
        <v>0</v>
      </c>
      <c r="G11" s="32">
        <f t="shared" si="33"/>
        <v>0</v>
      </c>
      <c r="H11" s="33" t="str">
        <f t="shared" si="34"/>
        <v>N/A</v>
      </c>
      <c r="I11" s="32">
        <f t="shared" si="35"/>
        <v>0</v>
      </c>
      <c r="J11" s="33" t="str">
        <f t="shared" si="36"/>
        <v>N/A</v>
      </c>
      <c r="L11" s="34">
        <f>SUMIFS('Sales Data'!$E:$E,'Sales Data'!$A:$A,$B11,'Sales Data'!$F:$F,$C$2-1,'Sales Data'!$G:$G,"&lt;="&amp;$D$3)/Mapping!$C$2</f>
        <v>0</v>
      </c>
      <c r="M11" s="31">
        <f>SUMIFS('Sales Data'!$D:$D,'Sales Data'!$A:$A,$B11,'Sales Data'!$F:$F,$C$2,'Sales Data'!$G:$G,"&lt;="&amp;$D$3)/Mapping!$C$2</f>
        <v>0</v>
      </c>
      <c r="N11" s="31">
        <f>SUMIFS('Sales Data'!$E:$E,'Sales Data'!$A:$A,$B11,'Sales Data'!$F:$F,$C$2,'Sales Data'!$G:$G,"&lt;="&amp;$D$3)/Mapping!$C$2</f>
        <v>0</v>
      </c>
      <c r="P11" s="32">
        <f t="shared" si="37"/>
        <v>0</v>
      </c>
      <c r="Q11" s="33" t="str">
        <f t="shared" si="38"/>
        <v>N/A</v>
      </c>
      <c r="R11" s="32">
        <f t="shared" si="39"/>
        <v>0</v>
      </c>
      <c r="S11" s="33" t="str">
        <f t="shared" si="40"/>
        <v>N/A</v>
      </c>
      <c r="U11" s="34">
        <f>SUMIFS('Sales Data'!$E:$E,'Sales Data'!$A:$A,$B11,'Sales Data'!$F:$F,$C$2-1,'Sales Data'!$G:$G,"&lt;="&amp;12)/Mapping!$C$2</f>
        <v>0</v>
      </c>
      <c r="V11" s="31">
        <f>SUMIFS('Sales Data'!$D:$D,'Sales Data'!$A:$A,$B11,'Sales Data'!$F:$F,$C$2,'Sales Data'!$G:$G,"&lt;="&amp;12)/Mapping!$C$2</f>
        <v>0</v>
      </c>
      <c r="W11" s="31">
        <f>SUMIFS('Sales Data'!$E:$E,'Sales Data'!$A:$A,$B11,'Sales Data'!$F:$F,$C$2,'Sales Data'!$G:$G,"&lt;="&amp;12)/Mapping!$C$2</f>
        <v>0</v>
      </c>
      <c r="Y11" s="32">
        <f t="shared" si="41"/>
        <v>0</v>
      </c>
      <c r="Z11" s="33" t="str">
        <f t="shared" si="42"/>
        <v>N/A</v>
      </c>
      <c r="AA11" s="32">
        <f t="shared" si="43"/>
        <v>0</v>
      </c>
      <c r="AB11" s="33" t="str">
        <f t="shared" si="44"/>
        <v>N/A</v>
      </c>
      <c r="AC11" s="32" t="e">
        <f>W11-#REF!</f>
        <v>#REF!</v>
      </c>
      <c r="AD11" s="35" t="str">
        <f>IF(ISERROR((W11/#REF!)-1),"N/A",(W11/#REF!)-1)</f>
        <v>N/A</v>
      </c>
      <c r="AF11" s="36">
        <f>N11/Summary!$D$3</f>
        <v>0</v>
      </c>
      <c r="AG11" s="36">
        <f>(V11-N11)/Summary!$E$3</f>
        <v>0</v>
      </c>
      <c r="AH11" s="24">
        <f t="shared" si="45"/>
        <v>0</v>
      </c>
      <c r="AJ11" s="24">
        <f t="shared" si="46"/>
        <v>0</v>
      </c>
      <c r="AK11" s="24">
        <f t="shared" si="47"/>
        <v>0</v>
      </c>
      <c r="AL11" s="24">
        <f t="shared" si="48"/>
        <v>0</v>
      </c>
      <c r="AM11" s="24">
        <f t="shared" si="49"/>
        <v>0</v>
      </c>
      <c r="AN11" s="25">
        <f t="shared" si="50"/>
        <v>0</v>
      </c>
      <c r="AP11" s="26">
        <f t="shared" si="51"/>
        <v>0</v>
      </c>
      <c r="AQ11" s="26">
        <f t="shared" si="52"/>
        <v>0</v>
      </c>
      <c r="AS11" s="27">
        <f>SUMIFS('Sales Data'!$E:$E,'Sales Data'!$A:$A,$B11,'Sales Data'!$B:$B,AS$6,'Sales Data'!$C:$C,"Periodic")/Mapping!$C$2</f>
        <v>0</v>
      </c>
      <c r="AT11" s="27">
        <f>SUMIFS('Sales Data'!$E:$E,'Sales Data'!$A:$A,$B11,'Sales Data'!$B:$B,AT$6,'Sales Data'!$C:$C,"Periodic")/Mapping!$C$2</f>
        <v>0</v>
      </c>
      <c r="AU11" s="27">
        <f>SUMIFS('Sales Data'!$E:$E,'Sales Data'!$A:$A,$B11,'Sales Data'!$B:$B,AU$6,'Sales Data'!$C:$C,"Periodic")/Mapping!$C$2</f>
        <v>0</v>
      </c>
      <c r="AV11" s="27">
        <f>SUMIFS('Sales Data'!$E:$E,'Sales Data'!$A:$A,$B11,'Sales Data'!$B:$B,AV$6,'Sales Data'!$C:$C,"Periodic")/Mapping!$C$2</f>
        <v>0</v>
      </c>
      <c r="AW11" s="27">
        <f>SUMIFS('Sales Data'!$E:$E,'Sales Data'!$A:$A,$B11,'Sales Data'!$B:$B,AW$6,'Sales Data'!$C:$C,"Periodic")/Mapping!$C$2</f>
        <v>0</v>
      </c>
      <c r="AX11" s="27">
        <f>SUMIFS('Sales Data'!$E:$E,'Sales Data'!$A:$A,$B11,'Sales Data'!$B:$B,AX$6,'Sales Data'!$C:$C,"Periodic")/Mapping!$C$2</f>
        <v>0</v>
      </c>
      <c r="AY11" s="27">
        <f>SUMIFS('Sales Data'!$E:$E,'Sales Data'!$A:$A,$B11,'Sales Data'!$B:$B,AY$6,'Sales Data'!$C:$C,"Periodic")/Mapping!$C$2</f>
        <v>0</v>
      </c>
      <c r="AZ11" s="27">
        <f>SUMIFS('Sales Data'!$E:$E,'Sales Data'!$A:$A,$B11,'Sales Data'!$B:$B,AZ$6,'Sales Data'!$C:$C,"Periodic")/Mapping!$C$2</f>
        <v>0</v>
      </c>
      <c r="BA11" s="27">
        <f>SUMIFS('Sales Data'!$E:$E,'Sales Data'!$A:$A,$B11,'Sales Data'!$B:$B,BA$6,'Sales Data'!$C:$C,"Periodic")/Mapping!$C$2</f>
        <v>0</v>
      </c>
      <c r="BB11" s="27">
        <f>SUMIFS('Sales Data'!$E:$E,'Sales Data'!$A:$A,$B11,'Sales Data'!$B:$B,BB$6,'Sales Data'!$C:$C,"Periodic")/Mapping!$C$2</f>
        <v>0</v>
      </c>
      <c r="BC11" s="27">
        <f>SUMIFS('Sales Data'!$E:$E,'Sales Data'!$A:$A,$B11,'Sales Data'!$B:$B,BC$6,'Sales Data'!$C:$C,"Periodic")/Mapping!$C$2</f>
        <v>0</v>
      </c>
      <c r="BD11" s="27">
        <f>SUMIFS('Sales Data'!$E:$E,'Sales Data'!$A:$A,$B11,'Sales Data'!$B:$B,BD$6,'Sales Data'!$C:$C,"Periodic")/Mapping!$C$2</f>
        <v>0</v>
      </c>
      <c r="BE11" s="27">
        <f t="shared" si="53"/>
        <v>0</v>
      </c>
      <c r="BF11" s="27"/>
      <c r="BG11" s="27">
        <f>SUMIFS('Sales Data'!$E:$E,'Sales Data'!$A:$A,$B11,'Sales Data'!$B:$B,BG$6,'Sales Data'!$C:$C,"Periodic")/Mapping!$C$2</f>
        <v>0</v>
      </c>
      <c r="BH11" s="27">
        <f>SUMIFS('Sales Data'!$E:$E,'Sales Data'!$A:$A,$B11,'Sales Data'!$B:$B,BH$6,'Sales Data'!$C:$C,"Periodic")/Mapping!$C$2</f>
        <v>0</v>
      </c>
      <c r="BI11" s="27">
        <f>SUMIFS('Sales Data'!$E:$E,'Sales Data'!$A:$A,$B11,'Sales Data'!$B:$B,BI$6,'Sales Data'!$C:$C,"Periodic")/Mapping!$C$2</f>
        <v>0</v>
      </c>
      <c r="BJ11" s="27">
        <f>SUMIFS('Sales Data'!$E:$E,'Sales Data'!$A:$A,$B11,'Sales Data'!$B:$B,BJ$6,'Sales Data'!$C:$C,"Periodic")/Mapping!$C$2</f>
        <v>0</v>
      </c>
      <c r="BK11" s="27">
        <f>SUMIFS('Sales Data'!$E:$E,'Sales Data'!$A:$A,$B11,'Sales Data'!$B:$B,BK$6,'Sales Data'!$C:$C,"Periodic")/Mapping!$C$2</f>
        <v>0</v>
      </c>
      <c r="BL11" s="27">
        <f>SUMIFS('Sales Data'!$E:$E,'Sales Data'!$A:$A,$B11,'Sales Data'!$B:$B,BL$6,'Sales Data'!$C:$C,"Periodic")/Mapping!$C$2</f>
        <v>0</v>
      </c>
      <c r="BM11" s="27">
        <f>SUMIFS('Sales Data'!$E:$E,'Sales Data'!$A:$A,$B11,'Sales Data'!$B:$B,BM$6,'Sales Data'!$C:$C,"Periodic")/Mapping!$C$2</f>
        <v>0</v>
      </c>
      <c r="BN11" s="27">
        <f>SUMIFS('Sales Data'!$E:$E,'Sales Data'!$A:$A,$B11,'Sales Data'!$B:$B,BN$6,'Sales Data'!$C:$C,"Periodic")/Mapping!$C$2</f>
        <v>0</v>
      </c>
      <c r="BO11" s="27">
        <f>SUMIFS('Sales Data'!$E:$E,'Sales Data'!$A:$A,$B11,'Sales Data'!$B:$B,BO$6,'Sales Data'!$C:$C,"Periodic")/Mapping!$C$2</f>
        <v>0</v>
      </c>
      <c r="BP11" s="27">
        <f>SUMIFS('Sales Data'!$E:$E,'Sales Data'!$A:$A,$B11,'Sales Data'!$B:$B,BP$6,'Sales Data'!$C:$C,"Periodic")/Mapping!$C$2</f>
        <v>0</v>
      </c>
      <c r="BQ11" s="27">
        <f>SUMIFS('Sales Data'!$E:$E,'Sales Data'!$A:$A,$B11,'Sales Data'!$B:$B,BQ$6,'Sales Data'!$C:$C,"Periodic")/Mapping!$C$2</f>
        <v>0</v>
      </c>
      <c r="BR11" s="27">
        <f>SUMIFS('Sales Data'!$E:$E,'Sales Data'!$A:$A,$B11,'Sales Data'!$B:$B,BR$6,'Sales Data'!$C:$C,"Periodic")/Mapping!$C$2</f>
        <v>0</v>
      </c>
      <c r="BS11" s="27"/>
      <c r="BT11" s="27">
        <f t="shared" si="54"/>
        <v>0</v>
      </c>
      <c r="BU11" s="27">
        <f t="shared" si="55"/>
        <v>0</v>
      </c>
      <c r="BV11" s="27">
        <f t="shared" si="56"/>
        <v>0</v>
      </c>
      <c r="BW11" s="27">
        <f t="shared" si="57"/>
        <v>0</v>
      </c>
      <c r="BX11" s="27">
        <f t="shared" si="58"/>
        <v>0</v>
      </c>
      <c r="BY11" s="27">
        <f t="shared" si="59"/>
        <v>0</v>
      </c>
      <c r="BZ11" s="27">
        <f t="shared" si="60"/>
        <v>0</v>
      </c>
      <c r="CA11" s="27">
        <f t="shared" si="61"/>
        <v>0</v>
      </c>
      <c r="CB11" s="27">
        <f t="shared" si="62"/>
        <v>0</v>
      </c>
      <c r="CC11" s="27">
        <f t="shared" si="63"/>
        <v>0</v>
      </c>
      <c r="CD11" s="27">
        <f t="shared" si="64"/>
        <v>0</v>
      </c>
      <c r="CE11" s="27">
        <f t="shared" si="65"/>
        <v>0</v>
      </c>
      <c r="CF11" s="27">
        <f t="shared" si="66"/>
        <v>0</v>
      </c>
      <c r="CH11" s="27">
        <f t="shared" si="67"/>
        <v>0</v>
      </c>
      <c r="CI11" s="27">
        <f t="shared" si="68"/>
        <v>0</v>
      </c>
      <c r="CJ11" s="27">
        <f t="shared" si="69"/>
        <v>0</v>
      </c>
      <c r="CK11" s="27">
        <f t="shared" si="70"/>
        <v>0</v>
      </c>
      <c r="CL11" s="27">
        <f t="shared" si="71"/>
        <v>0</v>
      </c>
      <c r="CM11" s="27">
        <f t="shared" si="72"/>
        <v>0</v>
      </c>
      <c r="CN11" s="27">
        <f t="shared" si="73"/>
        <v>0</v>
      </c>
      <c r="CO11" s="27">
        <f t="shared" si="74"/>
        <v>0</v>
      </c>
      <c r="CP11" s="27">
        <f t="shared" si="75"/>
        <v>0</v>
      </c>
      <c r="CQ11" s="27">
        <f t="shared" si="76"/>
        <v>0</v>
      </c>
      <c r="CR11" s="27">
        <f t="shared" si="77"/>
        <v>0</v>
      </c>
      <c r="CS11" s="27">
        <f t="shared" si="78"/>
        <v>0</v>
      </c>
      <c r="CT11" s="29">
        <f t="shared" si="79"/>
        <v>0</v>
      </c>
      <c r="CV11" s="29">
        <f t="shared" si="80"/>
        <v>0</v>
      </c>
      <c r="CW11" s="29">
        <f t="shared" si="81"/>
        <v>0</v>
      </c>
      <c r="CX11" s="29">
        <f t="shared" si="82"/>
        <v>0</v>
      </c>
      <c r="CZ11" s="36">
        <f>N11+Summary!$E$3*CV11</f>
        <v>0</v>
      </c>
      <c r="DA11" s="36">
        <f>N11+CW11*Summary!$E$3</f>
        <v>0</v>
      </c>
      <c r="DB11" s="26">
        <f>N11+CX11*Summary!$E$3</f>
        <v>0</v>
      </c>
    </row>
    <row r="12" spans="2:106" ht="15" outlineLevel="1" x14ac:dyDescent="0.25">
      <c r="B12" s="16" t="str">
        <f>Mapping!A7</f>
        <v>Placeholder 2</v>
      </c>
      <c r="C12" s="31">
        <f>SUMIFS('Sales Data'!$E:$E,'Sales Data'!$A:$A,$B12,'Sales Data'!$B:$B,Summary!$C$3&amp;" "&amp;Summary!$C$2-1,'Sales Data'!$C:$C,"Periodic")/Mapping!$C$2</f>
        <v>0</v>
      </c>
      <c r="D12" s="31">
        <f>SUMIFS('Sales Data'!$D:$D,'Sales Data'!$A:$A,$B12,'Sales Data'!$B:$B,Summary!$C$3&amp;" "&amp;Summary!$C$2,'Sales Data'!$C:$C,"Periodic")/Mapping!$C$2</f>
        <v>0</v>
      </c>
      <c r="E12" s="31">
        <f>SUMIFS('Sales Data'!$E:$E,'Sales Data'!$A:$A,$B12,'Sales Data'!$B:$B,Summary!$C$3&amp;" "&amp;Summary!$C$2,'Sales Data'!$C:$C,"Periodic")/Mapping!$C$2</f>
        <v>0</v>
      </c>
      <c r="G12" s="32">
        <f t="shared" si="33"/>
        <v>0</v>
      </c>
      <c r="H12" s="33" t="str">
        <f t="shared" si="34"/>
        <v>N/A</v>
      </c>
      <c r="I12" s="32">
        <f t="shared" si="35"/>
        <v>0</v>
      </c>
      <c r="J12" s="33" t="str">
        <f t="shared" si="36"/>
        <v>N/A</v>
      </c>
      <c r="L12" s="34">
        <f>SUMIFS('Sales Data'!$E:$E,'Sales Data'!$A:$A,$B12,'Sales Data'!$F:$F,$C$2-1,'Sales Data'!$G:$G,"&lt;="&amp;$D$3)/Mapping!$C$2</f>
        <v>0</v>
      </c>
      <c r="M12" s="31">
        <f>SUMIFS('Sales Data'!$D:$D,'Sales Data'!$A:$A,$B12,'Sales Data'!$F:$F,$C$2,'Sales Data'!$G:$G,"&lt;="&amp;$D$3)/Mapping!$C$2</f>
        <v>0</v>
      </c>
      <c r="N12" s="31">
        <f>SUMIFS('Sales Data'!$E:$E,'Sales Data'!$A:$A,$B12,'Sales Data'!$F:$F,$C$2,'Sales Data'!$G:$G,"&lt;="&amp;$D$3)/Mapping!$C$2</f>
        <v>0</v>
      </c>
      <c r="P12" s="32">
        <f t="shared" si="37"/>
        <v>0</v>
      </c>
      <c r="Q12" s="33" t="str">
        <f t="shared" si="38"/>
        <v>N/A</v>
      </c>
      <c r="R12" s="32">
        <f t="shared" si="39"/>
        <v>0</v>
      </c>
      <c r="S12" s="33" t="str">
        <f t="shared" si="40"/>
        <v>N/A</v>
      </c>
      <c r="U12" s="34">
        <f>SUMIFS('Sales Data'!$E:$E,'Sales Data'!$A:$A,$B12,'Sales Data'!$F:$F,$C$2-1,'Sales Data'!$G:$G,"&lt;="&amp;12)/Mapping!$C$2</f>
        <v>0</v>
      </c>
      <c r="V12" s="31">
        <f>SUMIFS('Sales Data'!$D:$D,'Sales Data'!$A:$A,$B12,'Sales Data'!$F:$F,$C$2,'Sales Data'!$G:$G,"&lt;="&amp;12)/Mapping!$C$2</f>
        <v>0</v>
      </c>
      <c r="W12" s="31">
        <f>SUMIFS('Sales Data'!$E:$E,'Sales Data'!$A:$A,$B12,'Sales Data'!$F:$F,$C$2,'Sales Data'!$G:$G,"&lt;="&amp;12)/Mapping!$C$2</f>
        <v>0</v>
      </c>
      <c r="Y12" s="32">
        <f t="shared" si="41"/>
        <v>0</v>
      </c>
      <c r="Z12" s="33" t="str">
        <f t="shared" si="42"/>
        <v>N/A</v>
      </c>
      <c r="AA12" s="32">
        <f t="shared" si="43"/>
        <v>0</v>
      </c>
      <c r="AB12" s="33" t="str">
        <f t="shared" si="44"/>
        <v>N/A</v>
      </c>
      <c r="AC12" s="32" t="e">
        <f>W12-#REF!</f>
        <v>#REF!</v>
      </c>
      <c r="AD12" s="35" t="str">
        <f>IF(ISERROR((W12/#REF!)-1),"N/A",(W12/#REF!)-1)</f>
        <v>N/A</v>
      </c>
      <c r="AF12" s="36">
        <f>N12/Summary!$D$3</f>
        <v>0</v>
      </c>
      <c r="AG12" s="36">
        <f>(V12-N12)/Summary!$E$3</f>
        <v>0</v>
      </c>
      <c r="AH12" s="24">
        <f t="shared" si="45"/>
        <v>0</v>
      </c>
      <c r="AJ12" s="24">
        <f t="shared" si="46"/>
        <v>0</v>
      </c>
      <c r="AK12" s="24">
        <f t="shared" si="47"/>
        <v>0</v>
      </c>
      <c r="AL12" s="24">
        <f t="shared" si="48"/>
        <v>0</v>
      </c>
      <c r="AM12" s="24">
        <f t="shared" si="49"/>
        <v>0</v>
      </c>
      <c r="AN12" s="25">
        <f t="shared" si="50"/>
        <v>0</v>
      </c>
      <c r="AP12" s="26">
        <f t="shared" si="51"/>
        <v>0</v>
      </c>
      <c r="AQ12" s="26">
        <f t="shared" si="52"/>
        <v>0</v>
      </c>
      <c r="AS12" s="27">
        <f>SUMIFS('Sales Data'!$E:$E,'Sales Data'!$A:$A,$B12,'Sales Data'!$B:$B,AS$6,'Sales Data'!$C:$C,"Periodic")/Mapping!$C$2</f>
        <v>0</v>
      </c>
      <c r="AT12" s="27">
        <f>SUMIFS('Sales Data'!$E:$E,'Sales Data'!$A:$A,$B12,'Sales Data'!$B:$B,AT$6,'Sales Data'!$C:$C,"Periodic")/Mapping!$C$2</f>
        <v>0</v>
      </c>
      <c r="AU12" s="27">
        <f>SUMIFS('Sales Data'!$E:$E,'Sales Data'!$A:$A,$B12,'Sales Data'!$B:$B,AU$6,'Sales Data'!$C:$C,"Periodic")/Mapping!$C$2</f>
        <v>0</v>
      </c>
      <c r="AV12" s="27">
        <f>SUMIFS('Sales Data'!$E:$E,'Sales Data'!$A:$A,$B12,'Sales Data'!$B:$B,AV$6,'Sales Data'!$C:$C,"Periodic")/Mapping!$C$2</f>
        <v>0</v>
      </c>
      <c r="AW12" s="27">
        <f>SUMIFS('Sales Data'!$E:$E,'Sales Data'!$A:$A,$B12,'Sales Data'!$B:$B,AW$6,'Sales Data'!$C:$C,"Periodic")/Mapping!$C$2</f>
        <v>0</v>
      </c>
      <c r="AX12" s="27">
        <f>SUMIFS('Sales Data'!$E:$E,'Sales Data'!$A:$A,$B12,'Sales Data'!$B:$B,AX$6,'Sales Data'!$C:$C,"Periodic")/Mapping!$C$2</f>
        <v>0</v>
      </c>
      <c r="AY12" s="27">
        <f>SUMIFS('Sales Data'!$E:$E,'Sales Data'!$A:$A,$B12,'Sales Data'!$B:$B,AY$6,'Sales Data'!$C:$C,"Periodic")/Mapping!$C$2</f>
        <v>0</v>
      </c>
      <c r="AZ12" s="27">
        <f>SUMIFS('Sales Data'!$E:$E,'Sales Data'!$A:$A,$B12,'Sales Data'!$B:$B,AZ$6,'Sales Data'!$C:$C,"Periodic")/Mapping!$C$2</f>
        <v>0</v>
      </c>
      <c r="BA12" s="27">
        <f>SUMIFS('Sales Data'!$E:$E,'Sales Data'!$A:$A,$B12,'Sales Data'!$B:$B,BA$6,'Sales Data'!$C:$C,"Periodic")/Mapping!$C$2</f>
        <v>0</v>
      </c>
      <c r="BB12" s="27">
        <f>SUMIFS('Sales Data'!$E:$E,'Sales Data'!$A:$A,$B12,'Sales Data'!$B:$B,BB$6,'Sales Data'!$C:$C,"Periodic")/Mapping!$C$2</f>
        <v>0</v>
      </c>
      <c r="BC12" s="27">
        <f>SUMIFS('Sales Data'!$E:$E,'Sales Data'!$A:$A,$B12,'Sales Data'!$B:$B,BC$6,'Sales Data'!$C:$C,"Periodic")/Mapping!$C$2</f>
        <v>0</v>
      </c>
      <c r="BD12" s="27">
        <f>SUMIFS('Sales Data'!$E:$E,'Sales Data'!$A:$A,$B12,'Sales Data'!$B:$B,BD$6,'Sales Data'!$C:$C,"Periodic")/Mapping!$C$2</f>
        <v>0</v>
      </c>
      <c r="BE12" s="27">
        <f t="shared" si="53"/>
        <v>0</v>
      </c>
      <c r="BF12" s="27"/>
      <c r="BG12" s="27">
        <f>SUMIFS('Sales Data'!$E:$E,'Sales Data'!$A:$A,$B12,'Sales Data'!$B:$B,BG$6,'Sales Data'!$C:$C,"Periodic")/Mapping!$C$2</f>
        <v>0</v>
      </c>
      <c r="BH12" s="27">
        <f>SUMIFS('Sales Data'!$E:$E,'Sales Data'!$A:$A,$B12,'Sales Data'!$B:$B,BH$6,'Sales Data'!$C:$C,"Periodic")/Mapping!$C$2</f>
        <v>0</v>
      </c>
      <c r="BI12" s="27">
        <f>SUMIFS('Sales Data'!$E:$E,'Sales Data'!$A:$A,$B12,'Sales Data'!$B:$B,BI$6,'Sales Data'!$C:$C,"Periodic")/Mapping!$C$2</f>
        <v>0</v>
      </c>
      <c r="BJ12" s="27">
        <f>SUMIFS('Sales Data'!$E:$E,'Sales Data'!$A:$A,$B12,'Sales Data'!$B:$B,BJ$6,'Sales Data'!$C:$C,"Periodic")/Mapping!$C$2</f>
        <v>0</v>
      </c>
      <c r="BK12" s="27">
        <f>SUMIFS('Sales Data'!$E:$E,'Sales Data'!$A:$A,$B12,'Sales Data'!$B:$B,BK$6,'Sales Data'!$C:$C,"Periodic")/Mapping!$C$2</f>
        <v>0</v>
      </c>
      <c r="BL12" s="27">
        <f>SUMIFS('Sales Data'!$E:$E,'Sales Data'!$A:$A,$B12,'Sales Data'!$B:$B,BL$6,'Sales Data'!$C:$C,"Periodic")/Mapping!$C$2</f>
        <v>0</v>
      </c>
      <c r="BM12" s="27">
        <f>SUMIFS('Sales Data'!$E:$E,'Sales Data'!$A:$A,$B12,'Sales Data'!$B:$B,BM$6,'Sales Data'!$C:$C,"Periodic")/Mapping!$C$2</f>
        <v>0</v>
      </c>
      <c r="BN12" s="27">
        <f>SUMIFS('Sales Data'!$E:$E,'Sales Data'!$A:$A,$B12,'Sales Data'!$B:$B,BN$6,'Sales Data'!$C:$C,"Periodic")/Mapping!$C$2</f>
        <v>0</v>
      </c>
      <c r="BO12" s="27">
        <f>SUMIFS('Sales Data'!$E:$E,'Sales Data'!$A:$A,$B12,'Sales Data'!$B:$B,BO$6,'Sales Data'!$C:$C,"Periodic")/Mapping!$C$2</f>
        <v>0</v>
      </c>
      <c r="BP12" s="27">
        <f>SUMIFS('Sales Data'!$E:$E,'Sales Data'!$A:$A,$B12,'Sales Data'!$B:$B,BP$6,'Sales Data'!$C:$C,"Periodic")/Mapping!$C$2</f>
        <v>0</v>
      </c>
      <c r="BQ12" s="27">
        <f>SUMIFS('Sales Data'!$E:$E,'Sales Data'!$A:$A,$B12,'Sales Data'!$B:$B,BQ$6,'Sales Data'!$C:$C,"Periodic")/Mapping!$C$2</f>
        <v>0</v>
      </c>
      <c r="BR12" s="27">
        <f>SUMIFS('Sales Data'!$E:$E,'Sales Data'!$A:$A,$B12,'Sales Data'!$B:$B,BR$6,'Sales Data'!$C:$C,"Periodic")/Mapping!$C$2</f>
        <v>0</v>
      </c>
      <c r="BS12" s="27"/>
      <c r="BT12" s="27">
        <f t="shared" si="54"/>
        <v>0</v>
      </c>
      <c r="BU12" s="27">
        <f t="shared" si="55"/>
        <v>0</v>
      </c>
      <c r="BV12" s="27">
        <f t="shared" si="56"/>
        <v>0</v>
      </c>
      <c r="BW12" s="27">
        <f t="shared" si="57"/>
        <v>0</v>
      </c>
      <c r="BX12" s="27">
        <f t="shared" si="58"/>
        <v>0</v>
      </c>
      <c r="BY12" s="27">
        <f t="shared" si="59"/>
        <v>0</v>
      </c>
      <c r="BZ12" s="27">
        <f t="shared" si="60"/>
        <v>0</v>
      </c>
      <c r="CA12" s="27">
        <f t="shared" si="61"/>
        <v>0</v>
      </c>
      <c r="CB12" s="27">
        <f t="shared" si="62"/>
        <v>0</v>
      </c>
      <c r="CC12" s="27">
        <f t="shared" si="63"/>
        <v>0</v>
      </c>
      <c r="CD12" s="27">
        <f t="shared" si="64"/>
        <v>0</v>
      </c>
      <c r="CE12" s="27">
        <f t="shared" si="65"/>
        <v>0</v>
      </c>
      <c r="CF12" s="27">
        <f t="shared" si="66"/>
        <v>0</v>
      </c>
      <c r="CH12" s="27">
        <f t="shared" si="67"/>
        <v>0</v>
      </c>
      <c r="CI12" s="27">
        <f t="shared" si="68"/>
        <v>0</v>
      </c>
      <c r="CJ12" s="27">
        <f t="shared" si="69"/>
        <v>0</v>
      </c>
      <c r="CK12" s="27">
        <f t="shared" si="70"/>
        <v>0</v>
      </c>
      <c r="CL12" s="27">
        <f t="shared" si="71"/>
        <v>0</v>
      </c>
      <c r="CM12" s="27">
        <f t="shared" si="72"/>
        <v>0</v>
      </c>
      <c r="CN12" s="27">
        <f t="shared" si="73"/>
        <v>0</v>
      </c>
      <c r="CO12" s="27">
        <f t="shared" si="74"/>
        <v>0</v>
      </c>
      <c r="CP12" s="27">
        <f t="shared" si="75"/>
        <v>0</v>
      </c>
      <c r="CQ12" s="27">
        <f t="shared" si="76"/>
        <v>0</v>
      </c>
      <c r="CR12" s="27">
        <f t="shared" si="77"/>
        <v>0</v>
      </c>
      <c r="CS12" s="27">
        <f t="shared" si="78"/>
        <v>0</v>
      </c>
      <c r="CT12" s="29">
        <f t="shared" si="79"/>
        <v>0</v>
      </c>
      <c r="CV12" s="29">
        <f t="shared" si="80"/>
        <v>0</v>
      </c>
      <c r="CW12" s="29">
        <f t="shared" si="81"/>
        <v>0</v>
      </c>
      <c r="CX12" s="29">
        <f t="shared" si="82"/>
        <v>0</v>
      </c>
      <c r="CZ12" s="36">
        <f>N12+Summary!$E$3*CV12</f>
        <v>0</v>
      </c>
      <c r="DA12" s="36">
        <f>N12+CW12*Summary!$E$3</f>
        <v>0</v>
      </c>
      <c r="DB12" s="26">
        <f>N12+CX12*Summary!$E$3</f>
        <v>0</v>
      </c>
    </row>
    <row r="13" spans="2:106" ht="15" outlineLevel="1" x14ac:dyDescent="0.25">
      <c r="B13" s="16" t="str">
        <f>Mapping!A8</f>
        <v>Placeholder 3</v>
      </c>
      <c r="C13" s="31">
        <f>SUMIFS('Sales Data'!$E:$E,'Sales Data'!$A:$A,$B13,'Sales Data'!$B:$B,Summary!$C$3&amp;" "&amp;Summary!$C$2-1,'Sales Data'!$C:$C,"Periodic")/Mapping!$C$2</f>
        <v>0</v>
      </c>
      <c r="D13" s="31">
        <f>SUMIFS('Sales Data'!$D:$D,'Sales Data'!$A:$A,$B13,'Sales Data'!$B:$B,Summary!$C$3&amp;" "&amp;Summary!$C$2,'Sales Data'!$C:$C,"Periodic")/Mapping!$C$2</f>
        <v>0</v>
      </c>
      <c r="E13" s="31">
        <f>SUMIFS('Sales Data'!$E:$E,'Sales Data'!$A:$A,$B13,'Sales Data'!$B:$B,Summary!$C$3&amp;" "&amp;Summary!$C$2,'Sales Data'!$C:$C,"Periodic")/Mapping!$C$2</f>
        <v>0</v>
      </c>
      <c r="G13" s="32">
        <f t="shared" si="33"/>
        <v>0</v>
      </c>
      <c r="H13" s="33" t="str">
        <f t="shared" si="34"/>
        <v>N/A</v>
      </c>
      <c r="I13" s="32">
        <f t="shared" si="35"/>
        <v>0</v>
      </c>
      <c r="J13" s="33" t="str">
        <f t="shared" si="36"/>
        <v>N/A</v>
      </c>
      <c r="L13" s="34">
        <f>SUMIFS('Sales Data'!$E:$E,'Sales Data'!$A:$A,$B13,'Sales Data'!$F:$F,$C$2-1,'Sales Data'!$G:$G,"&lt;="&amp;$D$3)/Mapping!$C$2</f>
        <v>0</v>
      </c>
      <c r="M13" s="31">
        <f>SUMIFS('Sales Data'!$D:$D,'Sales Data'!$A:$A,$B13,'Sales Data'!$F:$F,$C$2,'Sales Data'!$G:$G,"&lt;="&amp;$D$3)/Mapping!$C$2</f>
        <v>0</v>
      </c>
      <c r="N13" s="31">
        <f>SUMIFS('Sales Data'!$E:$E,'Sales Data'!$A:$A,$B13,'Sales Data'!$F:$F,$C$2,'Sales Data'!$G:$G,"&lt;="&amp;$D$3)/Mapping!$C$2</f>
        <v>0</v>
      </c>
      <c r="P13" s="32">
        <f t="shared" si="37"/>
        <v>0</v>
      </c>
      <c r="Q13" s="33" t="str">
        <f t="shared" si="38"/>
        <v>N/A</v>
      </c>
      <c r="R13" s="32">
        <f t="shared" si="39"/>
        <v>0</v>
      </c>
      <c r="S13" s="33" t="str">
        <f t="shared" si="40"/>
        <v>N/A</v>
      </c>
      <c r="U13" s="34">
        <f>SUMIFS('Sales Data'!$E:$E,'Sales Data'!$A:$A,$B13,'Sales Data'!$F:$F,$C$2-1,'Sales Data'!$G:$G,"&lt;="&amp;12)/Mapping!$C$2</f>
        <v>0</v>
      </c>
      <c r="V13" s="31">
        <f>SUMIFS('Sales Data'!$D:$D,'Sales Data'!$A:$A,$B13,'Sales Data'!$F:$F,$C$2,'Sales Data'!$G:$G,"&lt;="&amp;12)/Mapping!$C$2</f>
        <v>0</v>
      </c>
      <c r="W13" s="31">
        <f>SUMIFS('Sales Data'!$E:$E,'Sales Data'!$A:$A,$B13,'Sales Data'!$F:$F,$C$2,'Sales Data'!$G:$G,"&lt;="&amp;12)/Mapping!$C$2</f>
        <v>0</v>
      </c>
      <c r="Y13" s="32">
        <f t="shared" si="41"/>
        <v>0</v>
      </c>
      <c r="Z13" s="33" t="str">
        <f t="shared" si="42"/>
        <v>N/A</v>
      </c>
      <c r="AA13" s="32">
        <f t="shared" si="43"/>
        <v>0</v>
      </c>
      <c r="AB13" s="33" t="str">
        <f t="shared" si="44"/>
        <v>N/A</v>
      </c>
      <c r="AC13" s="32" t="e">
        <f>W13-#REF!</f>
        <v>#REF!</v>
      </c>
      <c r="AD13" s="35" t="str">
        <f>IF(ISERROR((W13/#REF!)-1),"N/A",(W13/#REF!)-1)</f>
        <v>N/A</v>
      </c>
      <c r="AF13" s="36">
        <f>N13/Summary!$D$3</f>
        <v>0</v>
      </c>
      <c r="AG13" s="36">
        <f>(V13-N13)/Summary!$E$3</f>
        <v>0</v>
      </c>
      <c r="AH13" s="24">
        <f t="shared" si="45"/>
        <v>0</v>
      </c>
      <c r="AJ13" s="24">
        <f t="shared" si="46"/>
        <v>0</v>
      </c>
      <c r="AK13" s="24">
        <f t="shared" si="47"/>
        <v>0</v>
      </c>
      <c r="AL13" s="24">
        <f t="shared" si="48"/>
        <v>0</v>
      </c>
      <c r="AM13" s="24">
        <f t="shared" si="49"/>
        <v>0</v>
      </c>
      <c r="AN13" s="25">
        <f t="shared" si="50"/>
        <v>0</v>
      </c>
      <c r="AP13" s="26">
        <f t="shared" si="51"/>
        <v>0</v>
      </c>
      <c r="AQ13" s="26">
        <f t="shared" si="52"/>
        <v>0</v>
      </c>
      <c r="AS13" s="27">
        <f>SUMIFS('Sales Data'!$E:$E,'Sales Data'!$A:$A,$B13,'Sales Data'!$B:$B,AS$6,'Sales Data'!$C:$C,"Periodic")/Mapping!$C$2</f>
        <v>0</v>
      </c>
      <c r="AT13" s="27">
        <f>SUMIFS('Sales Data'!$E:$E,'Sales Data'!$A:$A,$B13,'Sales Data'!$B:$B,AT$6,'Sales Data'!$C:$C,"Periodic")/Mapping!$C$2</f>
        <v>0</v>
      </c>
      <c r="AU13" s="27">
        <f>SUMIFS('Sales Data'!$E:$E,'Sales Data'!$A:$A,$B13,'Sales Data'!$B:$B,AU$6,'Sales Data'!$C:$C,"Periodic")/Mapping!$C$2</f>
        <v>0</v>
      </c>
      <c r="AV13" s="27">
        <f>SUMIFS('Sales Data'!$E:$E,'Sales Data'!$A:$A,$B13,'Sales Data'!$B:$B,AV$6,'Sales Data'!$C:$C,"Periodic")/Mapping!$C$2</f>
        <v>0</v>
      </c>
      <c r="AW13" s="27">
        <f>SUMIFS('Sales Data'!$E:$E,'Sales Data'!$A:$A,$B13,'Sales Data'!$B:$B,AW$6,'Sales Data'!$C:$C,"Periodic")/Mapping!$C$2</f>
        <v>0</v>
      </c>
      <c r="AX13" s="27">
        <f>SUMIFS('Sales Data'!$E:$E,'Sales Data'!$A:$A,$B13,'Sales Data'!$B:$B,AX$6,'Sales Data'!$C:$C,"Periodic")/Mapping!$C$2</f>
        <v>0</v>
      </c>
      <c r="AY13" s="27">
        <f>SUMIFS('Sales Data'!$E:$E,'Sales Data'!$A:$A,$B13,'Sales Data'!$B:$B,AY$6,'Sales Data'!$C:$C,"Periodic")/Mapping!$C$2</f>
        <v>0</v>
      </c>
      <c r="AZ13" s="27">
        <f>SUMIFS('Sales Data'!$E:$E,'Sales Data'!$A:$A,$B13,'Sales Data'!$B:$B,AZ$6,'Sales Data'!$C:$C,"Periodic")/Mapping!$C$2</f>
        <v>0</v>
      </c>
      <c r="BA13" s="27">
        <f>SUMIFS('Sales Data'!$E:$E,'Sales Data'!$A:$A,$B13,'Sales Data'!$B:$B,BA$6,'Sales Data'!$C:$C,"Periodic")/Mapping!$C$2</f>
        <v>0</v>
      </c>
      <c r="BB13" s="27">
        <f>SUMIFS('Sales Data'!$E:$E,'Sales Data'!$A:$A,$B13,'Sales Data'!$B:$B,BB$6,'Sales Data'!$C:$C,"Periodic")/Mapping!$C$2</f>
        <v>0</v>
      </c>
      <c r="BC13" s="27">
        <f>SUMIFS('Sales Data'!$E:$E,'Sales Data'!$A:$A,$B13,'Sales Data'!$B:$B,BC$6,'Sales Data'!$C:$C,"Periodic")/Mapping!$C$2</f>
        <v>0</v>
      </c>
      <c r="BD13" s="27">
        <f>SUMIFS('Sales Data'!$E:$E,'Sales Data'!$A:$A,$B13,'Sales Data'!$B:$B,BD$6,'Sales Data'!$C:$C,"Periodic")/Mapping!$C$2</f>
        <v>0</v>
      </c>
      <c r="BE13" s="27">
        <f t="shared" si="53"/>
        <v>0</v>
      </c>
      <c r="BF13" s="27"/>
      <c r="BG13" s="27">
        <f>SUMIFS('Sales Data'!$E:$E,'Sales Data'!$A:$A,$B13,'Sales Data'!$B:$B,BG$6,'Sales Data'!$C:$C,"Periodic")/Mapping!$C$2</f>
        <v>0</v>
      </c>
      <c r="BH13" s="27">
        <f>SUMIFS('Sales Data'!$E:$E,'Sales Data'!$A:$A,$B13,'Sales Data'!$B:$B,BH$6,'Sales Data'!$C:$C,"Periodic")/Mapping!$C$2</f>
        <v>0</v>
      </c>
      <c r="BI13" s="27">
        <f>SUMIFS('Sales Data'!$E:$E,'Sales Data'!$A:$A,$B13,'Sales Data'!$B:$B,BI$6,'Sales Data'!$C:$C,"Periodic")/Mapping!$C$2</f>
        <v>0</v>
      </c>
      <c r="BJ13" s="27">
        <f>SUMIFS('Sales Data'!$E:$E,'Sales Data'!$A:$A,$B13,'Sales Data'!$B:$B,BJ$6,'Sales Data'!$C:$C,"Periodic")/Mapping!$C$2</f>
        <v>0</v>
      </c>
      <c r="BK13" s="27">
        <f>SUMIFS('Sales Data'!$E:$E,'Sales Data'!$A:$A,$B13,'Sales Data'!$B:$B,BK$6,'Sales Data'!$C:$C,"Periodic")/Mapping!$C$2</f>
        <v>0</v>
      </c>
      <c r="BL13" s="27">
        <f>SUMIFS('Sales Data'!$E:$E,'Sales Data'!$A:$A,$B13,'Sales Data'!$B:$B,BL$6,'Sales Data'!$C:$C,"Periodic")/Mapping!$C$2</f>
        <v>0</v>
      </c>
      <c r="BM13" s="27">
        <f>SUMIFS('Sales Data'!$E:$E,'Sales Data'!$A:$A,$B13,'Sales Data'!$B:$B,BM$6,'Sales Data'!$C:$C,"Periodic")/Mapping!$C$2</f>
        <v>0</v>
      </c>
      <c r="BN13" s="27">
        <f>SUMIFS('Sales Data'!$E:$E,'Sales Data'!$A:$A,$B13,'Sales Data'!$B:$B,BN$6,'Sales Data'!$C:$C,"Periodic")/Mapping!$C$2</f>
        <v>0</v>
      </c>
      <c r="BO13" s="27">
        <f>SUMIFS('Sales Data'!$E:$E,'Sales Data'!$A:$A,$B13,'Sales Data'!$B:$B,BO$6,'Sales Data'!$C:$C,"Periodic")/Mapping!$C$2</f>
        <v>0</v>
      </c>
      <c r="BP13" s="27">
        <f>SUMIFS('Sales Data'!$E:$E,'Sales Data'!$A:$A,$B13,'Sales Data'!$B:$B,BP$6,'Sales Data'!$C:$C,"Periodic")/Mapping!$C$2</f>
        <v>0</v>
      </c>
      <c r="BQ13" s="27">
        <f>SUMIFS('Sales Data'!$E:$E,'Sales Data'!$A:$A,$B13,'Sales Data'!$B:$B,BQ$6,'Sales Data'!$C:$C,"Periodic")/Mapping!$C$2</f>
        <v>0</v>
      </c>
      <c r="BR13" s="27">
        <f>SUMIFS('Sales Data'!$E:$E,'Sales Data'!$A:$A,$B13,'Sales Data'!$B:$B,BR$6,'Sales Data'!$C:$C,"Periodic")/Mapping!$C$2</f>
        <v>0</v>
      </c>
      <c r="BS13" s="27"/>
      <c r="BT13" s="27">
        <f t="shared" si="54"/>
        <v>0</v>
      </c>
      <c r="BU13" s="27">
        <f t="shared" si="55"/>
        <v>0</v>
      </c>
      <c r="BV13" s="27">
        <f t="shared" si="56"/>
        <v>0</v>
      </c>
      <c r="BW13" s="27">
        <f t="shared" si="57"/>
        <v>0</v>
      </c>
      <c r="BX13" s="27">
        <f t="shared" si="58"/>
        <v>0</v>
      </c>
      <c r="BY13" s="27">
        <f t="shared" si="59"/>
        <v>0</v>
      </c>
      <c r="BZ13" s="27">
        <f t="shared" si="60"/>
        <v>0</v>
      </c>
      <c r="CA13" s="27">
        <f t="shared" si="61"/>
        <v>0</v>
      </c>
      <c r="CB13" s="27">
        <f t="shared" si="62"/>
        <v>0</v>
      </c>
      <c r="CC13" s="27">
        <f t="shared" si="63"/>
        <v>0</v>
      </c>
      <c r="CD13" s="27">
        <f t="shared" si="64"/>
        <v>0</v>
      </c>
      <c r="CE13" s="27">
        <f t="shared" si="65"/>
        <v>0</v>
      </c>
      <c r="CF13" s="27">
        <f t="shared" si="66"/>
        <v>0</v>
      </c>
      <c r="CH13" s="27">
        <f t="shared" si="67"/>
        <v>0</v>
      </c>
      <c r="CI13" s="27">
        <f t="shared" si="68"/>
        <v>0</v>
      </c>
      <c r="CJ13" s="27">
        <f t="shared" si="69"/>
        <v>0</v>
      </c>
      <c r="CK13" s="27">
        <f t="shared" si="70"/>
        <v>0</v>
      </c>
      <c r="CL13" s="27">
        <f t="shared" si="71"/>
        <v>0</v>
      </c>
      <c r="CM13" s="27">
        <f t="shared" si="72"/>
        <v>0</v>
      </c>
      <c r="CN13" s="27">
        <f t="shared" si="73"/>
        <v>0</v>
      </c>
      <c r="CO13" s="27">
        <f t="shared" si="74"/>
        <v>0</v>
      </c>
      <c r="CP13" s="27">
        <f t="shared" si="75"/>
        <v>0</v>
      </c>
      <c r="CQ13" s="27">
        <f t="shared" si="76"/>
        <v>0</v>
      </c>
      <c r="CR13" s="27">
        <f t="shared" si="77"/>
        <v>0</v>
      </c>
      <c r="CS13" s="27">
        <f t="shared" si="78"/>
        <v>0</v>
      </c>
      <c r="CT13" s="29">
        <f t="shared" si="79"/>
        <v>0</v>
      </c>
      <c r="CV13" s="29">
        <f t="shared" si="80"/>
        <v>0</v>
      </c>
      <c r="CW13" s="29">
        <f t="shared" si="81"/>
        <v>0</v>
      </c>
      <c r="CX13" s="29">
        <f t="shared" si="82"/>
        <v>0</v>
      </c>
      <c r="CZ13" s="36">
        <f>N13+Summary!$E$3*CV13</f>
        <v>0</v>
      </c>
      <c r="DA13" s="36">
        <f>N13+CW13*Summary!$E$3</f>
        <v>0</v>
      </c>
      <c r="DB13" s="26">
        <f>N13+CX13*Summary!$E$3</f>
        <v>0</v>
      </c>
    </row>
    <row r="14" spans="2:106" ht="15" outlineLevel="1" x14ac:dyDescent="0.25">
      <c r="B14" s="16" t="str">
        <f>Mapping!A9</f>
        <v>Placeholder 4</v>
      </c>
      <c r="C14" s="31">
        <f>SUMIFS('Sales Data'!$E:$E,'Sales Data'!$A:$A,$B14,'Sales Data'!$B:$B,Summary!$C$3&amp;" "&amp;Summary!$C$2-1,'Sales Data'!$C:$C,"Periodic")/Mapping!$C$2</f>
        <v>0</v>
      </c>
      <c r="D14" s="31">
        <f>SUMIFS('Sales Data'!$D:$D,'Sales Data'!$A:$A,$B14,'Sales Data'!$B:$B,Summary!$C$3&amp;" "&amp;Summary!$C$2,'Sales Data'!$C:$C,"Periodic")/Mapping!$C$2</f>
        <v>0</v>
      </c>
      <c r="E14" s="31">
        <f>SUMIFS('Sales Data'!$E:$E,'Sales Data'!$A:$A,$B14,'Sales Data'!$B:$B,Summary!$C$3&amp;" "&amp;Summary!$C$2,'Sales Data'!$C:$C,"Periodic")/Mapping!$C$2</f>
        <v>0</v>
      </c>
      <c r="G14" s="32">
        <f t="shared" si="33"/>
        <v>0</v>
      </c>
      <c r="H14" s="33" t="str">
        <f t="shared" si="34"/>
        <v>N/A</v>
      </c>
      <c r="I14" s="32">
        <f t="shared" si="35"/>
        <v>0</v>
      </c>
      <c r="J14" s="33" t="str">
        <f t="shared" si="36"/>
        <v>N/A</v>
      </c>
      <c r="L14" s="34">
        <f>SUMIFS('Sales Data'!$E:$E,'Sales Data'!$A:$A,$B14,'Sales Data'!$F:$F,$C$2-1,'Sales Data'!$G:$G,"&lt;="&amp;$D$3)/Mapping!$C$2</f>
        <v>0</v>
      </c>
      <c r="M14" s="31">
        <f>SUMIFS('Sales Data'!$D:$D,'Sales Data'!$A:$A,$B14,'Sales Data'!$F:$F,$C$2,'Sales Data'!$G:$G,"&lt;="&amp;$D$3)/Mapping!$C$2</f>
        <v>0</v>
      </c>
      <c r="N14" s="31">
        <f>SUMIFS('Sales Data'!$E:$E,'Sales Data'!$A:$A,$B14,'Sales Data'!$F:$F,$C$2,'Sales Data'!$G:$G,"&lt;="&amp;$D$3)/Mapping!$C$2</f>
        <v>0</v>
      </c>
      <c r="P14" s="32">
        <f t="shared" si="37"/>
        <v>0</v>
      </c>
      <c r="Q14" s="33" t="str">
        <f t="shared" si="38"/>
        <v>N/A</v>
      </c>
      <c r="R14" s="32">
        <f t="shared" si="39"/>
        <v>0</v>
      </c>
      <c r="S14" s="33" t="str">
        <f t="shared" si="40"/>
        <v>N/A</v>
      </c>
      <c r="U14" s="34">
        <f>SUMIFS('Sales Data'!$E:$E,'Sales Data'!$A:$A,$B14,'Sales Data'!$F:$F,$C$2-1,'Sales Data'!$G:$G,"&lt;="&amp;12)/Mapping!$C$2</f>
        <v>0</v>
      </c>
      <c r="V14" s="31">
        <f>SUMIFS('Sales Data'!$D:$D,'Sales Data'!$A:$A,$B14,'Sales Data'!$F:$F,$C$2,'Sales Data'!$G:$G,"&lt;="&amp;12)/Mapping!$C$2</f>
        <v>0</v>
      </c>
      <c r="W14" s="31">
        <f>SUMIFS('Sales Data'!$E:$E,'Sales Data'!$A:$A,$B14,'Sales Data'!$F:$F,$C$2,'Sales Data'!$G:$G,"&lt;="&amp;12)/Mapping!$C$2</f>
        <v>0</v>
      </c>
      <c r="Y14" s="32">
        <f t="shared" si="41"/>
        <v>0</v>
      </c>
      <c r="Z14" s="33" t="str">
        <f t="shared" si="42"/>
        <v>N/A</v>
      </c>
      <c r="AA14" s="32">
        <f t="shared" si="43"/>
        <v>0</v>
      </c>
      <c r="AB14" s="33" t="str">
        <f t="shared" si="44"/>
        <v>N/A</v>
      </c>
      <c r="AC14" s="32" t="e">
        <f>W14-#REF!</f>
        <v>#REF!</v>
      </c>
      <c r="AD14" s="35" t="str">
        <f>IF(ISERROR((W14/#REF!)-1),"N/A",(W14/#REF!)-1)</f>
        <v>N/A</v>
      </c>
      <c r="AF14" s="36">
        <f>N14/Summary!$D$3</f>
        <v>0</v>
      </c>
      <c r="AG14" s="36">
        <f>(V14-N14)/Summary!$E$3</f>
        <v>0</v>
      </c>
      <c r="AH14" s="24">
        <f t="shared" si="45"/>
        <v>0</v>
      </c>
      <c r="AJ14" s="24">
        <f t="shared" si="46"/>
        <v>0</v>
      </c>
      <c r="AK14" s="24">
        <f t="shared" si="47"/>
        <v>0</v>
      </c>
      <c r="AL14" s="24">
        <f t="shared" si="48"/>
        <v>0</v>
      </c>
      <c r="AM14" s="24">
        <f t="shared" si="49"/>
        <v>0</v>
      </c>
      <c r="AN14" s="25">
        <f t="shared" si="50"/>
        <v>0</v>
      </c>
      <c r="AP14" s="26">
        <f t="shared" si="51"/>
        <v>0</v>
      </c>
      <c r="AQ14" s="26">
        <f t="shared" si="52"/>
        <v>0</v>
      </c>
      <c r="AS14" s="27">
        <f>SUMIFS('Sales Data'!$E:$E,'Sales Data'!$A:$A,$B14,'Sales Data'!$B:$B,AS$6,'Sales Data'!$C:$C,"Periodic")/Mapping!$C$2</f>
        <v>0</v>
      </c>
      <c r="AT14" s="27">
        <f>SUMIFS('Sales Data'!$E:$E,'Sales Data'!$A:$A,$B14,'Sales Data'!$B:$B,AT$6,'Sales Data'!$C:$C,"Periodic")/Mapping!$C$2</f>
        <v>0</v>
      </c>
      <c r="AU14" s="27">
        <f>SUMIFS('Sales Data'!$E:$E,'Sales Data'!$A:$A,$B14,'Sales Data'!$B:$B,AU$6,'Sales Data'!$C:$C,"Periodic")/Mapping!$C$2</f>
        <v>0</v>
      </c>
      <c r="AV14" s="27">
        <f>SUMIFS('Sales Data'!$E:$E,'Sales Data'!$A:$A,$B14,'Sales Data'!$B:$B,AV$6,'Sales Data'!$C:$C,"Periodic")/Mapping!$C$2</f>
        <v>0</v>
      </c>
      <c r="AW14" s="27">
        <f>SUMIFS('Sales Data'!$E:$E,'Sales Data'!$A:$A,$B14,'Sales Data'!$B:$B,AW$6,'Sales Data'!$C:$C,"Periodic")/Mapping!$C$2</f>
        <v>0</v>
      </c>
      <c r="AX14" s="27">
        <f>SUMIFS('Sales Data'!$E:$E,'Sales Data'!$A:$A,$B14,'Sales Data'!$B:$B,AX$6,'Sales Data'!$C:$C,"Periodic")/Mapping!$C$2</f>
        <v>0</v>
      </c>
      <c r="AY14" s="27">
        <f>SUMIFS('Sales Data'!$E:$E,'Sales Data'!$A:$A,$B14,'Sales Data'!$B:$B,AY$6,'Sales Data'!$C:$C,"Periodic")/Mapping!$C$2</f>
        <v>0</v>
      </c>
      <c r="AZ14" s="27">
        <f>SUMIFS('Sales Data'!$E:$E,'Sales Data'!$A:$A,$B14,'Sales Data'!$B:$B,AZ$6,'Sales Data'!$C:$C,"Periodic")/Mapping!$C$2</f>
        <v>0</v>
      </c>
      <c r="BA14" s="27">
        <f>SUMIFS('Sales Data'!$E:$E,'Sales Data'!$A:$A,$B14,'Sales Data'!$B:$B,BA$6,'Sales Data'!$C:$C,"Periodic")/Mapping!$C$2</f>
        <v>0</v>
      </c>
      <c r="BB14" s="27">
        <f>SUMIFS('Sales Data'!$E:$E,'Sales Data'!$A:$A,$B14,'Sales Data'!$B:$B,BB$6,'Sales Data'!$C:$C,"Periodic")/Mapping!$C$2</f>
        <v>0</v>
      </c>
      <c r="BC14" s="27">
        <f>SUMIFS('Sales Data'!$E:$E,'Sales Data'!$A:$A,$B14,'Sales Data'!$B:$B,BC$6,'Sales Data'!$C:$C,"Periodic")/Mapping!$C$2</f>
        <v>0</v>
      </c>
      <c r="BD14" s="27">
        <f>SUMIFS('Sales Data'!$E:$E,'Sales Data'!$A:$A,$B14,'Sales Data'!$B:$B,BD$6,'Sales Data'!$C:$C,"Periodic")/Mapping!$C$2</f>
        <v>0</v>
      </c>
      <c r="BE14" s="27">
        <f t="shared" si="53"/>
        <v>0</v>
      </c>
      <c r="BF14" s="27"/>
      <c r="BG14" s="27">
        <f>SUMIFS('Sales Data'!$E:$E,'Sales Data'!$A:$A,$B14,'Sales Data'!$B:$B,BG$6,'Sales Data'!$C:$C,"Periodic")/Mapping!$C$2</f>
        <v>0</v>
      </c>
      <c r="BH14" s="27">
        <f>SUMIFS('Sales Data'!$E:$E,'Sales Data'!$A:$A,$B14,'Sales Data'!$B:$B,BH$6,'Sales Data'!$C:$C,"Periodic")/Mapping!$C$2</f>
        <v>0</v>
      </c>
      <c r="BI14" s="27">
        <f>SUMIFS('Sales Data'!$E:$E,'Sales Data'!$A:$A,$B14,'Sales Data'!$B:$B,BI$6,'Sales Data'!$C:$C,"Periodic")/Mapping!$C$2</f>
        <v>0</v>
      </c>
      <c r="BJ14" s="27">
        <f>SUMIFS('Sales Data'!$E:$E,'Sales Data'!$A:$A,$B14,'Sales Data'!$B:$B,BJ$6,'Sales Data'!$C:$C,"Periodic")/Mapping!$C$2</f>
        <v>0</v>
      </c>
      <c r="BK14" s="27">
        <f>SUMIFS('Sales Data'!$E:$E,'Sales Data'!$A:$A,$B14,'Sales Data'!$B:$B,BK$6,'Sales Data'!$C:$C,"Periodic")/Mapping!$C$2</f>
        <v>0</v>
      </c>
      <c r="BL14" s="27">
        <f>SUMIFS('Sales Data'!$E:$E,'Sales Data'!$A:$A,$B14,'Sales Data'!$B:$B,BL$6,'Sales Data'!$C:$C,"Periodic")/Mapping!$C$2</f>
        <v>0</v>
      </c>
      <c r="BM14" s="27">
        <f>SUMIFS('Sales Data'!$E:$E,'Sales Data'!$A:$A,$B14,'Sales Data'!$B:$B,BM$6,'Sales Data'!$C:$C,"Periodic")/Mapping!$C$2</f>
        <v>0</v>
      </c>
      <c r="BN14" s="27">
        <f>SUMIFS('Sales Data'!$E:$E,'Sales Data'!$A:$A,$B14,'Sales Data'!$B:$B,BN$6,'Sales Data'!$C:$C,"Periodic")/Mapping!$C$2</f>
        <v>0</v>
      </c>
      <c r="BO14" s="27">
        <f>SUMIFS('Sales Data'!$E:$E,'Sales Data'!$A:$A,$B14,'Sales Data'!$B:$B,BO$6,'Sales Data'!$C:$C,"Periodic")/Mapping!$C$2</f>
        <v>0</v>
      </c>
      <c r="BP14" s="27">
        <f>SUMIFS('Sales Data'!$E:$E,'Sales Data'!$A:$A,$B14,'Sales Data'!$B:$B,BP$6,'Sales Data'!$C:$C,"Periodic")/Mapping!$C$2</f>
        <v>0</v>
      </c>
      <c r="BQ14" s="27">
        <f>SUMIFS('Sales Data'!$E:$E,'Sales Data'!$A:$A,$B14,'Sales Data'!$B:$B,BQ$6,'Sales Data'!$C:$C,"Periodic")/Mapping!$C$2</f>
        <v>0</v>
      </c>
      <c r="BR14" s="27">
        <f>SUMIFS('Sales Data'!$E:$E,'Sales Data'!$A:$A,$B14,'Sales Data'!$B:$B,BR$6,'Sales Data'!$C:$C,"Periodic")/Mapping!$C$2</f>
        <v>0</v>
      </c>
      <c r="BS14" s="27"/>
      <c r="BT14" s="27">
        <f t="shared" si="54"/>
        <v>0</v>
      </c>
      <c r="BU14" s="27">
        <f t="shared" si="55"/>
        <v>0</v>
      </c>
      <c r="BV14" s="27">
        <f t="shared" si="56"/>
        <v>0</v>
      </c>
      <c r="BW14" s="27">
        <f t="shared" si="57"/>
        <v>0</v>
      </c>
      <c r="BX14" s="27">
        <f t="shared" si="58"/>
        <v>0</v>
      </c>
      <c r="BY14" s="27">
        <f t="shared" si="59"/>
        <v>0</v>
      </c>
      <c r="BZ14" s="27">
        <f t="shared" si="60"/>
        <v>0</v>
      </c>
      <c r="CA14" s="27">
        <f t="shared" si="61"/>
        <v>0</v>
      </c>
      <c r="CB14" s="27">
        <f t="shared" si="62"/>
        <v>0</v>
      </c>
      <c r="CC14" s="27">
        <f t="shared" si="63"/>
        <v>0</v>
      </c>
      <c r="CD14" s="27">
        <f t="shared" si="64"/>
        <v>0</v>
      </c>
      <c r="CE14" s="27">
        <f t="shared" si="65"/>
        <v>0</v>
      </c>
      <c r="CF14" s="27">
        <f t="shared" si="66"/>
        <v>0</v>
      </c>
      <c r="CH14" s="27">
        <f t="shared" si="67"/>
        <v>0</v>
      </c>
      <c r="CI14" s="27">
        <f t="shared" si="68"/>
        <v>0</v>
      </c>
      <c r="CJ14" s="27">
        <f t="shared" si="69"/>
        <v>0</v>
      </c>
      <c r="CK14" s="27">
        <f t="shared" si="70"/>
        <v>0</v>
      </c>
      <c r="CL14" s="27">
        <f t="shared" si="71"/>
        <v>0</v>
      </c>
      <c r="CM14" s="27">
        <f t="shared" si="72"/>
        <v>0</v>
      </c>
      <c r="CN14" s="27">
        <f t="shared" si="73"/>
        <v>0</v>
      </c>
      <c r="CO14" s="27">
        <f t="shared" si="74"/>
        <v>0</v>
      </c>
      <c r="CP14" s="27">
        <f t="shared" si="75"/>
        <v>0</v>
      </c>
      <c r="CQ14" s="27">
        <f t="shared" si="76"/>
        <v>0</v>
      </c>
      <c r="CR14" s="27">
        <f t="shared" si="77"/>
        <v>0</v>
      </c>
      <c r="CS14" s="27">
        <f t="shared" si="78"/>
        <v>0</v>
      </c>
      <c r="CT14" s="29">
        <f t="shared" si="79"/>
        <v>0</v>
      </c>
      <c r="CV14" s="29">
        <f t="shared" si="80"/>
        <v>0</v>
      </c>
      <c r="CW14" s="29">
        <f t="shared" si="81"/>
        <v>0</v>
      </c>
      <c r="CX14" s="29">
        <f t="shared" si="82"/>
        <v>0</v>
      </c>
      <c r="CZ14" s="36">
        <f>N14+Summary!$E$3*CV14</f>
        <v>0</v>
      </c>
      <c r="DA14" s="36">
        <f>N14+CW14*Summary!$E$3</f>
        <v>0</v>
      </c>
      <c r="DB14" s="26">
        <f>N14+CX14*Summary!$E$3</f>
        <v>0</v>
      </c>
    </row>
    <row r="15" spans="2:106" ht="15" outlineLevel="1" x14ac:dyDescent="0.25">
      <c r="B15" s="16" t="str">
        <f>Mapping!A10</f>
        <v>Placeholder 5</v>
      </c>
      <c r="C15" s="31">
        <f>SUMIFS('Sales Data'!$E:$E,'Sales Data'!$A:$A,$B15,'Sales Data'!$B:$B,Summary!$C$3&amp;" "&amp;Summary!$C$2-1,'Sales Data'!$C:$C,"Periodic")/Mapping!$C$2</f>
        <v>0</v>
      </c>
      <c r="D15" s="31">
        <f>SUMIFS('Sales Data'!$D:$D,'Sales Data'!$A:$A,$B15,'Sales Data'!$B:$B,Summary!$C$3&amp;" "&amp;Summary!$C$2,'Sales Data'!$C:$C,"Periodic")/Mapping!$C$2</f>
        <v>0</v>
      </c>
      <c r="E15" s="31">
        <f>SUMIFS('Sales Data'!$E:$E,'Sales Data'!$A:$A,$B15,'Sales Data'!$B:$B,Summary!$C$3&amp;" "&amp;Summary!$C$2,'Sales Data'!$C:$C,"Periodic")/Mapping!$C$2</f>
        <v>0</v>
      </c>
      <c r="G15" s="32">
        <f t="shared" si="33"/>
        <v>0</v>
      </c>
      <c r="H15" s="33" t="str">
        <f t="shared" si="34"/>
        <v>N/A</v>
      </c>
      <c r="I15" s="32">
        <f t="shared" si="35"/>
        <v>0</v>
      </c>
      <c r="J15" s="33" t="str">
        <f t="shared" si="36"/>
        <v>N/A</v>
      </c>
      <c r="L15" s="34">
        <f>SUMIFS('Sales Data'!$E:$E,'Sales Data'!$A:$A,$B15,'Sales Data'!$F:$F,$C$2-1,'Sales Data'!$G:$G,"&lt;="&amp;$D$3)/Mapping!$C$2</f>
        <v>0</v>
      </c>
      <c r="M15" s="31">
        <f>SUMIFS('Sales Data'!$D:$D,'Sales Data'!$A:$A,$B15,'Sales Data'!$F:$F,$C$2,'Sales Data'!$G:$G,"&lt;="&amp;$D$3)/Mapping!$C$2</f>
        <v>0</v>
      </c>
      <c r="N15" s="31">
        <f>SUMIFS('Sales Data'!$E:$E,'Sales Data'!$A:$A,$B15,'Sales Data'!$F:$F,$C$2,'Sales Data'!$G:$G,"&lt;="&amp;$D$3)/Mapping!$C$2</f>
        <v>0</v>
      </c>
      <c r="P15" s="32">
        <f t="shared" si="37"/>
        <v>0</v>
      </c>
      <c r="Q15" s="33" t="str">
        <f t="shared" si="38"/>
        <v>N/A</v>
      </c>
      <c r="R15" s="32">
        <f t="shared" si="39"/>
        <v>0</v>
      </c>
      <c r="S15" s="33" t="str">
        <f t="shared" si="40"/>
        <v>N/A</v>
      </c>
      <c r="U15" s="34">
        <f>SUMIFS('Sales Data'!$E:$E,'Sales Data'!$A:$A,$B15,'Sales Data'!$F:$F,$C$2-1,'Sales Data'!$G:$G,"&lt;="&amp;12)/Mapping!$C$2</f>
        <v>0</v>
      </c>
      <c r="V15" s="31">
        <f>SUMIFS('Sales Data'!$D:$D,'Sales Data'!$A:$A,$B15,'Sales Data'!$F:$F,$C$2,'Sales Data'!$G:$G,"&lt;="&amp;12)/Mapping!$C$2</f>
        <v>0</v>
      </c>
      <c r="W15" s="31">
        <f>SUMIFS('Sales Data'!$E:$E,'Sales Data'!$A:$A,$B15,'Sales Data'!$F:$F,$C$2,'Sales Data'!$G:$G,"&lt;="&amp;12)/Mapping!$C$2</f>
        <v>0</v>
      </c>
      <c r="Y15" s="32">
        <f t="shared" si="41"/>
        <v>0</v>
      </c>
      <c r="Z15" s="33" t="str">
        <f t="shared" si="42"/>
        <v>N/A</v>
      </c>
      <c r="AA15" s="32">
        <f t="shared" si="43"/>
        <v>0</v>
      </c>
      <c r="AB15" s="33" t="str">
        <f t="shared" si="44"/>
        <v>N/A</v>
      </c>
      <c r="AC15" s="32" t="e">
        <f>W15-#REF!</f>
        <v>#REF!</v>
      </c>
      <c r="AD15" s="35" t="str">
        <f>IF(ISERROR((W15/#REF!)-1),"N/A",(W15/#REF!)-1)</f>
        <v>N/A</v>
      </c>
      <c r="AF15" s="36">
        <f>N15/Summary!$D$3</f>
        <v>0</v>
      </c>
      <c r="AG15" s="36">
        <f>(V15-N15)/Summary!$E$3</f>
        <v>0</v>
      </c>
      <c r="AH15" s="24">
        <f t="shared" si="45"/>
        <v>0</v>
      </c>
      <c r="AJ15" s="24">
        <f t="shared" si="46"/>
        <v>0</v>
      </c>
      <c r="AK15" s="24">
        <f t="shared" si="47"/>
        <v>0</v>
      </c>
      <c r="AL15" s="24">
        <f t="shared" si="48"/>
        <v>0</v>
      </c>
      <c r="AM15" s="24">
        <f t="shared" si="49"/>
        <v>0</v>
      </c>
      <c r="AN15" s="25">
        <f t="shared" si="50"/>
        <v>0</v>
      </c>
      <c r="AP15" s="26">
        <f t="shared" si="51"/>
        <v>0</v>
      </c>
      <c r="AQ15" s="26">
        <f t="shared" si="52"/>
        <v>0</v>
      </c>
      <c r="AS15" s="27">
        <f>SUMIFS('Sales Data'!$E:$E,'Sales Data'!$A:$A,$B15,'Sales Data'!$B:$B,AS$6,'Sales Data'!$C:$C,"Periodic")/Mapping!$C$2</f>
        <v>0</v>
      </c>
      <c r="AT15" s="27">
        <f>SUMIFS('Sales Data'!$E:$E,'Sales Data'!$A:$A,$B15,'Sales Data'!$B:$B,AT$6,'Sales Data'!$C:$C,"Periodic")/Mapping!$C$2</f>
        <v>0</v>
      </c>
      <c r="AU15" s="27">
        <f>SUMIFS('Sales Data'!$E:$E,'Sales Data'!$A:$A,$B15,'Sales Data'!$B:$B,AU$6,'Sales Data'!$C:$C,"Periodic")/Mapping!$C$2</f>
        <v>0</v>
      </c>
      <c r="AV15" s="27">
        <f>SUMIFS('Sales Data'!$E:$E,'Sales Data'!$A:$A,$B15,'Sales Data'!$B:$B,AV$6,'Sales Data'!$C:$C,"Periodic")/Mapping!$C$2</f>
        <v>0</v>
      </c>
      <c r="AW15" s="27">
        <f>SUMIFS('Sales Data'!$E:$E,'Sales Data'!$A:$A,$B15,'Sales Data'!$B:$B,AW$6,'Sales Data'!$C:$C,"Periodic")/Mapping!$C$2</f>
        <v>0</v>
      </c>
      <c r="AX15" s="27">
        <f>SUMIFS('Sales Data'!$E:$E,'Sales Data'!$A:$A,$B15,'Sales Data'!$B:$B,AX$6,'Sales Data'!$C:$C,"Periodic")/Mapping!$C$2</f>
        <v>0</v>
      </c>
      <c r="AY15" s="27">
        <f>SUMIFS('Sales Data'!$E:$E,'Sales Data'!$A:$A,$B15,'Sales Data'!$B:$B,AY$6,'Sales Data'!$C:$C,"Periodic")/Mapping!$C$2</f>
        <v>0</v>
      </c>
      <c r="AZ15" s="27">
        <f>SUMIFS('Sales Data'!$E:$E,'Sales Data'!$A:$A,$B15,'Sales Data'!$B:$B,AZ$6,'Sales Data'!$C:$C,"Periodic")/Mapping!$C$2</f>
        <v>0</v>
      </c>
      <c r="BA15" s="27">
        <f>SUMIFS('Sales Data'!$E:$E,'Sales Data'!$A:$A,$B15,'Sales Data'!$B:$B,BA$6,'Sales Data'!$C:$C,"Periodic")/Mapping!$C$2</f>
        <v>0</v>
      </c>
      <c r="BB15" s="27">
        <f>SUMIFS('Sales Data'!$E:$E,'Sales Data'!$A:$A,$B15,'Sales Data'!$B:$B,BB$6,'Sales Data'!$C:$C,"Periodic")/Mapping!$C$2</f>
        <v>0</v>
      </c>
      <c r="BC15" s="27">
        <f>SUMIFS('Sales Data'!$E:$E,'Sales Data'!$A:$A,$B15,'Sales Data'!$B:$B,BC$6,'Sales Data'!$C:$C,"Periodic")/Mapping!$C$2</f>
        <v>0</v>
      </c>
      <c r="BD15" s="27">
        <f>SUMIFS('Sales Data'!$E:$E,'Sales Data'!$A:$A,$B15,'Sales Data'!$B:$B,BD$6,'Sales Data'!$C:$C,"Periodic")/Mapping!$C$2</f>
        <v>0</v>
      </c>
      <c r="BE15" s="27">
        <f t="shared" si="53"/>
        <v>0</v>
      </c>
      <c r="BF15" s="27"/>
      <c r="BG15" s="27">
        <f>SUMIFS('Sales Data'!$E:$E,'Sales Data'!$A:$A,$B15,'Sales Data'!$B:$B,BG$6,'Sales Data'!$C:$C,"Periodic")/Mapping!$C$2</f>
        <v>0</v>
      </c>
      <c r="BH15" s="27">
        <f>SUMIFS('Sales Data'!$E:$E,'Sales Data'!$A:$A,$B15,'Sales Data'!$B:$B,BH$6,'Sales Data'!$C:$C,"Periodic")/Mapping!$C$2</f>
        <v>0</v>
      </c>
      <c r="BI15" s="27">
        <f>SUMIFS('Sales Data'!$E:$E,'Sales Data'!$A:$A,$B15,'Sales Data'!$B:$B,BI$6,'Sales Data'!$C:$C,"Periodic")/Mapping!$C$2</f>
        <v>0</v>
      </c>
      <c r="BJ15" s="27">
        <f>SUMIFS('Sales Data'!$E:$E,'Sales Data'!$A:$A,$B15,'Sales Data'!$B:$B,BJ$6,'Sales Data'!$C:$C,"Periodic")/Mapping!$C$2</f>
        <v>0</v>
      </c>
      <c r="BK15" s="27">
        <f>SUMIFS('Sales Data'!$E:$E,'Sales Data'!$A:$A,$B15,'Sales Data'!$B:$B,BK$6,'Sales Data'!$C:$C,"Periodic")/Mapping!$C$2</f>
        <v>0</v>
      </c>
      <c r="BL15" s="27">
        <f>SUMIFS('Sales Data'!$E:$E,'Sales Data'!$A:$A,$B15,'Sales Data'!$B:$B,BL$6,'Sales Data'!$C:$C,"Periodic")/Mapping!$C$2</f>
        <v>0</v>
      </c>
      <c r="BM15" s="27">
        <f>SUMIFS('Sales Data'!$E:$E,'Sales Data'!$A:$A,$B15,'Sales Data'!$B:$B,BM$6,'Sales Data'!$C:$C,"Periodic")/Mapping!$C$2</f>
        <v>0</v>
      </c>
      <c r="BN15" s="27">
        <f>SUMIFS('Sales Data'!$E:$E,'Sales Data'!$A:$A,$B15,'Sales Data'!$B:$B,BN$6,'Sales Data'!$C:$C,"Periodic")/Mapping!$C$2</f>
        <v>0</v>
      </c>
      <c r="BO15" s="27">
        <f>SUMIFS('Sales Data'!$E:$E,'Sales Data'!$A:$A,$B15,'Sales Data'!$B:$B,BO$6,'Sales Data'!$C:$C,"Periodic")/Mapping!$C$2</f>
        <v>0</v>
      </c>
      <c r="BP15" s="27">
        <f>SUMIFS('Sales Data'!$E:$E,'Sales Data'!$A:$A,$B15,'Sales Data'!$B:$B,BP$6,'Sales Data'!$C:$C,"Periodic")/Mapping!$C$2</f>
        <v>0</v>
      </c>
      <c r="BQ15" s="27">
        <f>SUMIFS('Sales Data'!$E:$E,'Sales Data'!$A:$A,$B15,'Sales Data'!$B:$B,BQ$6,'Sales Data'!$C:$C,"Periodic")/Mapping!$C$2</f>
        <v>0</v>
      </c>
      <c r="BR15" s="27">
        <f>SUMIFS('Sales Data'!$E:$E,'Sales Data'!$A:$A,$B15,'Sales Data'!$B:$B,BR$6,'Sales Data'!$C:$C,"Periodic")/Mapping!$C$2</f>
        <v>0</v>
      </c>
      <c r="BS15" s="27"/>
      <c r="BT15" s="27">
        <f t="shared" si="54"/>
        <v>0</v>
      </c>
      <c r="BU15" s="27">
        <f t="shared" si="55"/>
        <v>0</v>
      </c>
      <c r="BV15" s="27">
        <f t="shared" si="56"/>
        <v>0</v>
      </c>
      <c r="BW15" s="27">
        <f t="shared" si="57"/>
        <v>0</v>
      </c>
      <c r="BX15" s="27">
        <f t="shared" si="58"/>
        <v>0</v>
      </c>
      <c r="BY15" s="27">
        <f t="shared" si="59"/>
        <v>0</v>
      </c>
      <c r="BZ15" s="27">
        <f t="shared" si="60"/>
        <v>0</v>
      </c>
      <c r="CA15" s="27">
        <f t="shared" si="61"/>
        <v>0</v>
      </c>
      <c r="CB15" s="27">
        <f t="shared" si="62"/>
        <v>0</v>
      </c>
      <c r="CC15" s="27">
        <f t="shared" si="63"/>
        <v>0</v>
      </c>
      <c r="CD15" s="27">
        <f t="shared" si="64"/>
        <v>0</v>
      </c>
      <c r="CE15" s="27">
        <f t="shared" si="65"/>
        <v>0</v>
      </c>
      <c r="CF15" s="27">
        <f t="shared" si="66"/>
        <v>0</v>
      </c>
      <c r="CH15" s="27">
        <f t="shared" si="67"/>
        <v>0</v>
      </c>
      <c r="CI15" s="27">
        <f t="shared" si="68"/>
        <v>0</v>
      </c>
      <c r="CJ15" s="27">
        <f t="shared" si="69"/>
        <v>0</v>
      </c>
      <c r="CK15" s="27">
        <f t="shared" si="70"/>
        <v>0</v>
      </c>
      <c r="CL15" s="27">
        <f t="shared" si="71"/>
        <v>0</v>
      </c>
      <c r="CM15" s="27">
        <f t="shared" si="72"/>
        <v>0</v>
      </c>
      <c r="CN15" s="27">
        <f t="shared" si="73"/>
        <v>0</v>
      </c>
      <c r="CO15" s="27">
        <f t="shared" si="74"/>
        <v>0</v>
      </c>
      <c r="CP15" s="27">
        <f t="shared" si="75"/>
        <v>0</v>
      </c>
      <c r="CQ15" s="27">
        <f t="shared" si="76"/>
        <v>0</v>
      </c>
      <c r="CR15" s="27">
        <f t="shared" si="77"/>
        <v>0</v>
      </c>
      <c r="CS15" s="27">
        <f t="shared" si="78"/>
        <v>0</v>
      </c>
      <c r="CT15" s="29">
        <f t="shared" si="79"/>
        <v>0</v>
      </c>
      <c r="CV15" s="29">
        <f t="shared" si="80"/>
        <v>0</v>
      </c>
      <c r="CW15" s="29">
        <f t="shared" si="81"/>
        <v>0</v>
      </c>
      <c r="CX15" s="29">
        <f t="shared" si="82"/>
        <v>0</v>
      </c>
      <c r="CZ15" s="36">
        <f>N15+Summary!$E$3*CV15</f>
        <v>0</v>
      </c>
      <c r="DA15" s="36">
        <f>N15+CW15*Summary!$E$3</f>
        <v>0</v>
      </c>
      <c r="DB15" s="26">
        <f>N15+CX15*Summary!$E$3</f>
        <v>0</v>
      </c>
    </row>
    <row r="16" spans="2:106" ht="15" outlineLevel="1" x14ac:dyDescent="0.25">
      <c r="B16" s="16" t="str">
        <f>Mapping!A11</f>
        <v>Placeholder 6</v>
      </c>
      <c r="C16" s="31">
        <f>SUMIFS('Sales Data'!$E:$E,'Sales Data'!$A:$A,$B16,'Sales Data'!$B:$B,Summary!$C$3&amp;" "&amp;Summary!$C$2-1,'Sales Data'!$C:$C,"Periodic")/Mapping!$C$2</f>
        <v>0</v>
      </c>
      <c r="D16" s="31">
        <f>SUMIFS('Sales Data'!$D:$D,'Sales Data'!$A:$A,$B16,'Sales Data'!$B:$B,Summary!$C$3&amp;" "&amp;Summary!$C$2,'Sales Data'!$C:$C,"Periodic")/Mapping!$C$2</f>
        <v>0</v>
      </c>
      <c r="E16" s="31">
        <f>SUMIFS('Sales Data'!$E:$E,'Sales Data'!$A:$A,$B16,'Sales Data'!$B:$B,Summary!$C$3&amp;" "&amp;Summary!$C$2,'Sales Data'!$C:$C,"Periodic")/Mapping!$C$2</f>
        <v>0</v>
      </c>
      <c r="G16" s="32">
        <f t="shared" si="33"/>
        <v>0</v>
      </c>
      <c r="H16" s="33" t="str">
        <f t="shared" si="34"/>
        <v>N/A</v>
      </c>
      <c r="I16" s="32">
        <f t="shared" si="35"/>
        <v>0</v>
      </c>
      <c r="J16" s="33" t="str">
        <f t="shared" si="36"/>
        <v>N/A</v>
      </c>
      <c r="L16" s="34">
        <f>SUMIFS('Sales Data'!$E:$E,'Sales Data'!$A:$A,$B16,'Sales Data'!$F:$F,$C$2-1,'Sales Data'!$G:$G,"&lt;="&amp;$D$3)/Mapping!$C$2</f>
        <v>0</v>
      </c>
      <c r="M16" s="31">
        <f>SUMIFS('Sales Data'!$D:$D,'Sales Data'!$A:$A,$B16,'Sales Data'!$F:$F,$C$2,'Sales Data'!$G:$G,"&lt;="&amp;$D$3)/Mapping!$C$2</f>
        <v>0</v>
      </c>
      <c r="N16" s="31">
        <f>SUMIFS('Sales Data'!$E:$E,'Sales Data'!$A:$A,$B16,'Sales Data'!$F:$F,$C$2,'Sales Data'!$G:$G,"&lt;="&amp;$D$3)/Mapping!$C$2</f>
        <v>0</v>
      </c>
      <c r="P16" s="32">
        <f t="shared" si="37"/>
        <v>0</v>
      </c>
      <c r="Q16" s="33" t="str">
        <f t="shared" si="38"/>
        <v>N/A</v>
      </c>
      <c r="R16" s="32">
        <f t="shared" si="39"/>
        <v>0</v>
      </c>
      <c r="S16" s="33" t="str">
        <f t="shared" si="40"/>
        <v>N/A</v>
      </c>
      <c r="U16" s="34">
        <f>SUMIFS('Sales Data'!$E:$E,'Sales Data'!$A:$A,$B16,'Sales Data'!$F:$F,$C$2-1,'Sales Data'!$G:$G,"&lt;="&amp;12)/Mapping!$C$2</f>
        <v>0</v>
      </c>
      <c r="V16" s="31">
        <f>SUMIFS('Sales Data'!$D:$D,'Sales Data'!$A:$A,$B16,'Sales Data'!$F:$F,$C$2,'Sales Data'!$G:$G,"&lt;="&amp;12)/Mapping!$C$2</f>
        <v>0</v>
      </c>
      <c r="W16" s="31">
        <f>SUMIFS('Sales Data'!$E:$E,'Sales Data'!$A:$A,$B16,'Sales Data'!$F:$F,$C$2,'Sales Data'!$G:$G,"&lt;="&amp;12)/Mapping!$C$2</f>
        <v>0</v>
      </c>
      <c r="Y16" s="32">
        <f t="shared" si="41"/>
        <v>0</v>
      </c>
      <c r="Z16" s="33" t="str">
        <f t="shared" si="42"/>
        <v>N/A</v>
      </c>
      <c r="AA16" s="32">
        <f t="shared" si="43"/>
        <v>0</v>
      </c>
      <c r="AB16" s="33" t="str">
        <f t="shared" si="44"/>
        <v>N/A</v>
      </c>
      <c r="AC16" s="32" t="e">
        <f>W16-#REF!</f>
        <v>#REF!</v>
      </c>
      <c r="AD16" s="35" t="str">
        <f>IF(ISERROR((W16/#REF!)-1),"N/A",(W16/#REF!)-1)</f>
        <v>N/A</v>
      </c>
      <c r="AF16" s="36">
        <f>N16/Summary!$D$3</f>
        <v>0</v>
      </c>
      <c r="AG16" s="36">
        <f>(V16-N16)/Summary!$E$3</f>
        <v>0</v>
      </c>
      <c r="AH16" s="24">
        <f t="shared" si="45"/>
        <v>0</v>
      </c>
      <c r="AJ16" s="24">
        <f t="shared" si="46"/>
        <v>0</v>
      </c>
      <c r="AK16" s="24">
        <f t="shared" si="47"/>
        <v>0</v>
      </c>
      <c r="AL16" s="24">
        <f t="shared" si="48"/>
        <v>0</v>
      </c>
      <c r="AM16" s="24">
        <f t="shared" si="49"/>
        <v>0</v>
      </c>
      <c r="AN16" s="25">
        <f t="shared" si="50"/>
        <v>0</v>
      </c>
      <c r="AP16" s="26">
        <f t="shared" si="51"/>
        <v>0</v>
      </c>
      <c r="AQ16" s="26">
        <f t="shared" si="52"/>
        <v>0</v>
      </c>
      <c r="AS16" s="27">
        <f>SUMIFS('Sales Data'!$E:$E,'Sales Data'!$A:$A,$B16,'Sales Data'!$B:$B,AS$6,'Sales Data'!$C:$C,"Periodic")/Mapping!$C$2</f>
        <v>0</v>
      </c>
      <c r="AT16" s="27">
        <f>SUMIFS('Sales Data'!$E:$E,'Sales Data'!$A:$A,$B16,'Sales Data'!$B:$B,AT$6,'Sales Data'!$C:$C,"Periodic")/Mapping!$C$2</f>
        <v>0</v>
      </c>
      <c r="AU16" s="27">
        <f>SUMIFS('Sales Data'!$E:$E,'Sales Data'!$A:$A,$B16,'Sales Data'!$B:$B,AU$6,'Sales Data'!$C:$C,"Periodic")/Mapping!$C$2</f>
        <v>0</v>
      </c>
      <c r="AV16" s="27">
        <f>SUMIFS('Sales Data'!$E:$E,'Sales Data'!$A:$A,$B16,'Sales Data'!$B:$B,AV$6,'Sales Data'!$C:$C,"Periodic")/Mapping!$C$2</f>
        <v>0</v>
      </c>
      <c r="AW16" s="27">
        <f>SUMIFS('Sales Data'!$E:$E,'Sales Data'!$A:$A,$B16,'Sales Data'!$B:$B,AW$6,'Sales Data'!$C:$C,"Periodic")/Mapping!$C$2</f>
        <v>0</v>
      </c>
      <c r="AX16" s="27">
        <f>SUMIFS('Sales Data'!$E:$E,'Sales Data'!$A:$A,$B16,'Sales Data'!$B:$B,AX$6,'Sales Data'!$C:$C,"Periodic")/Mapping!$C$2</f>
        <v>0</v>
      </c>
      <c r="AY16" s="27">
        <f>SUMIFS('Sales Data'!$E:$E,'Sales Data'!$A:$A,$B16,'Sales Data'!$B:$B,AY$6,'Sales Data'!$C:$C,"Periodic")/Mapping!$C$2</f>
        <v>0</v>
      </c>
      <c r="AZ16" s="27">
        <f>SUMIFS('Sales Data'!$E:$E,'Sales Data'!$A:$A,$B16,'Sales Data'!$B:$B,AZ$6,'Sales Data'!$C:$C,"Periodic")/Mapping!$C$2</f>
        <v>0</v>
      </c>
      <c r="BA16" s="27">
        <f>SUMIFS('Sales Data'!$E:$E,'Sales Data'!$A:$A,$B16,'Sales Data'!$B:$B,BA$6,'Sales Data'!$C:$C,"Periodic")/Mapping!$C$2</f>
        <v>0</v>
      </c>
      <c r="BB16" s="27">
        <f>SUMIFS('Sales Data'!$E:$E,'Sales Data'!$A:$A,$B16,'Sales Data'!$B:$B,BB$6,'Sales Data'!$C:$C,"Periodic")/Mapping!$C$2</f>
        <v>0</v>
      </c>
      <c r="BC16" s="27">
        <f>SUMIFS('Sales Data'!$E:$E,'Sales Data'!$A:$A,$B16,'Sales Data'!$B:$B,BC$6,'Sales Data'!$C:$C,"Periodic")/Mapping!$C$2</f>
        <v>0</v>
      </c>
      <c r="BD16" s="27">
        <f>SUMIFS('Sales Data'!$E:$E,'Sales Data'!$A:$A,$B16,'Sales Data'!$B:$B,BD$6,'Sales Data'!$C:$C,"Periodic")/Mapping!$C$2</f>
        <v>0</v>
      </c>
      <c r="BE16" s="27">
        <f t="shared" si="53"/>
        <v>0</v>
      </c>
      <c r="BF16" s="27"/>
      <c r="BG16" s="27">
        <f>SUMIFS('Sales Data'!$E:$E,'Sales Data'!$A:$A,$B16,'Sales Data'!$B:$B,BG$6,'Sales Data'!$C:$C,"Periodic")/Mapping!$C$2</f>
        <v>0</v>
      </c>
      <c r="BH16" s="27">
        <f>SUMIFS('Sales Data'!$E:$E,'Sales Data'!$A:$A,$B16,'Sales Data'!$B:$B,BH$6,'Sales Data'!$C:$C,"Periodic")/Mapping!$C$2</f>
        <v>0</v>
      </c>
      <c r="BI16" s="27">
        <f>SUMIFS('Sales Data'!$E:$E,'Sales Data'!$A:$A,$B16,'Sales Data'!$B:$B,BI$6,'Sales Data'!$C:$C,"Periodic")/Mapping!$C$2</f>
        <v>0</v>
      </c>
      <c r="BJ16" s="27">
        <f>SUMIFS('Sales Data'!$E:$E,'Sales Data'!$A:$A,$B16,'Sales Data'!$B:$B,BJ$6,'Sales Data'!$C:$C,"Periodic")/Mapping!$C$2</f>
        <v>0</v>
      </c>
      <c r="BK16" s="27">
        <f>SUMIFS('Sales Data'!$E:$E,'Sales Data'!$A:$A,$B16,'Sales Data'!$B:$B,BK$6,'Sales Data'!$C:$C,"Periodic")/Mapping!$C$2</f>
        <v>0</v>
      </c>
      <c r="BL16" s="27">
        <f>SUMIFS('Sales Data'!$E:$E,'Sales Data'!$A:$A,$B16,'Sales Data'!$B:$B,BL$6,'Sales Data'!$C:$C,"Periodic")/Mapping!$C$2</f>
        <v>0</v>
      </c>
      <c r="BM16" s="27">
        <f>SUMIFS('Sales Data'!$E:$E,'Sales Data'!$A:$A,$B16,'Sales Data'!$B:$B,BM$6,'Sales Data'!$C:$C,"Periodic")/Mapping!$C$2</f>
        <v>0</v>
      </c>
      <c r="BN16" s="27">
        <f>SUMIFS('Sales Data'!$E:$E,'Sales Data'!$A:$A,$B16,'Sales Data'!$B:$B,BN$6,'Sales Data'!$C:$C,"Periodic")/Mapping!$C$2</f>
        <v>0</v>
      </c>
      <c r="BO16" s="27">
        <f>SUMIFS('Sales Data'!$E:$E,'Sales Data'!$A:$A,$B16,'Sales Data'!$B:$B,BO$6,'Sales Data'!$C:$C,"Periodic")/Mapping!$C$2</f>
        <v>0</v>
      </c>
      <c r="BP16" s="27">
        <f>SUMIFS('Sales Data'!$E:$E,'Sales Data'!$A:$A,$B16,'Sales Data'!$B:$B,BP$6,'Sales Data'!$C:$C,"Periodic")/Mapping!$C$2</f>
        <v>0</v>
      </c>
      <c r="BQ16" s="27">
        <f>SUMIFS('Sales Data'!$E:$E,'Sales Data'!$A:$A,$B16,'Sales Data'!$B:$B,BQ$6,'Sales Data'!$C:$C,"Periodic")/Mapping!$C$2</f>
        <v>0</v>
      </c>
      <c r="BR16" s="27">
        <f>SUMIFS('Sales Data'!$E:$E,'Sales Data'!$A:$A,$B16,'Sales Data'!$B:$B,BR$6,'Sales Data'!$C:$C,"Periodic")/Mapping!$C$2</f>
        <v>0</v>
      </c>
      <c r="BS16" s="27"/>
      <c r="BT16" s="27">
        <f t="shared" si="54"/>
        <v>0</v>
      </c>
      <c r="BU16" s="27">
        <f t="shared" si="55"/>
        <v>0</v>
      </c>
      <c r="BV16" s="27">
        <f t="shared" si="56"/>
        <v>0</v>
      </c>
      <c r="BW16" s="27">
        <f t="shared" si="57"/>
        <v>0</v>
      </c>
      <c r="BX16" s="27">
        <f t="shared" si="58"/>
        <v>0</v>
      </c>
      <c r="BY16" s="27">
        <f t="shared" si="59"/>
        <v>0</v>
      </c>
      <c r="BZ16" s="27">
        <f t="shared" si="60"/>
        <v>0</v>
      </c>
      <c r="CA16" s="27">
        <f t="shared" si="61"/>
        <v>0</v>
      </c>
      <c r="CB16" s="27">
        <f t="shared" si="62"/>
        <v>0</v>
      </c>
      <c r="CC16" s="27">
        <f t="shared" si="63"/>
        <v>0</v>
      </c>
      <c r="CD16" s="27">
        <f t="shared" si="64"/>
        <v>0</v>
      </c>
      <c r="CE16" s="27">
        <f t="shared" si="65"/>
        <v>0</v>
      </c>
      <c r="CF16" s="27">
        <f t="shared" si="66"/>
        <v>0</v>
      </c>
      <c r="CH16" s="27">
        <f t="shared" si="67"/>
        <v>0</v>
      </c>
      <c r="CI16" s="27">
        <f t="shared" si="68"/>
        <v>0</v>
      </c>
      <c r="CJ16" s="27">
        <f t="shared" si="69"/>
        <v>0</v>
      </c>
      <c r="CK16" s="27">
        <f t="shared" si="70"/>
        <v>0</v>
      </c>
      <c r="CL16" s="27">
        <f t="shared" si="71"/>
        <v>0</v>
      </c>
      <c r="CM16" s="27">
        <f t="shared" si="72"/>
        <v>0</v>
      </c>
      <c r="CN16" s="27">
        <f t="shared" si="73"/>
        <v>0</v>
      </c>
      <c r="CO16" s="27">
        <f t="shared" si="74"/>
        <v>0</v>
      </c>
      <c r="CP16" s="27">
        <f t="shared" si="75"/>
        <v>0</v>
      </c>
      <c r="CQ16" s="27">
        <f t="shared" si="76"/>
        <v>0</v>
      </c>
      <c r="CR16" s="27">
        <f t="shared" si="77"/>
        <v>0</v>
      </c>
      <c r="CS16" s="27">
        <f t="shared" si="78"/>
        <v>0</v>
      </c>
      <c r="CT16" s="29">
        <f t="shared" si="79"/>
        <v>0</v>
      </c>
      <c r="CV16" s="29">
        <f t="shared" si="80"/>
        <v>0</v>
      </c>
      <c r="CW16" s="29">
        <f t="shared" si="81"/>
        <v>0</v>
      </c>
      <c r="CX16" s="29">
        <f t="shared" si="82"/>
        <v>0</v>
      </c>
      <c r="CZ16" s="36">
        <f>N16+Summary!$E$3*CV16</f>
        <v>0</v>
      </c>
      <c r="DA16" s="36">
        <f>N16+CW16*Summary!$E$3</f>
        <v>0</v>
      </c>
      <c r="DB16" s="26">
        <f>N16+CX16*Summary!$E$3</f>
        <v>0</v>
      </c>
    </row>
    <row r="17" spans="2:106" ht="15" outlineLevel="1" x14ac:dyDescent="0.25">
      <c r="B17" s="16" t="str">
        <f>Mapping!A12</f>
        <v>Placeholder 7</v>
      </c>
      <c r="C17" s="31">
        <f>SUMIFS('Sales Data'!$E:$E,'Sales Data'!$A:$A,$B17,'Sales Data'!$B:$B,Summary!$C$3&amp;" "&amp;Summary!$C$2-1,'Sales Data'!$C:$C,"Periodic")/Mapping!$C$2</f>
        <v>0</v>
      </c>
      <c r="D17" s="31">
        <f>SUMIFS('Sales Data'!$D:$D,'Sales Data'!$A:$A,$B17,'Sales Data'!$B:$B,Summary!$C$3&amp;" "&amp;Summary!$C$2,'Sales Data'!$C:$C,"Periodic")/Mapping!$C$2</f>
        <v>0</v>
      </c>
      <c r="E17" s="31">
        <f>SUMIFS('Sales Data'!$E:$E,'Sales Data'!$A:$A,$B17,'Sales Data'!$B:$B,Summary!$C$3&amp;" "&amp;Summary!$C$2,'Sales Data'!$C:$C,"Periodic")/Mapping!$C$2</f>
        <v>0</v>
      </c>
      <c r="G17" s="32">
        <f t="shared" si="33"/>
        <v>0</v>
      </c>
      <c r="H17" s="33" t="str">
        <f t="shared" si="34"/>
        <v>N/A</v>
      </c>
      <c r="I17" s="32">
        <f t="shared" si="35"/>
        <v>0</v>
      </c>
      <c r="J17" s="33" t="str">
        <f t="shared" si="36"/>
        <v>N/A</v>
      </c>
      <c r="L17" s="34">
        <f>SUMIFS('Sales Data'!$E:$E,'Sales Data'!$A:$A,$B17,'Sales Data'!$F:$F,$C$2-1,'Sales Data'!$G:$G,"&lt;="&amp;$D$3)/Mapping!$C$2</f>
        <v>0</v>
      </c>
      <c r="M17" s="31">
        <f>SUMIFS('Sales Data'!$D:$D,'Sales Data'!$A:$A,$B17,'Sales Data'!$F:$F,$C$2,'Sales Data'!$G:$G,"&lt;="&amp;$D$3)/Mapping!$C$2</f>
        <v>0</v>
      </c>
      <c r="N17" s="31">
        <f>SUMIFS('Sales Data'!$E:$E,'Sales Data'!$A:$A,$B17,'Sales Data'!$F:$F,$C$2,'Sales Data'!$G:$G,"&lt;="&amp;$D$3)/Mapping!$C$2</f>
        <v>0</v>
      </c>
      <c r="P17" s="32">
        <f t="shared" si="37"/>
        <v>0</v>
      </c>
      <c r="Q17" s="33" t="str">
        <f t="shared" si="38"/>
        <v>N/A</v>
      </c>
      <c r="R17" s="32">
        <f t="shared" si="39"/>
        <v>0</v>
      </c>
      <c r="S17" s="33" t="str">
        <f t="shared" si="40"/>
        <v>N/A</v>
      </c>
      <c r="U17" s="34">
        <f>SUMIFS('Sales Data'!$E:$E,'Sales Data'!$A:$A,$B17,'Sales Data'!$F:$F,$C$2-1,'Sales Data'!$G:$G,"&lt;="&amp;12)/Mapping!$C$2</f>
        <v>0</v>
      </c>
      <c r="V17" s="31">
        <f>SUMIFS('Sales Data'!$D:$D,'Sales Data'!$A:$A,$B17,'Sales Data'!$F:$F,$C$2,'Sales Data'!$G:$G,"&lt;="&amp;12)/Mapping!$C$2</f>
        <v>0</v>
      </c>
      <c r="W17" s="31">
        <f>SUMIFS('Sales Data'!$E:$E,'Sales Data'!$A:$A,$B17,'Sales Data'!$F:$F,$C$2,'Sales Data'!$G:$G,"&lt;="&amp;12)/Mapping!$C$2</f>
        <v>0</v>
      </c>
      <c r="Y17" s="32">
        <f t="shared" si="41"/>
        <v>0</v>
      </c>
      <c r="Z17" s="33" t="str">
        <f t="shared" si="42"/>
        <v>N/A</v>
      </c>
      <c r="AA17" s="32">
        <f t="shared" si="43"/>
        <v>0</v>
      </c>
      <c r="AB17" s="33" t="str">
        <f t="shared" si="44"/>
        <v>N/A</v>
      </c>
      <c r="AC17" s="32" t="e">
        <f>W17-#REF!</f>
        <v>#REF!</v>
      </c>
      <c r="AD17" s="35" t="str">
        <f>IF(ISERROR((W17/#REF!)-1),"N/A",(W17/#REF!)-1)</f>
        <v>N/A</v>
      </c>
      <c r="AF17" s="36">
        <f>N17/Summary!$D$3</f>
        <v>0</v>
      </c>
      <c r="AG17" s="36">
        <f>(V17-N17)/Summary!$E$3</f>
        <v>0</v>
      </c>
      <c r="AH17" s="24">
        <f t="shared" si="45"/>
        <v>0</v>
      </c>
      <c r="AJ17" s="24">
        <f t="shared" si="46"/>
        <v>0</v>
      </c>
      <c r="AK17" s="24">
        <f t="shared" si="47"/>
        <v>0</v>
      </c>
      <c r="AL17" s="24">
        <f t="shared" si="48"/>
        <v>0</v>
      </c>
      <c r="AM17" s="24">
        <f t="shared" si="49"/>
        <v>0</v>
      </c>
      <c r="AN17" s="25">
        <f t="shared" si="50"/>
        <v>0</v>
      </c>
      <c r="AP17" s="26">
        <f t="shared" si="51"/>
        <v>0</v>
      </c>
      <c r="AQ17" s="26">
        <f t="shared" si="52"/>
        <v>0</v>
      </c>
      <c r="AS17" s="27">
        <f>SUMIFS('Sales Data'!$E:$E,'Sales Data'!$A:$A,$B17,'Sales Data'!$B:$B,AS$6,'Sales Data'!$C:$C,"Periodic")/Mapping!$C$2</f>
        <v>0</v>
      </c>
      <c r="AT17" s="27">
        <f>SUMIFS('Sales Data'!$E:$E,'Sales Data'!$A:$A,$B17,'Sales Data'!$B:$B,AT$6,'Sales Data'!$C:$C,"Periodic")/Mapping!$C$2</f>
        <v>0</v>
      </c>
      <c r="AU17" s="27">
        <f>SUMIFS('Sales Data'!$E:$E,'Sales Data'!$A:$A,$B17,'Sales Data'!$B:$B,AU$6,'Sales Data'!$C:$C,"Periodic")/Mapping!$C$2</f>
        <v>0</v>
      </c>
      <c r="AV17" s="27">
        <f>SUMIFS('Sales Data'!$E:$E,'Sales Data'!$A:$A,$B17,'Sales Data'!$B:$B,AV$6,'Sales Data'!$C:$C,"Periodic")/Mapping!$C$2</f>
        <v>0</v>
      </c>
      <c r="AW17" s="27">
        <f>SUMIFS('Sales Data'!$E:$E,'Sales Data'!$A:$A,$B17,'Sales Data'!$B:$B,AW$6,'Sales Data'!$C:$C,"Periodic")/Mapping!$C$2</f>
        <v>0</v>
      </c>
      <c r="AX17" s="27">
        <f>SUMIFS('Sales Data'!$E:$E,'Sales Data'!$A:$A,$B17,'Sales Data'!$B:$B,AX$6,'Sales Data'!$C:$C,"Periodic")/Mapping!$C$2</f>
        <v>0</v>
      </c>
      <c r="AY17" s="27">
        <f>SUMIFS('Sales Data'!$E:$E,'Sales Data'!$A:$A,$B17,'Sales Data'!$B:$B,AY$6,'Sales Data'!$C:$C,"Periodic")/Mapping!$C$2</f>
        <v>0</v>
      </c>
      <c r="AZ17" s="27">
        <f>SUMIFS('Sales Data'!$E:$E,'Sales Data'!$A:$A,$B17,'Sales Data'!$B:$B,AZ$6,'Sales Data'!$C:$C,"Periodic")/Mapping!$C$2</f>
        <v>0</v>
      </c>
      <c r="BA17" s="27">
        <f>SUMIFS('Sales Data'!$E:$E,'Sales Data'!$A:$A,$B17,'Sales Data'!$B:$B,BA$6,'Sales Data'!$C:$C,"Periodic")/Mapping!$C$2</f>
        <v>0</v>
      </c>
      <c r="BB17" s="27">
        <f>SUMIFS('Sales Data'!$E:$E,'Sales Data'!$A:$A,$B17,'Sales Data'!$B:$B,BB$6,'Sales Data'!$C:$C,"Periodic")/Mapping!$C$2</f>
        <v>0</v>
      </c>
      <c r="BC17" s="27">
        <f>SUMIFS('Sales Data'!$E:$E,'Sales Data'!$A:$A,$B17,'Sales Data'!$B:$B,BC$6,'Sales Data'!$C:$C,"Periodic")/Mapping!$C$2</f>
        <v>0</v>
      </c>
      <c r="BD17" s="27">
        <f>SUMIFS('Sales Data'!$E:$E,'Sales Data'!$A:$A,$B17,'Sales Data'!$B:$B,BD$6,'Sales Data'!$C:$C,"Periodic")/Mapping!$C$2</f>
        <v>0</v>
      </c>
      <c r="BE17" s="27">
        <f t="shared" si="53"/>
        <v>0</v>
      </c>
      <c r="BF17" s="27"/>
      <c r="BG17" s="27">
        <f>SUMIFS('Sales Data'!$E:$E,'Sales Data'!$A:$A,$B17,'Sales Data'!$B:$B,BG$6,'Sales Data'!$C:$C,"Periodic")/Mapping!$C$2</f>
        <v>0</v>
      </c>
      <c r="BH17" s="27">
        <f>SUMIFS('Sales Data'!$E:$E,'Sales Data'!$A:$A,$B17,'Sales Data'!$B:$B,BH$6,'Sales Data'!$C:$C,"Periodic")/Mapping!$C$2</f>
        <v>0</v>
      </c>
      <c r="BI17" s="27">
        <f>SUMIFS('Sales Data'!$E:$E,'Sales Data'!$A:$A,$B17,'Sales Data'!$B:$B,BI$6,'Sales Data'!$C:$C,"Periodic")/Mapping!$C$2</f>
        <v>0</v>
      </c>
      <c r="BJ17" s="27">
        <f>SUMIFS('Sales Data'!$E:$E,'Sales Data'!$A:$A,$B17,'Sales Data'!$B:$B,BJ$6,'Sales Data'!$C:$C,"Periodic")/Mapping!$C$2</f>
        <v>0</v>
      </c>
      <c r="BK17" s="27">
        <f>SUMIFS('Sales Data'!$E:$E,'Sales Data'!$A:$A,$B17,'Sales Data'!$B:$B,BK$6,'Sales Data'!$C:$C,"Periodic")/Mapping!$C$2</f>
        <v>0</v>
      </c>
      <c r="BL17" s="27">
        <f>SUMIFS('Sales Data'!$E:$E,'Sales Data'!$A:$A,$B17,'Sales Data'!$B:$B,BL$6,'Sales Data'!$C:$C,"Periodic")/Mapping!$C$2</f>
        <v>0</v>
      </c>
      <c r="BM17" s="27">
        <f>SUMIFS('Sales Data'!$E:$E,'Sales Data'!$A:$A,$B17,'Sales Data'!$B:$B,BM$6,'Sales Data'!$C:$C,"Periodic")/Mapping!$C$2</f>
        <v>0</v>
      </c>
      <c r="BN17" s="27">
        <f>SUMIFS('Sales Data'!$E:$E,'Sales Data'!$A:$A,$B17,'Sales Data'!$B:$B,BN$6,'Sales Data'!$C:$C,"Periodic")/Mapping!$C$2</f>
        <v>0</v>
      </c>
      <c r="BO17" s="27">
        <f>SUMIFS('Sales Data'!$E:$E,'Sales Data'!$A:$A,$B17,'Sales Data'!$B:$B,BO$6,'Sales Data'!$C:$C,"Periodic")/Mapping!$C$2</f>
        <v>0</v>
      </c>
      <c r="BP17" s="27">
        <f>SUMIFS('Sales Data'!$E:$E,'Sales Data'!$A:$A,$B17,'Sales Data'!$B:$B,BP$6,'Sales Data'!$C:$C,"Periodic")/Mapping!$C$2</f>
        <v>0</v>
      </c>
      <c r="BQ17" s="27">
        <f>SUMIFS('Sales Data'!$E:$E,'Sales Data'!$A:$A,$B17,'Sales Data'!$B:$B,BQ$6,'Sales Data'!$C:$C,"Periodic")/Mapping!$C$2</f>
        <v>0</v>
      </c>
      <c r="BR17" s="27">
        <f>SUMIFS('Sales Data'!$E:$E,'Sales Data'!$A:$A,$B17,'Sales Data'!$B:$B,BR$6,'Sales Data'!$C:$C,"Periodic")/Mapping!$C$2</f>
        <v>0</v>
      </c>
      <c r="BS17" s="27"/>
      <c r="BT17" s="27">
        <f t="shared" si="54"/>
        <v>0</v>
      </c>
      <c r="BU17" s="27">
        <f t="shared" si="55"/>
        <v>0</v>
      </c>
      <c r="BV17" s="27">
        <f t="shared" si="56"/>
        <v>0</v>
      </c>
      <c r="BW17" s="27">
        <f t="shared" si="57"/>
        <v>0</v>
      </c>
      <c r="BX17" s="27">
        <f t="shared" si="58"/>
        <v>0</v>
      </c>
      <c r="BY17" s="27">
        <f t="shared" si="59"/>
        <v>0</v>
      </c>
      <c r="BZ17" s="27">
        <f t="shared" si="60"/>
        <v>0</v>
      </c>
      <c r="CA17" s="27">
        <f t="shared" si="61"/>
        <v>0</v>
      </c>
      <c r="CB17" s="27">
        <f t="shared" si="62"/>
        <v>0</v>
      </c>
      <c r="CC17" s="27">
        <f t="shared" si="63"/>
        <v>0</v>
      </c>
      <c r="CD17" s="27">
        <f t="shared" si="64"/>
        <v>0</v>
      </c>
      <c r="CE17" s="27">
        <f t="shared" si="65"/>
        <v>0</v>
      </c>
      <c r="CF17" s="27">
        <f t="shared" si="66"/>
        <v>0</v>
      </c>
      <c r="CH17" s="27">
        <f t="shared" si="67"/>
        <v>0</v>
      </c>
      <c r="CI17" s="27">
        <f t="shared" si="68"/>
        <v>0</v>
      </c>
      <c r="CJ17" s="27">
        <f t="shared" si="69"/>
        <v>0</v>
      </c>
      <c r="CK17" s="27">
        <f t="shared" si="70"/>
        <v>0</v>
      </c>
      <c r="CL17" s="27">
        <f t="shared" si="71"/>
        <v>0</v>
      </c>
      <c r="CM17" s="27">
        <f t="shared" si="72"/>
        <v>0</v>
      </c>
      <c r="CN17" s="27">
        <f t="shared" si="73"/>
        <v>0</v>
      </c>
      <c r="CO17" s="27">
        <f t="shared" si="74"/>
        <v>0</v>
      </c>
      <c r="CP17" s="27">
        <f t="shared" si="75"/>
        <v>0</v>
      </c>
      <c r="CQ17" s="27">
        <f t="shared" si="76"/>
        <v>0</v>
      </c>
      <c r="CR17" s="27">
        <f t="shared" si="77"/>
        <v>0</v>
      </c>
      <c r="CS17" s="27">
        <f t="shared" si="78"/>
        <v>0</v>
      </c>
      <c r="CT17" s="29">
        <f t="shared" si="79"/>
        <v>0</v>
      </c>
      <c r="CV17" s="29">
        <f t="shared" si="80"/>
        <v>0</v>
      </c>
      <c r="CW17" s="29">
        <f t="shared" si="81"/>
        <v>0</v>
      </c>
      <c r="CX17" s="29">
        <f t="shared" si="82"/>
        <v>0</v>
      </c>
      <c r="CZ17" s="36">
        <f>N17+Summary!$E$3*CV17</f>
        <v>0</v>
      </c>
      <c r="DA17" s="36">
        <f>N17+CW17*Summary!$E$3</f>
        <v>0</v>
      </c>
      <c r="DB17" s="26">
        <f>N17+CX17*Summary!$E$3</f>
        <v>0</v>
      </c>
    </row>
    <row r="18" spans="2:106" ht="15" outlineLevel="1" x14ac:dyDescent="0.25">
      <c r="B18" s="16" t="str">
        <f>Mapping!A13</f>
        <v>Placeholder 8</v>
      </c>
      <c r="C18" s="31">
        <f>SUMIFS('Sales Data'!$E:$E,'Sales Data'!$A:$A,$B18,'Sales Data'!$B:$B,Summary!$C$3&amp;" "&amp;Summary!$C$2-1,'Sales Data'!$C:$C,"Periodic")/Mapping!$C$2</f>
        <v>0</v>
      </c>
      <c r="D18" s="31">
        <f>SUMIFS('Sales Data'!$D:$D,'Sales Data'!$A:$A,$B18,'Sales Data'!$B:$B,Summary!$C$3&amp;" "&amp;Summary!$C$2,'Sales Data'!$C:$C,"Periodic")/Mapping!$C$2</f>
        <v>0</v>
      </c>
      <c r="E18" s="31">
        <f>SUMIFS('Sales Data'!$E:$E,'Sales Data'!$A:$A,$B18,'Sales Data'!$B:$B,Summary!$C$3&amp;" "&amp;Summary!$C$2,'Sales Data'!$C:$C,"Periodic")/Mapping!$C$2</f>
        <v>0</v>
      </c>
      <c r="G18" s="32">
        <f t="shared" si="33"/>
        <v>0</v>
      </c>
      <c r="H18" s="33" t="str">
        <f t="shared" si="34"/>
        <v>N/A</v>
      </c>
      <c r="I18" s="32">
        <f t="shared" si="35"/>
        <v>0</v>
      </c>
      <c r="J18" s="33" t="str">
        <f t="shared" si="36"/>
        <v>N/A</v>
      </c>
      <c r="L18" s="34">
        <f>SUMIFS('Sales Data'!$E:$E,'Sales Data'!$A:$A,$B18,'Sales Data'!$F:$F,$C$2-1,'Sales Data'!$G:$G,"&lt;="&amp;$D$3)/Mapping!$C$2</f>
        <v>0</v>
      </c>
      <c r="M18" s="31">
        <f>SUMIFS('Sales Data'!$D:$D,'Sales Data'!$A:$A,$B18,'Sales Data'!$F:$F,$C$2,'Sales Data'!$G:$G,"&lt;="&amp;$D$3)/Mapping!$C$2</f>
        <v>0</v>
      </c>
      <c r="N18" s="31">
        <f>SUMIFS('Sales Data'!$E:$E,'Sales Data'!$A:$A,$B18,'Sales Data'!$F:$F,$C$2,'Sales Data'!$G:$G,"&lt;="&amp;$D$3)/Mapping!$C$2</f>
        <v>0</v>
      </c>
      <c r="P18" s="32">
        <f t="shared" si="37"/>
        <v>0</v>
      </c>
      <c r="Q18" s="33" t="str">
        <f t="shared" si="38"/>
        <v>N/A</v>
      </c>
      <c r="R18" s="32">
        <f t="shared" si="39"/>
        <v>0</v>
      </c>
      <c r="S18" s="33" t="str">
        <f t="shared" si="40"/>
        <v>N/A</v>
      </c>
      <c r="U18" s="34">
        <f>SUMIFS('Sales Data'!$E:$E,'Sales Data'!$A:$A,$B18,'Sales Data'!$F:$F,$C$2-1,'Sales Data'!$G:$G,"&lt;="&amp;12)/Mapping!$C$2</f>
        <v>0</v>
      </c>
      <c r="V18" s="31">
        <f>SUMIFS('Sales Data'!$D:$D,'Sales Data'!$A:$A,$B18,'Sales Data'!$F:$F,$C$2,'Sales Data'!$G:$G,"&lt;="&amp;12)/Mapping!$C$2</f>
        <v>0</v>
      </c>
      <c r="W18" s="31">
        <f>SUMIFS('Sales Data'!$E:$E,'Sales Data'!$A:$A,$B18,'Sales Data'!$F:$F,$C$2,'Sales Data'!$G:$G,"&lt;="&amp;12)/Mapping!$C$2</f>
        <v>0</v>
      </c>
      <c r="Y18" s="32">
        <f t="shared" si="41"/>
        <v>0</v>
      </c>
      <c r="Z18" s="33" t="str">
        <f t="shared" si="42"/>
        <v>N/A</v>
      </c>
      <c r="AA18" s="32">
        <f t="shared" si="43"/>
        <v>0</v>
      </c>
      <c r="AB18" s="33" t="str">
        <f t="shared" si="44"/>
        <v>N/A</v>
      </c>
      <c r="AC18" s="32" t="e">
        <f>W18-#REF!</f>
        <v>#REF!</v>
      </c>
      <c r="AD18" s="35" t="str">
        <f>IF(ISERROR((W18/#REF!)-1),"N/A",(W18/#REF!)-1)</f>
        <v>N/A</v>
      </c>
      <c r="AF18" s="36">
        <f>N18/Summary!$D$3</f>
        <v>0</v>
      </c>
      <c r="AG18" s="36">
        <f>(V18-N18)/Summary!$E$3</f>
        <v>0</v>
      </c>
      <c r="AH18" s="24">
        <f t="shared" si="45"/>
        <v>0</v>
      </c>
      <c r="AJ18" s="24">
        <f t="shared" si="46"/>
        <v>0</v>
      </c>
      <c r="AK18" s="24">
        <f t="shared" si="47"/>
        <v>0</v>
      </c>
      <c r="AL18" s="24">
        <f t="shared" si="48"/>
        <v>0</v>
      </c>
      <c r="AM18" s="24">
        <f t="shared" si="49"/>
        <v>0</v>
      </c>
      <c r="AN18" s="25">
        <f t="shared" si="50"/>
        <v>0</v>
      </c>
      <c r="AP18" s="26">
        <f t="shared" si="51"/>
        <v>0</v>
      </c>
      <c r="AQ18" s="26">
        <f t="shared" si="52"/>
        <v>0</v>
      </c>
      <c r="AS18" s="27">
        <f>SUMIFS('Sales Data'!$E:$E,'Sales Data'!$A:$A,$B18,'Sales Data'!$B:$B,AS$6,'Sales Data'!$C:$C,"Periodic")/Mapping!$C$2</f>
        <v>0</v>
      </c>
      <c r="AT18" s="27">
        <f>SUMIFS('Sales Data'!$E:$E,'Sales Data'!$A:$A,$B18,'Sales Data'!$B:$B,AT$6,'Sales Data'!$C:$C,"Periodic")/Mapping!$C$2</f>
        <v>0</v>
      </c>
      <c r="AU18" s="27">
        <f>SUMIFS('Sales Data'!$E:$E,'Sales Data'!$A:$A,$B18,'Sales Data'!$B:$B,AU$6,'Sales Data'!$C:$C,"Periodic")/Mapping!$C$2</f>
        <v>0</v>
      </c>
      <c r="AV18" s="27">
        <f>SUMIFS('Sales Data'!$E:$E,'Sales Data'!$A:$A,$B18,'Sales Data'!$B:$B,AV$6,'Sales Data'!$C:$C,"Periodic")/Mapping!$C$2</f>
        <v>0</v>
      </c>
      <c r="AW18" s="27">
        <f>SUMIFS('Sales Data'!$E:$E,'Sales Data'!$A:$A,$B18,'Sales Data'!$B:$B,AW$6,'Sales Data'!$C:$C,"Periodic")/Mapping!$C$2</f>
        <v>0</v>
      </c>
      <c r="AX18" s="27">
        <f>SUMIFS('Sales Data'!$E:$E,'Sales Data'!$A:$A,$B18,'Sales Data'!$B:$B,AX$6,'Sales Data'!$C:$C,"Periodic")/Mapping!$C$2</f>
        <v>0</v>
      </c>
      <c r="AY18" s="27">
        <f>SUMIFS('Sales Data'!$E:$E,'Sales Data'!$A:$A,$B18,'Sales Data'!$B:$B,AY$6,'Sales Data'!$C:$C,"Periodic")/Mapping!$C$2</f>
        <v>0</v>
      </c>
      <c r="AZ18" s="27">
        <f>SUMIFS('Sales Data'!$E:$E,'Sales Data'!$A:$A,$B18,'Sales Data'!$B:$B,AZ$6,'Sales Data'!$C:$C,"Periodic")/Mapping!$C$2</f>
        <v>0</v>
      </c>
      <c r="BA18" s="27">
        <f>SUMIFS('Sales Data'!$E:$E,'Sales Data'!$A:$A,$B18,'Sales Data'!$B:$B,BA$6,'Sales Data'!$C:$C,"Periodic")/Mapping!$C$2</f>
        <v>0</v>
      </c>
      <c r="BB18" s="27">
        <f>SUMIFS('Sales Data'!$E:$E,'Sales Data'!$A:$A,$B18,'Sales Data'!$B:$B,BB$6,'Sales Data'!$C:$C,"Periodic")/Mapping!$C$2</f>
        <v>0</v>
      </c>
      <c r="BC18" s="27">
        <f>SUMIFS('Sales Data'!$E:$E,'Sales Data'!$A:$A,$B18,'Sales Data'!$B:$B,BC$6,'Sales Data'!$C:$C,"Periodic")/Mapping!$C$2</f>
        <v>0</v>
      </c>
      <c r="BD18" s="27">
        <f>SUMIFS('Sales Data'!$E:$E,'Sales Data'!$A:$A,$B18,'Sales Data'!$B:$B,BD$6,'Sales Data'!$C:$C,"Periodic")/Mapping!$C$2</f>
        <v>0</v>
      </c>
      <c r="BE18" s="27">
        <f t="shared" si="53"/>
        <v>0</v>
      </c>
      <c r="BF18" s="27"/>
      <c r="BG18" s="27">
        <f>SUMIFS('Sales Data'!$E:$E,'Sales Data'!$A:$A,$B18,'Sales Data'!$B:$B,BG$6,'Sales Data'!$C:$C,"Periodic")/Mapping!$C$2</f>
        <v>0</v>
      </c>
      <c r="BH18" s="27">
        <f>SUMIFS('Sales Data'!$E:$E,'Sales Data'!$A:$A,$B18,'Sales Data'!$B:$B,BH$6,'Sales Data'!$C:$C,"Periodic")/Mapping!$C$2</f>
        <v>0</v>
      </c>
      <c r="BI18" s="27">
        <f>SUMIFS('Sales Data'!$E:$E,'Sales Data'!$A:$A,$B18,'Sales Data'!$B:$B,BI$6,'Sales Data'!$C:$C,"Periodic")/Mapping!$C$2</f>
        <v>0</v>
      </c>
      <c r="BJ18" s="27">
        <f>SUMIFS('Sales Data'!$E:$E,'Sales Data'!$A:$A,$B18,'Sales Data'!$B:$B,BJ$6,'Sales Data'!$C:$C,"Periodic")/Mapping!$C$2</f>
        <v>0</v>
      </c>
      <c r="BK18" s="27">
        <f>SUMIFS('Sales Data'!$E:$E,'Sales Data'!$A:$A,$B18,'Sales Data'!$B:$B,BK$6,'Sales Data'!$C:$C,"Periodic")/Mapping!$C$2</f>
        <v>0</v>
      </c>
      <c r="BL18" s="27">
        <f>SUMIFS('Sales Data'!$E:$E,'Sales Data'!$A:$A,$B18,'Sales Data'!$B:$B,BL$6,'Sales Data'!$C:$C,"Periodic")/Mapping!$C$2</f>
        <v>0</v>
      </c>
      <c r="BM18" s="27">
        <f>SUMIFS('Sales Data'!$E:$E,'Sales Data'!$A:$A,$B18,'Sales Data'!$B:$B,BM$6,'Sales Data'!$C:$C,"Periodic")/Mapping!$C$2</f>
        <v>0</v>
      </c>
      <c r="BN18" s="27">
        <f>SUMIFS('Sales Data'!$E:$E,'Sales Data'!$A:$A,$B18,'Sales Data'!$B:$B,BN$6,'Sales Data'!$C:$C,"Periodic")/Mapping!$C$2</f>
        <v>0</v>
      </c>
      <c r="BO18" s="27">
        <f>SUMIFS('Sales Data'!$E:$E,'Sales Data'!$A:$A,$B18,'Sales Data'!$B:$B,BO$6,'Sales Data'!$C:$C,"Periodic")/Mapping!$C$2</f>
        <v>0</v>
      </c>
      <c r="BP18" s="27">
        <f>SUMIFS('Sales Data'!$E:$E,'Sales Data'!$A:$A,$B18,'Sales Data'!$B:$B,BP$6,'Sales Data'!$C:$C,"Periodic")/Mapping!$C$2</f>
        <v>0</v>
      </c>
      <c r="BQ18" s="27">
        <f>SUMIFS('Sales Data'!$E:$E,'Sales Data'!$A:$A,$B18,'Sales Data'!$B:$B,BQ$6,'Sales Data'!$C:$C,"Periodic")/Mapping!$C$2</f>
        <v>0</v>
      </c>
      <c r="BR18" s="27">
        <f>SUMIFS('Sales Data'!$E:$E,'Sales Data'!$A:$A,$B18,'Sales Data'!$B:$B,BR$6,'Sales Data'!$C:$C,"Periodic")/Mapping!$C$2</f>
        <v>0</v>
      </c>
      <c r="BS18" s="27"/>
      <c r="BT18" s="27">
        <f t="shared" si="54"/>
        <v>0</v>
      </c>
      <c r="BU18" s="27">
        <f t="shared" si="55"/>
        <v>0</v>
      </c>
      <c r="BV18" s="27">
        <f t="shared" si="56"/>
        <v>0</v>
      </c>
      <c r="BW18" s="27">
        <f t="shared" si="57"/>
        <v>0</v>
      </c>
      <c r="BX18" s="27">
        <f t="shared" si="58"/>
        <v>0</v>
      </c>
      <c r="BY18" s="27">
        <f t="shared" si="59"/>
        <v>0</v>
      </c>
      <c r="BZ18" s="27">
        <f t="shared" si="60"/>
        <v>0</v>
      </c>
      <c r="CA18" s="27">
        <f t="shared" si="61"/>
        <v>0</v>
      </c>
      <c r="CB18" s="27">
        <f t="shared" si="62"/>
        <v>0</v>
      </c>
      <c r="CC18" s="27">
        <f t="shared" si="63"/>
        <v>0</v>
      </c>
      <c r="CD18" s="27">
        <f t="shared" si="64"/>
        <v>0</v>
      </c>
      <c r="CE18" s="27">
        <f t="shared" si="65"/>
        <v>0</v>
      </c>
      <c r="CF18" s="27">
        <f t="shared" si="66"/>
        <v>0</v>
      </c>
      <c r="CH18" s="27">
        <f t="shared" si="67"/>
        <v>0</v>
      </c>
      <c r="CI18" s="27">
        <f t="shared" si="68"/>
        <v>0</v>
      </c>
      <c r="CJ18" s="27">
        <f t="shared" si="69"/>
        <v>0</v>
      </c>
      <c r="CK18" s="27">
        <f t="shared" si="70"/>
        <v>0</v>
      </c>
      <c r="CL18" s="27">
        <f t="shared" si="71"/>
        <v>0</v>
      </c>
      <c r="CM18" s="27">
        <f t="shared" si="72"/>
        <v>0</v>
      </c>
      <c r="CN18" s="27">
        <f t="shared" si="73"/>
        <v>0</v>
      </c>
      <c r="CO18" s="27">
        <f t="shared" si="74"/>
        <v>0</v>
      </c>
      <c r="CP18" s="27">
        <f t="shared" si="75"/>
        <v>0</v>
      </c>
      <c r="CQ18" s="27">
        <f t="shared" si="76"/>
        <v>0</v>
      </c>
      <c r="CR18" s="27">
        <f t="shared" si="77"/>
        <v>0</v>
      </c>
      <c r="CS18" s="27">
        <f t="shared" si="78"/>
        <v>0</v>
      </c>
      <c r="CT18" s="29">
        <f t="shared" si="79"/>
        <v>0</v>
      </c>
      <c r="CV18" s="29">
        <f t="shared" si="80"/>
        <v>0</v>
      </c>
      <c r="CW18" s="29">
        <f t="shared" si="81"/>
        <v>0</v>
      </c>
      <c r="CX18" s="29">
        <f t="shared" si="82"/>
        <v>0</v>
      </c>
      <c r="CZ18" s="36">
        <f>N18+Summary!$E$3*CV18</f>
        <v>0</v>
      </c>
      <c r="DA18" s="36">
        <f>N18+CW18*Summary!$E$3</f>
        <v>0</v>
      </c>
      <c r="DB18" s="26">
        <f>N18+CX18*Summary!$E$3</f>
        <v>0</v>
      </c>
    </row>
    <row r="19" spans="2:106" ht="15" outlineLevel="1" x14ac:dyDescent="0.25">
      <c r="B19" s="16" t="str">
        <f>Mapping!A14</f>
        <v>Placeholder 9</v>
      </c>
      <c r="C19" s="31">
        <f>SUMIFS('Sales Data'!$E:$E,'Sales Data'!$A:$A,$B19,'Sales Data'!$B:$B,Summary!$C$3&amp;" "&amp;Summary!$C$2-1,'Sales Data'!$C:$C,"Periodic")/Mapping!$C$2</f>
        <v>0</v>
      </c>
      <c r="D19" s="31">
        <f>SUMIFS('Sales Data'!$D:$D,'Sales Data'!$A:$A,$B19,'Sales Data'!$B:$B,Summary!$C$3&amp;" "&amp;Summary!$C$2,'Sales Data'!$C:$C,"Periodic")/Mapping!$C$2</f>
        <v>0</v>
      </c>
      <c r="E19" s="31">
        <f>SUMIFS('Sales Data'!$E:$E,'Sales Data'!$A:$A,$B19,'Sales Data'!$B:$B,Summary!$C$3&amp;" "&amp;Summary!$C$2,'Sales Data'!$C:$C,"Periodic")/Mapping!$C$2</f>
        <v>0</v>
      </c>
      <c r="G19" s="32">
        <f t="shared" si="33"/>
        <v>0</v>
      </c>
      <c r="H19" s="33" t="str">
        <f t="shared" si="34"/>
        <v>N/A</v>
      </c>
      <c r="I19" s="32">
        <f t="shared" si="35"/>
        <v>0</v>
      </c>
      <c r="J19" s="33" t="str">
        <f t="shared" si="36"/>
        <v>N/A</v>
      </c>
      <c r="L19" s="34">
        <f>SUMIFS('Sales Data'!$E:$E,'Sales Data'!$A:$A,$B19,'Sales Data'!$F:$F,$C$2-1,'Sales Data'!$G:$G,"&lt;="&amp;$D$3)/Mapping!$C$2</f>
        <v>0</v>
      </c>
      <c r="M19" s="31">
        <f>SUMIFS('Sales Data'!$D:$D,'Sales Data'!$A:$A,$B19,'Sales Data'!$F:$F,$C$2,'Sales Data'!$G:$G,"&lt;="&amp;$D$3)/Mapping!$C$2</f>
        <v>0</v>
      </c>
      <c r="N19" s="31">
        <f>SUMIFS('Sales Data'!$E:$E,'Sales Data'!$A:$A,$B19,'Sales Data'!$F:$F,$C$2,'Sales Data'!$G:$G,"&lt;="&amp;$D$3)/Mapping!$C$2</f>
        <v>0</v>
      </c>
      <c r="P19" s="32">
        <f t="shared" si="37"/>
        <v>0</v>
      </c>
      <c r="Q19" s="33" t="str">
        <f t="shared" si="38"/>
        <v>N/A</v>
      </c>
      <c r="R19" s="32">
        <f t="shared" si="39"/>
        <v>0</v>
      </c>
      <c r="S19" s="33" t="str">
        <f t="shared" si="40"/>
        <v>N/A</v>
      </c>
      <c r="U19" s="34">
        <f>SUMIFS('Sales Data'!$E:$E,'Sales Data'!$A:$A,$B19,'Sales Data'!$F:$F,$C$2-1,'Sales Data'!$G:$G,"&lt;="&amp;12)/Mapping!$C$2</f>
        <v>0</v>
      </c>
      <c r="V19" s="31">
        <f>SUMIFS('Sales Data'!$D:$D,'Sales Data'!$A:$A,$B19,'Sales Data'!$F:$F,$C$2,'Sales Data'!$G:$G,"&lt;="&amp;12)/Mapping!$C$2</f>
        <v>0</v>
      </c>
      <c r="W19" s="31">
        <f>SUMIFS('Sales Data'!$E:$E,'Sales Data'!$A:$A,$B19,'Sales Data'!$F:$F,$C$2,'Sales Data'!$G:$G,"&lt;="&amp;12)/Mapping!$C$2</f>
        <v>0</v>
      </c>
      <c r="Y19" s="32">
        <f t="shared" si="41"/>
        <v>0</v>
      </c>
      <c r="Z19" s="33" t="str">
        <f t="shared" si="42"/>
        <v>N/A</v>
      </c>
      <c r="AA19" s="32">
        <f t="shared" si="43"/>
        <v>0</v>
      </c>
      <c r="AB19" s="33" t="str">
        <f t="shared" si="44"/>
        <v>N/A</v>
      </c>
      <c r="AC19" s="32" t="e">
        <f>W19-#REF!</f>
        <v>#REF!</v>
      </c>
      <c r="AD19" s="35" t="str">
        <f>IF(ISERROR((W19/#REF!)-1),"N/A",(W19/#REF!)-1)</f>
        <v>N/A</v>
      </c>
      <c r="AF19" s="36">
        <f>N19/Summary!$D$3</f>
        <v>0</v>
      </c>
      <c r="AG19" s="36">
        <f>(V19-N19)/Summary!$E$3</f>
        <v>0</v>
      </c>
      <c r="AH19" s="24">
        <f t="shared" si="45"/>
        <v>0</v>
      </c>
      <c r="AJ19" s="24">
        <f t="shared" si="46"/>
        <v>0</v>
      </c>
      <c r="AK19" s="24">
        <f t="shared" si="47"/>
        <v>0</v>
      </c>
      <c r="AL19" s="24">
        <f t="shared" si="48"/>
        <v>0</v>
      </c>
      <c r="AM19" s="24">
        <f t="shared" si="49"/>
        <v>0</v>
      </c>
      <c r="AN19" s="25">
        <f t="shared" si="50"/>
        <v>0</v>
      </c>
      <c r="AP19" s="26">
        <f t="shared" si="51"/>
        <v>0</v>
      </c>
      <c r="AQ19" s="26">
        <f t="shared" si="52"/>
        <v>0</v>
      </c>
      <c r="AS19" s="27">
        <f>SUMIFS('Sales Data'!$E:$E,'Sales Data'!$A:$A,$B19,'Sales Data'!$B:$B,AS$6,'Sales Data'!$C:$C,"Periodic")/Mapping!$C$2</f>
        <v>0</v>
      </c>
      <c r="AT19" s="27">
        <f>SUMIFS('Sales Data'!$E:$E,'Sales Data'!$A:$A,$B19,'Sales Data'!$B:$B,AT$6,'Sales Data'!$C:$C,"Periodic")/Mapping!$C$2</f>
        <v>0</v>
      </c>
      <c r="AU19" s="27">
        <f>SUMIFS('Sales Data'!$E:$E,'Sales Data'!$A:$A,$B19,'Sales Data'!$B:$B,AU$6,'Sales Data'!$C:$C,"Periodic")/Mapping!$C$2</f>
        <v>0</v>
      </c>
      <c r="AV19" s="27">
        <f>SUMIFS('Sales Data'!$E:$E,'Sales Data'!$A:$A,$B19,'Sales Data'!$B:$B,AV$6,'Sales Data'!$C:$C,"Periodic")/Mapping!$C$2</f>
        <v>0</v>
      </c>
      <c r="AW19" s="27">
        <f>SUMIFS('Sales Data'!$E:$E,'Sales Data'!$A:$A,$B19,'Sales Data'!$B:$B,AW$6,'Sales Data'!$C:$C,"Periodic")/Mapping!$C$2</f>
        <v>0</v>
      </c>
      <c r="AX19" s="27">
        <f>SUMIFS('Sales Data'!$E:$E,'Sales Data'!$A:$A,$B19,'Sales Data'!$B:$B,AX$6,'Sales Data'!$C:$C,"Periodic")/Mapping!$C$2</f>
        <v>0</v>
      </c>
      <c r="AY19" s="27">
        <f>SUMIFS('Sales Data'!$E:$E,'Sales Data'!$A:$A,$B19,'Sales Data'!$B:$B,AY$6,'Sales Data'!$C:$C,"Periodic")/Mapping!$C$2</f>
        <v>0</v>
      </c>
      <c r="AZ19" s="27">
        <f>SUMIFS('Sales Data'!$E:$E,'Sales Data'!$A:$A,$B19,'Sales Data'!$B:$B,AZ$6,'Sales Data'!$C:$C,"Periodic")/Mapping!$C$2</f>
        <v>0</v>
      </c>
      <c r="BA19" s="27">
        <f>SUMIFS('Sales Data'!$E:$E,'Sales Data'!$A:$A,$B19,'Sales Data'!$B:$B,BA$6,'Sales Data'!$C:$C,"Periodic")/Mapping!$C$2</f>
        <v>0</v>
      </c>
      <c r="BB19" s="27">
        <f>SUMIFS('Sales Data'!$E:$E,'Sales Data'!$A:$A,$B19,'Sales Data'!$B:$B,BB$6,'Sales Data'!$C:$C,"Periodic")/Mapping!$C$2</f>
        <v>0</v>
      </c>
      <c r="BC19" s="27">
        <f>SUMIFS('Sales Data'!$E:$E,'Sales Data'!$A:$A,$B19,'Sales Data'!$B:$B,BC$6,'Sales Data'!$C:$C,"Periodic")/Mapping!$C$2</f>
        <v>0</v>
      </c>
      <c r="BD19" s="27">
        <f>SUMIFS('Sales Data'!$E:$E,'Sales Data'!$A:$A,$B19,'Sales Data'!$B:$B,BD$6,'Sales Data'!$C:$C,"Periodic")/Mapping!$C$2</f>
        <v>0</v>
      </c>
      <c r="BE19" s="27">
        <f t="shared" si="53"/>
        <v>0</v>
      </c>
      <c r="BF19" s="27"/>
      <c r="BG19" s="27">
        <f>SUMIFS('Sales Data'!$E:$E,'Sales Data'!$A:$A,$B19,'Sales Data'!$B:$B,BG$6,'Sales Data'!$C:$C,"Periodic")/Mapping!$C$2</f>
        <v>0</v>
      </c>
      <c r="BH19" s="27">
        <f>SUMIFS('Sales Data'!$E:$E,'Sales Data'!$A:$A,$B19,'Sales Data'!$B:$B,BH$6,'Sales Data'!$C:$C,"Periodic")/Mapping!$C$2</f>
        <v>0</v>
      </c>
      <c r="BI19" s="27">
        <f>SUMIFS('Sales Data'!$E:$E,'Sales Data'!$A:$A,$B19,'Sales Data'!$B:$B,BI$6,'Sales Data'!$C:$C,"Periodic")/Mapping!$C$2</f>
        <v>0</v>
      </c>
      <c r="BJ19" s="27">
        <f>SUMIFS('Sales Data'!$E:$E,'Sales Data'!$A:$A,$B19,'Sales Data'!$B:$B,BJ$6,'Sales Data'!$C:$C,"Periodic")/Mapping!$C$2</f>
        <v>0</v>
      </c>
      <c r="BK19" s="27">
        <f>SUMIFS('Sales Data'!$E:$E,'Sales Data'!$A:$A,$B19,'Sales Data'!$B:$B,BK$6,'Sales Data'!$C:$C,"Periodic")/Mapping!$C$2</f>
        <v>0</v>
      </c>
      <c r="BL19" s="27">
        <f>SUMIFS('Sales Data'!$E:$E,'Sales Data'!$A:$A,$B19,'Sales Data'!$B:$B,BL$6,'Sales Data'!$C:$C,"Periodic")/Mapping!$C$2</f>
        <v>0</v>
      </c>
      <c r="BM19" s="27">
        <f>SUMIFS('Sales Data'!$E:$E,'Sales Data'!$A:$A,$B19,'Sales Data'!$B:$B,BM$6,'Sales Data'!$C:$C,"Periodic")/Mapping!$C$2</f>
        <v>0</v>
      </c>
      <c r="BN19" s="27">
        <f>SUMIFS('Sales Data'!$E:$E,'Sales Data'!$A:$A,$B19,'Sales Data'!$B:$B,BN$6,'Sales Data'!$C:$C,"Periodic")/Mapping!$C$2</f>
        <v>0</v>
      </c>
      <c r="BO19" s="27">
        <f>SUMIFS('Sales Data'!$E:$E,'Sales Data'!$A:$A,$B19,'Sales Data'!$B:$B,BO$6,'Sales Data'!$C:$C,"Periodic")/Mapping!$C$2</f>
        <v>0</v>
      </c>
      <c r="BP19" s="27">
        <f>SUMIFS('Sales Data'!$E:$E,'Sales Data'!$A:$A,$B19,'Sales Data'!$B:$B,BP$6,'Sales Data'!$C:$C,"Periodic")/Mapping!$C$2</f>
        <v>0</v>
      </c>
      <c r="BQ19" s="27">
        <f>SUMIFS('Sales Data'!$E:$E,'Sales Data'!$A:$A,$B19,'Sales Data'!$B:$B,BQ$6,'Sales Data'!$C:$C,"Periodic")/Mapping!$C$2</f>
        <v>0</v>
      </c>
      <c r="BR19" s="27">
        <f>SUMIFS('Sales Data'!$E:$E,'Sales Data'!$A:$A,$B19,'Sales Data'!$B:$B,BR$6,'Sales Data'!$C:$C,"Periodic")/Mapping!$C$2</f>
        <v>0</v>
      </c>
      <c r="BS19" s="27"/>
      <c r="BT19" s="27">
        <f t="shared" si="54"/>
        <v>0</v>
      </c>
      <c r="BU19" s="27">
        <f t="shared" si="55"/>
        <v>0</v>
      </c>
      <c r="BV19" s="27">
        <f t="shared" si="56"/>
        <v>0</v>
      </c>
      <c r="BW19" s="27">
        <f t="shared" si="57"/>
        <v>0</v>
      </c>
      <c r="BX19" s="27">
        <f t="shared" si="58"/>
        <v>0</v>
      </c>
      <c r="BY19" s="27">
        <f t="shared" si="59"/>
        <v>0</v>
      </c>
      <c r="BZ19" s="27">
        <f t="shared" si="60"/>
        <v>0</v>
      </c>
      <c r="CA19" s="27">
        <f t="shared" si="61"/>
        <v>0</v>
      </c>
      <c r="CB19" s="27">
        <f t="shared" si="62"/>
        <v>0</v>
      </c>
      <c r="CC19" s="27">
        <f t="shared" si="63"/>
        <v>0</v>
      </c>
      <c r="CD19" s="27">
        <f t="shared" si="64"/>
        <v>0</v>
      </c>
      <c r="CE19" s="27">
        <f t="shared" si="65"/>
        <v>0</v>
      </c>
      <c r="CF19" s="27">
        <f t="shared" si="66"/>
        <v>0</v>
      </c>
      <c r="CH19" s="27">
        <f t="shared" si="67"/>
        <v>0</v>
      </c>
      <c r="CI19" s="27">
        <f t="shared" si="68"/>
        <v>0</v>
      </c>
      <c r="CJ19" s="27">
        <f t="shared" si="69"/>
        <v>0</v>
      </c>
      <c r="CK19" s="27">
        <f t="shared" si="70"/>
        <v>0</v>
      </c>
      <c r="CL19" s="27">
        <f t="shared" si="71"/>
        <v>0</v>
      </c>
      <c r="CM19" s="27">
        <f t="shared" si="72"/>
        <v>0</v>
      </c>
      <c r="CN19" s="27">
        <f t="shared" si="73"/>
        <v>0</v>
      </c>
      <c r="CO19" s="27">
        <f t="shared" si="74"/>
        <v>0</v>
      </c>
      <c r="CP19" s="27">
        <f t="shared" si="75"/>
        <v>0</v>
      </c>
      <c r="CQ19" s="27">
        <f t="shared" si="76"/>
        <v>0</v>
      </c>
      <c r="CR19" s="27">
        <f t="shared" si="77"/>
        <v>0</v>
      </c>
      <c r="CS19" s="27">
        <f t="shared" si="78"/>
        <v>0</v>
      </c>
      <c r="CT19" s="29">
        <f t="shared" si="79"/>
        <v>0</v>
      </c>
      <c r="CV19" s="29">
        <f t="shared" si="80"/>
        <v>0</v>
      </c>
      <c r="CW19" s="29">
        <f t="shared" si="81"/>
        <v>0</v>
      </c>
      <c r="CX19" s="29">
        <f t="shared" si="82"/>
        <v>0</v>
      </c>
      <c r="CZ19" s="36">
        <f>N19+Summary!$E$3*CV19</f>
        <v>0</v>
      </c>
      <c r="DA19" s="36">
        <f>N19+CW19*Summary!$E$3</f>
        <v>0</v>
      </c>
      <c r="DB19" s="26">
        <f>N19+CX19*Summary!$E$3</f>
        <v>0</v>
      </c>
    </row>
    <row r="20" spans="2:106" ht="15" outlineLevel="1" x14ac:dyDescent="0.25">
      <c r="B20" s="16" t="str">
        <f>Mapping!A15</f>
        <v>Placeholder 10</v>
      </c>
      <c r="C20" s="31">
        <f>SUMIFS('Sales Data'!$E:$E,'Sales Data'!$A:$A,$B20,'Sales Data'!$B:$B,Summary!$C$3&amp;" "&amp;Summary!$C$2-1,'Sales Data'!$C:$C,"Periodic")/Mapping!$C$2</f>
        <v>0</v>
      </c>
      <c r="D20" s="31">
        <f>SUMIFS('Sales Data'!$D:$D,'Sales Data'!$A:$A,$B20,'Sales Data'!$B:$B,Summary!$C$3&amp;" "&amp;Summary!$C$2,'Sales Data'!$C:$C,"Periodic")/Mapping!$C$2</f>
        <v>0</v>
      </c>
      <c r="E20" s="31">
        <f>SUMIFS('Sales Data'!$E:$E,'Sales Data'!$A:$A,$B20,'Sales Data'!$B:$B,Summary!$C$3&amp;" "&amp;Summary!$C$2,'Sales Data'!$C:$C,"Periodic")/Mapping!$C$2</f>
        <v>0</v>
      </c>
      <c r="G20" s="32">
        <f t="shared" si="33"/>
        <v>0</v>
      </c>
      <c r="H20" s="33" t="str">
        <f t="shared" si="34"/>
        <v>N/A</v>
      </c>
      <c r="I20" s="32">
        <f t="shared" si="35"/>
        <v>0</v>
      </c>
      <c r="J20" s="33" t="str">
        <f t="shared" si="36"/>
        <v>N/A</v>
      </c>
      <c r="L20" s="34">
        <f>SUMIFS('Sales Data'!$E:$E,'Sales Data'!$A:$A,$B20,'Sales Data'!$F:$F,$C$2-1,'Sales Data'!$G:$G,"&lt;="&amp;$D$3)/Mapping!$C$2</f>
        <v>0</v>
      </c>
      <c r="M20" s="31">
        <f>SUMIFS('Sales Data'!$D:$D,'Sales Data'!$A:$A,$B20,'Sales Data'!$F:$F,$C$2,'Sales Data'!$G:$G,"&lt;="&amp;$D$3)/Mapping!$C$2</f>
        <v>0</v>
      </c>
      <c r="N20" s="31">
        <f>SUMIFS('Sales Data'!$E:$E,'Sales Data'!$A:$A,$B20,'Sales Data'!$F:$F,$C$2,'Sales Data'!$G:$G,"&lt;="&amp;$D$3)/Mapping!$C$2</f>
        <v>0</v>
      </c>
      <c r="P20" s="32">
        <f t="shared" si="37"/>
        <v>0</v>
      </c>
      <c r="Q20" s="33" t="str">
        <f t="shared" si="38"/>
        <v>N/A</v>
      </c>
      <c r="R20" s="32">
        <f t="shared" si="39"/>
        <v>0</v>
      </c>
      <c r="S20" s="33" t="str">
        <f t="shared" si="40"/>
        <v>N/A</v>
      </c>
      <c r="U20" s="34">
        <f>SUMIFS('Sales Data'!$E:$E,'Sales Data'!$A:$A,$B20,'Sales Data'!$F:$F,$C$2-1,'Sales Data'!$G:$G,"&lt;="&amp;12)/Mapping!$C$2</f>
        <v>0</v>
      </c>
      <c r="V20" s="31">
        <f>SUMIFS('Sales Data'!$D:$D,'Sales Data'!$A:$A,$B20,'Sales Data'!$F:$F,$C$2,'Sales Data'!$G:$G,"&lt;="&amp;12)/Mapping!$C$2</f>
        <v>0</v>
      </c>
      <c r="W20" s="31">
        <f>SUMIFS('Sales Data'!$E:$E,'Sales Data'!$A:$A,$B20,'Sales Data'!$F:$F,$C$2,'Sales Data'!$G:$G,"&lt;="&amp;12)/Mapping!$C$2</f>
        <v>0</v>
      </c>
      <c r="Y20" s="32">
        <f t="shared" si="41"/>
        <v>0</v>
      </c>
      <c r="Z20" s="33" t="str">
        <f t="shared" si="42"/>
        <v>N/A</v>
      </c>
      <c r="AA20" s="32">
        <f t="shared" si="43"/>
        <v>0</v>
      </c>
      <c r="AB20" s="33" t="str">
        <f t="shared" si="44"/>
        <v>N/A</v>
      </c>
      <c r="AC20" s="32" t="e">
        <f>W20-#REF!</f>
        <v>#REF!</v>
      </c>
      <c r="AD20" s="35" t="str">
        <f>IF(ISERROR((W20/#REF!)-1),"N/A",(W20/#REF!)-1)</f>
        <v>N/A</v>
      </c>
      <c r="AF20" s="36">
        <f>N20/Summary!$D$3</f>
        <v>0</v>
      </c>
      <c r="AG20" s="36">
        <f>(V20-N20)/Summary!$E$3</f>
        <v>0</v>
      </c>
      <c r="AH20" s="24">
        <f t="shared" si="45"/>
        <v>0</v>
      </c>
      <c r="AJ20" s="24">
        <f t="shared" si="46"/>
        <v>0</v>
      </c>
      <c r="AK20" s="24">
        <f t="shared" si="47"/>
        <v>0</v>
      </c>
      <c r="AL20" s="24">
        <f t="shared" si="48"/>
        <v>0</v>
      </c>
      <c r="AM20" s="24">
        <f t="shared" si="49"/>
        <v>0</v>
      </c>
      <c r="AN20" s="25">
        <f t="shared" si="50"/>
        <v>0</v>
      </c>
      <c r="AP20" s="26">
        <f t="shared" si="51"/>
        <v>0</v>
      </c>
      <c r="AQ20" s="26">
        <f t="shared" si="52"/>
        <v>0</v>
      </c>
      <c r="AS20" s="27">
        <f>SUMIFS('Sales Data'!$E:$E,'Sales Data'!$A:$A,$B20,'Sales Data'!$B:$B,AS$6,'Sales Data'!$C:$C,"Periodic")/Mapping!$C$2</f>
        <v>0</v>
      </c>
      <c r="AT20" s="27">
        <f>SUMIFS('Sales Data'!$E:$E,'Sales Data'!$A:$A,$B20,'Sales Data'!$B:$B,AT$6,'Sales Data'!$C:$C,"Periodic")/Mapping!$C$2</f>
        <v>0</v>
      </c>
      <c r="AU20" s="27">
        <f>SUMIFS('Sales Data'!$E:$E,'Sales Data'!$A:$A,$B20,'Sales Data'!$B:$B,AU$6,'Sales Data'!$C:$C,"Periodic")/Mapping!$C$2</f>
        <v>0</v>
      </c>
      <c r="AV20" s="27">
        <f>SUMIFS('Sales Data'!$E:$E,'Sales Data'!$A:$A,$B20,'Sales Data'!$B:$B,AV$6,'Sales Data'!$C:$C,"Periodic")/Mapping!$C$2</f>
        <v>0</v>
      </c>
      <c r="AW20" s="27">
        <f>SUMIFS('Sales Data'!$E:$E,'Sales Data'!$A:$A,$B20,'Sales Data'!$B:$B,AW$6,'Sales Data'!$C:$C,"Periodic")/Mapping!$C$2</f>
        <v>0</v>
      </c>
      <c r="AX20" s="27">
        <f>SUMIFS('Sales Data'!$E:$E,'Sales Data'!$A:$A,$B20,'Sales Data'!$B:$B,AX$6,'Sales Data'!$C:$C,"Periodic")/Mapping!$C$2</f>
        <v>0</v>
      </c>
      <c r="AY20" s="27">
        <f>SUMIFS('Sales Data'!$E:$E,'Sales Data'!$A:$A,$B20,'Sales Data'!$B:$B,AY$6,'Sales Data'!$C:$C,"Periodic")/Mapping!$C$2</f>
        <v>0</v>
      </c>
      <c r="AZ20" s="27">
        <f>SUMIFS('Sales Data'!$E:$E,'Sales Data'!$A:$A,$B20,'Sales Data'!$B:$B,AZ$6,'Sales Data'!$C:$C,"Periodic")/Mapping!$C$2</f>
        <v>0</v>
      </c>
      <c r="BA20" s="27">
        <f>SUMIFS('Sales Data'!$E:$E,'Sales Data'!$A:$A,$B20,'Sales Data'!$B:$B,BA$6,'Sales Data'!$C:$C,"Periodic")/Mapping!$C$2</f>
        <v>0</v>
      </c>
      <c r="BB20" s="27">
        <f>SUMIFS('Sales Data'!$E:$E,'Sales Data'!$A:$A,$B20,'Sales Data'!$B:$B,BB$6,'Sales Data'!$C:$C,"Periodic")/Mapping!$C$2</f>
        <v>0</v>
      </c>
      <c r="BC20" s="27">
        <f>SUMIFS('Sales Data'!$E:$E,'Sales Data'!$A:$A,$B20,'Sales Data'!$B:$B,BC$6,'Sales Data'!$C:$C,"Periodic")/Mapping!$C$2</f>
        <v>0</v>
      </c>
      <c r="BD20" s="27">
        <f>SUMIFS('Sales Data'!$E:$E,'Sales Data'!$A:$A,$B20,'Sales Data'!$B:$B,BD$6,'Sales Data'!$C:$C,"Periodic")/Mapping!$C$2</f>
        <v>0</v>
      </c>
      <c r="BE20" s="27">
        <f t="shared" si="53"/>
        <v>0</v>
      </c>
      <c r="BF20" s="27"/>
      <c r="BG20" s="27">
        <f>SUMIFS('Sales Data'!$E:$E,'Sales Data'!$A:$A,$B20,'Sales Data'!$B:$B,BG$6,'Sales Data'!$C:$C,"Periodic")/Mapping!$C$2</f>
        <v>0</v>
      </c>
      <c r="BH20" s="27">
        <f>SUMIFS('Sales Data'!$E:$E,'Sales Data'!$A:$A,$B20,'Sales Data'!$B:$B,BH$6,'Sales Data'!$C:$C,"Periodic")/Mapping!$C$2</f>
        <v>0</v>
      </c>
      <c r="BI20" s="27">
        <f>SUMIFS('Sales Data'!$E:$E,'Sales Data'!$A:$A,$B20,'Sales Data'!$B:$B,BI$6,'Sales Data'!$C:$C,"Periodic")/Mapping!$C$2</f>
        <v>0</v>
      </c>
      <c r="BJ20" s="27">
        <f>SUMIFS('Sales Data'!$E:$E,'Sales Data'!$A:$A,$B20,'Sales Data'!$B:$B,BJ$6,'Sales Data'!$C:$C,"Periodic")/Mapping!$C$2</f>
        <v>0</v>
      </c>
      <c r="BK20" s="27">
        <f>SUMIFS('Sales Data'!$E:$E,'Sales Data'!$A:$A,$B20,'Sales Data'!$B:$B,BK$6,'Sales Data'!$C:$C,"Periodic")/Mapping!$C$2</f>
        <v>0</v>
      </c>
      <c r="BL20" s="27">
        <f>SUMIFS('Sales Data'!$E:$E,'Sales Data'!$A:$A,$B20,'Sales Data'!$B:$B,BL$6,'Sales Data'!$C:$C,"Periodic")/Mapping!$C$2</f>
        <v>0</v>
      </c>
      <c r="BM20" s="27">
        <f>SUMIFS('Sales Data'!$E:$E,'Sales Data'!$A:$A,$B20,'Sales Data'!$B:$B,BM$6,'Sales Data'!$C:$C,"Periodic")/Mapping!$C$2</f>
        <v>0</v>
      </c>
      <c r="BN20" s="27">
        <f>SUMIFS('Sales Data'!$E:$E,'Sales Data'!$A:$A,$B20,'Sales Data'!$B:$B,BN$6,'Sales Data'!$C:$C,"Periodic")/Mapping!$C$2</f>
        <v>0</v>
      </c>
      <c r="BO20" s="27">
        <f>SUMIFS('Sales Data'!$E:$E,'Sales Data'!$A:$A,$B20,'Sales Data'!$B:$B,BO$6,'Sales Data'!$C:$C,"Periodic")/Mapping!$C$2</f>
        <v>0</v>
      </c>
      <c r="BP20" s="27">
        <f>SUMIFS('Sales Data'!$E:$E,'Sales Data'!$A:$A,$B20,'Sales Data'!$B:$B,BP$6,'Sales Data'!$C:$C,"Periodic")/Mapping!$C$2</f>
        <v>0</v>
      </c>
      <c r="BQ20" s="27">
        <f>SUMIFS('Sales Data'!$E:$E,'Sales Data'!$A:$A,$B20,'Sales Data'!$B:$B,BQ$6,'Sales Data'!$C:$C,"Periodic")/Mapping!$C$2</f>
        <v>0</v>
      </c>
      <c r="BR20" s="27">
        <f>SUMIFS('Sales Data'!$E:$E,'Sales Data'!$A:$A,$B20,'Sales Data'!$B:$B,BR$6,'Sales Data'!$C:$C,"Periodic")/Mapping!$C$2</f>
        <v>0</v>
      </c>
      <c r="BS20" s="27"/>
      <c r="BT20" s="27">
        <f t="shared" si="54"/>
        <v>0</v>
      </c>
      <c r="BU20" s="27">
        <f t="shared" si="55"/>
        <v>0</v>
      </c>
      <c r="BV20" s="27">
        <f t="shared" si="56"/>
        <v>0</v>
      </c>
      <c r="BW20" s="27">
        <f t="shared" si="57"/>
        <v>0</v>
      </c>
      <c r="BX20" s="27">
        <f t="shared" si="58"/>
        <v>0</v>
      </c>
      <c r="BY20" s="27">
        <f t="shared" si="59"/>
        <v>0</v>
      </c>
      <c r="BZ20" s="27">
        <f t="shared" si="60"/>
        <v>0</v>
      </c>
      <c r="CA20" s="27">
        <f t="shared" si="61"/>
        <v>0</v>
      </c>
      <c r="CB20" s="27">
        <f t="shared" si="62"/>
        <v>0</v>
      </c>
      <c r="CC20" s="27">
        <f t="shared" si="63"/>
        <v>0</v>
      </c>
      <c r="CD20" s="27">
        <f t="shared" si="64"/>
        <v>0</v>
      </c>
      <c r="CE20" s="27">
        <f t="shared" si="65"/>
        <v>0</v>
      </c>
      <c r="CF20" s="27">
        <f t="shared" si="66"/>
        <v>0</v>
      </c>
      <c r="CH20" s="27">
        <f t="shared" si="67"/>
        <v>0</v>
      </c>
      <c r="CI20" s="27">
        <f t="shared" si="68"/>
        <v>0</v>
      </c>
      <c r="CJ20" s="27">
        <f t="shared" si="69"/>
        <v>0</v>
      </c>
      <c r="CK20" s="27">
        <f t="shared" si="70"/>
        <v>0</v>
      </c>
      <c r="CL20" s="27">
        <f t="shared" si="71"/>
        <v>0</v>
      </c>
      <c r="CM20" s="27">
        <f t="shared" si="72"/>
        <v>0</v>
      </c>
      <c r="CN20" s="27">
        <f t="shared" si="73"/>
        <v>0</v>
      </c>
      <c r="CO20" s="27">
        <f t="shared" si="74"/>
        <v>0</v>
      </c>
      <c r="CP20" s="27">
        <f t="shared" si="75"/>
        <v>0</v>
      </c>
      <c r="CQ20" s="27">
        <f t="shared" si="76"/>
        <v>0</v>
      </c>
      <c r="CR20" s="27">
        <f t="shared" si="77"/>
        <v>0</v>
      </c>
      <c r="CS20" s="27">
        <f t="shared" si="78"/>
        <v>0</v>
      </c>
      <c r="CT20" s="29">
        <f t="shared" si="79"/>
        <v>0</v>
      </c>
      <c r="CV20" s="29">
        <f t="shared" si="80"/>
        <v>0</v>
      </c>
      <c r="CW20" s="29">
        <f t="shared" si="81"/>
        <v>0</v>
      </c>
      <c r="CX20" s="29">
        <f t="shared" si="82"/>
        <v>0</v>
      </c>
      <c r="CZ20" s="36">
        <f>N20+Summary!$E$3*CV20</f>
        <v>0</v>
      </c>
      <c r="DA20" s="36">
        <f>N20+CW20*Summary!$E$3</f>
        <v>0</v>
      </c>
      <c r="DB20" s="26">
        <f>N20+CX20*Summary!$E$3</f>
        <v>0</v>
      </c>
    </row>
    <row r="21" spans="2:106" ht="15" outlineLevel="1" x14ac:dyDescent="0.25">
      <c r="B21" s="16" t="str">
        <f>Mapping!A16</f>
        <v>Placeholder 11</v>
      </c>
      <c r="C21" s="31">
        <f>SUMIFS('Sales Data'!$E:$E,'Sales Data'!$A:$A,$B21,'Sales Data'!$B:$B,Summary!$C$3&amp;" "&amp;Summary!$C$2-1,'Sales Data'!$C:$C,"Periodic")/Mapping!$C$2</f>
        <v>0</v>
      </c>
      <c r="D21" s="31">
        <f>SUMIFS('Sales Data'!$D:$D,'Sales Data'!$A:$A,$B21,'Sales Data'!$B:$B,Summary!$C$3&amp;" "&amp;Summary!$C$2,'Sales Data'!$C:$C,"Periodic")/Mapping!$C$2</f>
        <v>0</v>
      </c>
      <c r="E21" s="31">
        <f>SUMIFS('Sales Data'!$E:$E,'Sales Data'!$A:$A,$B21,'Sales Data'!$B:$B,Summary!$C$3&amp;" "&amp;Summary!$C$2,'Sales Data'!$C:$C,"Periodic")/Mapping!$C$2</f>
        <v>0</v>
      </c>
      <c r="G21" s="32">
        <f t="shared" si="33"/>
        <v>0</v>
      </c>
      <c r="H21" s="33" t="str">
        <f t="shared" si="34"/>
        <v>N/A</v>
      </c>
      <c r="I21" s="32">
        <f t="shared" si="35"/>
        <v>0</v>
      </c>
      <c r="J21" s="33" t="str">
        <f t="shared" si="36"/>
        <v>N/A</v>
      </c>
      <c r="L21" s="34">
        <f>SUMIFS('Sales Data'!$E:$E,'Sales Data'!$A:$A,$B21,'Sales Data'!$F:$F,$C$2-1,'Sales Data'!$G:$G,"&lt;="&amp;$D$3)/Mapping!$C$2</f>
        <v>0</v>
      </c>
      <c r="M21" s="31">
        <f>SUMIFS('Sales Data'!$D:$D,'Sales Data'!$A:$A,$B21,'Sales Data'!$F:$F,$C$2,'Sales Data'!$G:$G,"&lt;="&amp;$D$3)/Mapping!$C$2</f>
        <v>0</v>
      </c>
      <c r="N21" s="31">
        <f>SUMIFS('Sales Data'!$E:$E,'Sales Data'!$A:$A,$B21,'Sales Data'!$F:$F,$C$2,'Sales Data'!$G:$G,"&lt;="&amp;$D$3)/Mapping!$C$2</f>
        <v>0</v>
      </c>
      <c r="P21" s="32">
        <f t="shared" si="37"/>
        <v>0</v>
      </c>
      <c r="Q21" s="33" t="str">
        <f t="shared" si="38"/>
        <v>N/A</v>
      </c>
      <c r="R21" s="32">
        <f t="shared" si="39"/>
        <v>0</v>
      </c>
      <c r="S21" s="33" t="str">
        <f t="shared" si="40"/>
        <v>N/A</v>
      </c>
      <c r="U21" s="34">
        <f>SUMIFS('Sales Data'!$E:$E,'Sales Data'!$A:$A,$B21,'Sales Data'!$F:$F,$C$2-1,'Sales Data'!$G:$G,"&lt;="&amp;12)/Mapping!$C$2</f>
        <v>0</v>
      </c>
      <c r="V21" s="31">
        <f>SUMIFS('Sales Data'!$D:$D,'Sales Data'!$A:$A,$B21,'Sales Data'!$F:$F,$C$2,'Sales Data'!$G:$G,"&lt;="&amp;12)/Mapping!$C$2</f>
        <v>0</v>
      </c>
      <c r="W21" s="31">
        <f>SUMIFS('Sales Data'!$E:$E,'Sales Data'!$A:$A,$B21,'Sales Data'!$F:$F,$C$2,'Sales Data'!$G:$G,"&lt;="&amp;12)/Mapping!$C$2</f>
        <v>0</v>
      </c>
      <c r="Y21" s="32">
        <f t="shared" si="41"/>
        <v>0</v>
      </c>
      <c r="Z21" s="33" t="str">
        <f t="shared" si="42"/>
        <v>N/A</v>
      </c>
      <c r="AA21" s="32">
        <f t="shared" si="43"/>
        <v>0</v>
      </c>
      <c r="AB21" s="33" t="str">
        <f t="shared" si="44"/>
        <v>N/A</v>
      </c>
      <c r="AC21" s="32" t="e">
        <f>W21-#REF!</f>
        <v>#REF!</v>
      </c>
      <c r="AD21" s="35" t="str">
        <f>IF(ISERROR((W21/#REF!)-1),"N/A",(W21/#REF!)-1)</f>
        <v>N/A</v>
      </c>
      <c r="AF21" s="36">
        <f>N21/Summary!$D$3</f>
        <v>0</v>
      </c>
      <c r="AG21" s="36">
        <f>(V21-N21)/Summary!$E$3</f>
        <v>0</v>
      </c>
      <c r="AH21" s="24">
        <f t="shared" si="45"/>
        <v>0</v>
      </c>
      <c r="AJ21" s="24">
        <f t="shared" si="46"/>
        <v>0</v>
      </c>
      <c r="AK21" s="24">
        <f t="shared" si="47"/>
        <v>0</v>
      </c>
      <c r="AL21" s="24">
        <f t="shared" si="48"/>
        <v>0</v>
      </c>
      <c r="AM21" s="24">
        <f t="shared" si="49"/>
        <v>0</v>
      </c>
      <c r="AN21" s="25">
        <f t="shared" si="50"/>
        <v>0</v>
      </c>
      <c r="AP21" s="26">
        <f t="shared" si="51"/>
        <v>0</v>
      </c>
      <c r="AQ21" s="26">
        <f t="shared" si="52"/>
        <v>0</v>
      </c>
      <c r="AS21" s="27">
        <f>SUMIFS('Sales Data'!$E:$E,'Sales Data'!$A:$A,$B21,'Sales Data'!$B:$B,AS$6,'Sales Data'!$C:$C,"Periodic")/Mapping!$C$2</f>
        <v>0</v>
      </c>
      <c r="AT21" s="27">
        <f>SUMIFS('Sales Data'!$E:$E,'Sales Data'!$A:$A,$B21,'Sales Data'!$B:$B,AT$6,'Sales Data'!$C:$C,"Periodic")/Mapping!$C$2</f>
        <v>0</v>
      </c>
      <c r="AU21" s="27">
        <f>SUMIFS('Sales Data'!$E:$E,'Sales Data'!$A:$A,$B21,'Sales Data'!$B:$B,AU$6,'Sales Data'!$C:$C,"Periodic")/Mapping!$C$2</f>
        <v>0</v>
      </c>
      <c r="AV21" s="27">
        <f>SUMIFS('Sales Data'!$E:$E,'Sales Data'!$A:$A,$B21,'Sales Data'!$B:$B,AV$6,'Sales Data'!$C:$C,"Periodic")/Mapping!$C$2</f>
        <v>0</v>
      </c>
      <c r="AW21" s="27">
        <f>SUMIFS('Sales Data'!$E:$E,'Sales Data'!$A:$A,$B21,'Sales Data'!$B:$B,AW$6,'Sales Data'!$C:$C,"Periodic")/Mapping!$C$2</f>
        <v>0</v>
      </c>
      <c r="AX21" s="27">
        <f>SUMIFS('Sales Data'!$E:$E,'Sales Data'!$A:$A,$B21,'Sales Data'!$B:$B,AX$6,'Sales Data'!$C:$C,"Periodic")/Mapping!$C$2</f>
        <v>0</v>
      </c>
      <c r="AY21" s="27">
        <f>SUMIFS('Sales Data'!$E:$E,'Sales Data'!$A:$A,$B21,'Sales Data'!$B:$B,AY$6,'Sales Data'!$C:$C,"Periodic")/Mapping!$C$2</f>
        <v>0</v>
      </c>
      <c r="AZ21" s="27">
        <f>SUMIFS('Sales Data'!$E:$E,'Sales Data'!$A:$A,$B21,'Sales Data'!$B:$B,AZ$6,'Sales Data'!$C:$C,"Periodic")/Mapping!$C$2</f>
        <v>0</v>
      </c>
      <c r="BA21" s="27">
        <f>SUMIFS('Sales Data'!$E:$E,'Sales Data'!$A:$A,$B21,'Sales Data'!$B:$B,BA$6,'Sales Data'!$C:$C,"Periodic")/Mapping!$C$2</f>
        <v>0</v>
      </c>
      <c r="BB21" s="27">
        <f>SUMIFS('Sales Data'!$E:$E,'Sales Data'!$A:$A,$B21,'Sales Data'!$B:$B,BB$6,'Sales Data'!$C:$C,"Periodic")/Mapping!$C$2</f>
        <v>0</v>
      </c>
      <c r="BC21" s="27">
        <f>SUMIFS('Sales Data'!$E:$E,'Sales Data'!$A:$A,$B21,'Sales Data'!$B:$B,BC$6,'Sales Data'!$C:$C,"Periodic")/Mapping!$C$2</f>
        <v>0</v>
      </c>
      <c r="BD21" s="27">
        <f>SUMIFS('Sales Data'!$E:$E,'Sales Data'!$A:$A,$B21,'Sales Data'!$B:$B,BD$6,'Sales Data'!$C:$C,"Periodic")/Mapping!$C$2</f>
        <v>0</v>
      </c>
      <c r="BE21" s="27">
        <f t="shared" si="53"/>
        <v>0</v>
      </c>
      <c r="BF21" s="27"/>
      <c r="BG21" s="27">
        <f>SUMIFS('Sales Data'!$E:$E,'Sales Data'!$A:$A,$B21,'Sales Data'!$B:$B,BG$6,'Sales Data'!$C:$C,"Periodic")/Mapping!$C$2</f>
        <v>0</v>
      </c>
      <c r="BH21" s="27">
        <f>SUMIFS('Sales Data'!$E:$E,'Sales Data'!$A:$A,$B21,'Sales Data'!$B:$B,BH$6,'Sales Data'!$C:$C,"Periodic")/Mapping!$C$2</f>
        <v>0</v>
      </c>
      <c r="BI21" s="27">
        <f>SUMIFS('Sales Data'!$E:$E,'Sales Data'!$A:$A,$B21,'Sales Data'!$B:$B,BI$6,'Sales Data'!$C:$C,"Periodic")/Mapping!$C$2</f>
        <v>0</v>
      </c>
      <c r="BJ21" s="27">
        <f>SUMIFS('Sales Data'!$E:$E,'Sales Data'!$A:$A,$B21,'Sales Data'!$B:$B,BJ$6,'Sales Data'!$C:$C,"Periodic")/Mapping!$C$2</f>
        <v>0</v>
      </c>
      <c r="BK21" s="27">
        <f>SUMIFS('Sales Data'!$E:$E,'Sales Data'!$A:$A,$B21,'Sales Data'!$B:$B,BK$6,'Sales Data'!$C:$C,"Periodic")/Mapping!$C$2</f>
        <v>0</v>
      </c>
      <c r="BL21" s="27">
        <f>SUMIFS('Sales Data'!$E:$E,'Sales Data'!$A:$A,$B21,'Sales Data'!$B:$B,BL$6,'Sales Data'!$C:$C,"Periodic")/Mapping!$C$2</f>
        <v>0</v>
      </c>
      <c r="BM21" s="27">
        <f>SUMIFS('Sales Data'!$E:$E,'Sales Data'!$A:$A,$B21,'Sales Data'!$B:$B,BM$6,'Sales Data'!$C:$C,"Periodic")/Mapping!$C$2</f>
        <v>0</v>
      </c>
      <c r="BN21" s="27">
        <f>SUMIFS('Sales Data'!$E:$E,'Sales Data'!$A:$A,$B21,'Sales Data'!$B:$B,BN$6,'Sales Data'!$C:$C,"Periodic")/Mapping!$C$2</f>
        <v>0</v>
      </c>
      <c r="BO21" s="27">
        <f>SUMIFS('Sales Data'!$E:$E,'Sales Data'!$A:$A,$B21,'Sales Data'!$B:$B,BO$6,'Sales Data'!$C:$C,"Periodic")/Mapping!$C$2</f>
        <v>0</v>
      </c>
      <c r="BP21" s="27">
        <f>SUMIFS('Sales Data'!$E:$E,'Sales Data'!$A:$A,$B21,'Sales Data'!$B:$B,BP$6,'Sales Data'!$C:$C,"Periodic")/Mapping!$C$2</f>
        <v>0</v>
      </c>
      <c r="BQ21" s="27">
        <f>SUMIFS('Sales Data'!$E:$E,'Sales Data'!$A:$A,$B21,'Sales Data'!$B:$B,BQ$6,'Sales Data'!$C:$C,"Periodic")/Mapping!$C$2</f>
        <v>0</v>
      </c>
      <c r="BR21" s="27">
        <f>SUMIFS('Sales Data'!$E:$E,'Sales Data'!$A:$A,$B21,'Sales Data'!$B:$B,BR$6,'Sales Data'!$C:$C,"Periodic")/Mapping!$C$2</f>
        <v>0</v>
      </c>
      <c r="BS21" s="27"/>
      <c r="BT21" s="27">
        <f t="shared" si="54"/>
        <v>0</v>
      </c>
      <c r="BU21" s="27">
        <f t="shared" si="55"/>
        <v>0</v>
      </c>
      <c r="BV21" s="27">
        <f t="shared" si="56"/>
        <v>0</v>
      </c>
      <c r="BW21" s="27">
        <f t="shared" si="57"/>
        <v>0</v>
      </c>
      <c r="BX21" s="27">
        <f t="shared" si="58"/>
        <v>0</v>
      </c>
      <c r="BY21" s="27">
        <f t="shared" si="59"/>
        <v>0</v>
      </c>
      <c r="BZ21" s="27">
        <f t="shared" si="60"/>
        <v>0</v>
      </c>
      <c r="CA21" s="27">
        <f t="shared" si="61"/>
        <v>0</v>
      </c>
      <c r="CB21" s="27">
        <f t="shared" si="62"/>
        <v>0</v>
      </c>
      <c r="CC21" s="27">
        <f t="shared" si="63"/>
        <v>0</v>
      </c>
      <c r="CD21" s="27">
        <f t="shared" si="64"/>
        <v>0</v>
      </c>
      <c r="CE21" s="27">
        <f t="shared" si="65"/>
        <v>0</v>
      </c>
      <c r="CF21" s="27">
        <f t="shared" si="66"/>
        <v>0</v>
      </c>
      <c r="CH21" s="27">
        <f t="shared" si="67"/>
        <v>0</v>
      </c>
      <c r="CI21" s="27">
        <f t="shared" si="68"/>
        <v>0</v>
      </c>
      <c r="CJ21" s="27">
        <f t="shared" si="69"/>
        <v>0</v>
      </c>
      <c r="CK21" s="27">
        <f t="shared" si="70"/>
        <v>0</v>
      </c>
      <c r="CL21" s="27">
        <f t="shared" si="71"/>
        <v>0</v>
      </c>
      <c r="CM21" s="27">
        <f t="shared" si="72"/>
        <v>0</v>
      </c>
      <c r="CN21" s="27">
        <f t="shared" si="73"/>
        <v>0</v>
      </c>
      <c r="CO21" s="27">
        <f t="shared" si="74"/>
        <v>0</v>
      </c>
      <c r="CP21" s="27">
        <f t="shared" si="75"/>
        <v>0</v>
      </c>
      <c r="CQ21" s="27">
        <f t="shared" si="76"/>
        <v>0</v>
      </c>
      <c r="CR21" s="27">
        <f t="shared" si="77"/>
        <v>0</v>
      </c>
      <c r="CS21" s="27">
        <f t="shared" si="78"/>
        <v>0</v>
      </c>
      <c r="CT21" s="29">
        <f t="shared" si="79"/>
        <v>0</v>
      </c>
      <c r="CV21" s="29">
        <f t="shared" si="80"/>
        <v>0</v>
      </c>
      <c r="CW21" s="29">
        <f t="shared" si="81"/>
        <v>0</v>
      </c>
      <c r="CX21" s="29">
        <f t="shared" si="82"/>
        <v>0</v>
      </c>
      <c r="CZ21" s="36">
        <f>N21+Summary!$E$3*CV21</f>
        <v>0</v>
      </c>
      <c r="DA21" s="36">
        <f>N21+CW21*Summary!$E$3</f>
        <v>0</v>
      </c>
      <c r="DB21" s="26">
        <f>N21+CX21*Summary!$E$3</f>
        <v>0</v>
      </c>
    </row>
    <row r="22" spans="2:106" ht="15" outlineLevel="1" x14ac:dyDescent="0.25">
      <c r="B22" s="16" t="str">
        <f>Mapping!A17</f>
        <v>Placeholder 12</v>
      </c>
      <c r="C22" s="31">
        <f>SUMIFS('Sales Data'!$E:$E,'Sales Data'!$A:$A,$B22,'Sales Data'!$B:$B,Summary!$C$3&amp;" "&amp;Summary!$C$2-1,'Sales Data'!$C:$C,"Periodic")/Mapping!$C$2</f>
        <v>0</v>
      </c>
      <c r="D22" s="31">
        <f>SUMIFS('Sales Data'!$D:$D,'Sales Data'!$A:$A,$B22,'Sales Data'!$B:$B,Summary!$C$3&amp;" "&amp;Summary!$C$2,'Sales Data'!$C:$C,"Periodic")/Mapping!$C$2</f>
        <v>0</v>
      </c>
      <c r="E22" s="31">
        <f>SUMIFS('Sales Data'!$E:$E,'Sales Data'!$A:$A,$B22,'Sales Data'!$B:$B,Summary!$C$3&amp;" "&amp;Summary!$C$2,'Sales Data'!$C:$C,"Periodic")/Mapping!$C$2</f>
        <v>0</v>
      </c>
      <c r="G22" s="32">
        <f t="shared" si="33"/>
        <v>0</v>
      </c>
      <c r="H22" s="33" t="str">
        <f t="shared" si="34"/>
        <v>N/A</v>
      </c>
      <c r="I22" s="32">
        <f t="shared" si="35"/>
        <v>0</v>
      </c>
      <c r="J22" s="33" t="str">
        <f t="shared" si="36"/>
        <v>N/A</v>
      </c>
      <c r="L22" s="34">
        <f>SUMIFS('Sales Data'!$E:$E,'Sales Data'!$A:$A,$B22,'Sales Data'!$F:$F,$C$2-1,'Sales Data'!$G:$G,"&lt;="&amp;$D$3)/Mapping!$C$2</f>
        <v>0</v>
      </c>
      <c r="M22" s="31">
        <f>SUMIFS('Sales Data'!$D:$D,'Sales Data'!$A:$A,$B22,'Sales Data'!$F:$F,$C$2,'Sales Data'!$G:$G,"&lt;="&amp;$D$3)/Mapping!$C$2</f>
        <v>0</v>
      </c>
      <c r="N22" s="31">
        <f>SUMIFS('Sales Data'!$E:$E,'Sales Data'!$A:$A,$B22,'Sales Data'!$F:$F,$C$2,'Sales Data'!$G:$G,"&lt;="&amp;$D$3)/Mapping!$C$2</f>
        <v>0</v>
      </c>
      <c r="P22" s="32">
        <f t="shared" si="37"/>
        <v>0</v>
      </c>
      <c r="Q22" s="33" t="str">
        <f t="shared" si="38"/>
        <v>N/A</v>
      </c>
      <c r="R22" s="32">
        <f t="shared" si="39"/>
        <v>0</v>
      </c>
      <c r="S22" s="33" t="str">
        <f t="shared" si="40"/>
        <v>N/A</v>
      </c>
      <c r="U22" s="34">
        <f>SUMIFS('Sales Data'!$E:$E,'Sales Data'!$A:$A,$B22,'Sales Data'!$F:$F,$C$2-1,'Sales Data'!$G:$G,"&lt;="&amp;12)/Mapping!$C$2</f>
        <v>0</v>
      </c>
      <c r="V22" s="31">
        <f>SUMIFS('Sales Data'!$D:$D,'Sales Data'!$A:$A,$B22,'Sales Data'!$F:$F,$C$2,'Sales Data'!$G:$G,"&lt;="&amp;12)/Mapping!$C$2</f>
        <v>0</v>
      </c>
      <c r="W22" s="31">
        <f>SUMIFS('Sales Data'!$E:$E,'Sales Data'!$A:$A,$B22,'Sales Data'!$F:$F,$C$2,'Sales Data'!$G:$G,"&lt;="&amp;12)/Mapping!$C$2</f>
        <v>0</v>
      </c>
      <c r="Y22" s="32">
        <f t="shared" si="41"/>
        <v>0</v>
      </c>
      <c r="Z22" s="33" t="str">
        <f t="shared" si="42"/>
        <v>N/A</v>
      </c>
      <c r="AA22" s="32">
        <f t="shared" si="43"/>
        <v>0</v>
      </c>
      <c r="AB22" s="33" t="str">
        <f t="shared" si="44"/>
        <v>N/A</v>
      </c>
      <c r="AC22" s="32" t="e">
        <f>W22-#REF!</f>
        <v>#REF!</v>
      </c>
      <c r="AD22" s="35" t="str">
        <f>IF(ISERROR((W22/#REF!)-1),"N/A",(W22/#REF!)-1)</f>
        <v>N/A</v>
      </c>
      <c r="AF22" s="36">
        <f>N22/Summary!$D$3</f>
        <v>0</v>
      </c>
      <c r="AG22" s="36">
        <f>(V22-N22)/Summary!$E$3</f>
        <v>0</v>
      </c>
      <c r="AH22" s="24">
        <f t="shared" si="45"/>
        <v>0</v>
      </c>
      <c r="AJ22" s="24">
        <f t="shared" si="46"/>
        <v>0</v>
      </c>
      <c r="AK22" s="24">
        <f t="shared" si="47"/>
        <v>0</v>
      </c>
      <c r="AL22" s="24">
        <f t="shared" si="48"/>
        <v>0</v>
      </c>
      <c r="AM22" s="24">
        <f t="shared" si="49"/>
        <v>0</v>
      </c>
      <c r="AN22" s="25">
        <f t="shared" si="50"/>
        <v>0</v>
      </c>
      <c r="AP22" s="26">
        <f t="shared" si="51"/>
        <v>0</v>
      </c>
      <c r="AQ22" s="26">
        <f t="shared" si="52"/>
        <v>0</v>
      </c>
      <c r="AS22" s="27">
        <f>SUMIFS('Sales Data'!$E:$E,'Sales Data'!$A:$A,$B22,'Sales Data'!$B:$B,AS$6,'Sales Data'!$C:$C,"Periodic")/Mapping!$C$2</f>
        <v>0</v>
      </c>
      <c r="AT22" s="27">
        <f>SUMIFS('Sales Data'!$E:$E,'Sales Data'!$A:$A,$B22,'Sales Data'!$B:$B,AT$6,'Sales Data'!$C:$C,"Periodic")/Mapping!$C$2</f>
        <v>0</v>
      </c>
      <c r="AU22" s="27">
        <f>SUMIFS('Sales Data'!$E:$E,'Sales Data'!$A:$A,$B22,'Sales Data'!$B:$B,AU$6,'Sales Data'!$C:$C,"Periodic")/Mapping!$C$2</f>
        <v>0</v>
      </c>
      <c r="AV22" s="27">
        <f>SUMIFS('Sales Data'!$E:$E,'Sales Data'!$A:$A,$B22,'Sales Data'!$B:$B,AV$6,'Sales Data'!$C:$C,"Periodic")/Mapping!$C$2</f>
        <v>0</v>
      </c>
      <c r="AW22" s="27">
        <f>SUMIFS('Sales Data'!$E:$E,'Sales Data'!$A:$A,$B22,'Sales Data'!$B:$B,AW$6,'Sales Data'!$C:$C,"Periodic")/Mapping!$C$2</f>
        <v>0</v>
      </c>
      <c r="AX22" s="27">
        <f>SUMIFS('Sales Data'!$E:$E,'Sales Data'!$A:$A,$B22,'Sales Data'!$B:$B,AX$6,'Sales Data'!$C:$C,"Periodic")/Mapping!$C$2</f>
        <v>0</v>
      </c>
      <c r="AY22" s="27">
        <f>SUMIFS('Sales Data'!$E:$E,'Sales Data'!$A:$A,$B22,'Sales Data'!$B:$B,AY$6,'Sales Data'!$C:$C,"Periodic")/Mapping!$C$2</f>
        <v>0</v>
      </c>
      <c r="AZ22" s="27">
        <f>SUMIFS('Sales Data'!$E:$E,'Sales Data'!$A:$A,$B22,'Sales Data'!$B:$B,AZ$6,'Sales Data'!$C:$C,"Periodic")/Mapping!$C$2</f>
        <v>0</v>
      </c>
      <c r="BA22" s="27">
        <f>SUMIFS('Sales Data'!$E:$E,'Sales Data'!$A:$A,$B22,'Sales Data'!$B:$B,BA$6,'Sales Data'!$C:$C,"Periodic")/Mapping!$C$2</f>
        <v>0</v>
      </c>
      <c r="BB22" s="27">
        <f>SUMIFS('Sales Data'!$E:$E,'Sales Data'!$A:$A,$B22,'Sales Data'!$B:$B,BB$6,'Sales Data'!$C:$C,"Periodic")/Mapping!$C$2</f>
        <v>0</v>
      </c>
      <c r="BC22" s="27">
        <f>SUMIFS('Sales Data'!$E:$E,'Sales Data'!$A:$A,$B22,'Sales Data'!$B:$B,BC$6,'Sales Data'!$C:$C,"Periodic")/Mapping!$C$2</f>
        <v>0</v>
      </c>
      <c r="BD22" s="27">
        <f>SUMIFS('Sales Data'!$E:$E,'Sales Data'!$A:$A,$B22,'Sales Data'!$B:$B,BD$6,'Sales Data'!$C:$C,"Periodic")/Mapping!$C$2</f>
        <v>0</v>
      </c>
      <c r="BE22" s="27">
        <f t="shared" si="53"/>
        <v>0</v>
      </c>
      <c r="BF22" s="27"/>
      <c r="BG22" s="27">
        <f>SUMIFS('Sales Data'!$E:$E,'Sales Data'!$A:$A,$B22,'Sales Data'!$B:$B,BG$6,'Sales Data'!$C:$C,"Periodic")/Mapping!$C$2</f>
        <v>0</v>
      </c>
      <c r="BH22" s="27">
        <f>SUMIFS('Sales Data'!$E:$E,'Sales Data'!$A:$A,$B22,'Sales Data'!$B:$B,BH$6,'Sales Data'!$C:$C,"Periodic")/Mapping!$C$2</f>
        <v>0</v>
      </c>
      <c r="BI22" s="27">
        <f>SUMIFS('Sales Data'!$E:$E,'Sales Data'!$A:$A,$B22,'Sales Data'!$B:$B,BI$6,'Sales Data'!$C:$C,"Periodic")/Mapping!$C$2</f>
        <v>0</v>
      </c>
      <c r="BJ22" s="27">
        <f>SUMIFS('Sales Data'!$E:$E,'Sales Data'!$A:$A,$B22,'Sales Data'!$B:$B,BJ$6,'Sales Data'!$C:$C,"Periodic")/Mapping!$C$2</f>
        <v>0</v>
      </c>
      <c r="BK22" s="27">
        <f>SUMIFS('Sales Data'!$E:$E,'Sales Data'!$A:$A,$B22,'Sales Data'!$B:$B,BK$6,'Sales Data'!$C:$C,"Periodic")/Mapping!$C$2</f>
        <v>0</v>
      </c>
      <c r="BL22" s="27">
        <f>SUMIFS('Sales Data'!$E:$E,'Sales Data'!$A:$A,$B22,'Sales Data'!$B:$B,BL$6,'Sales Data'!$C:$C,"Periodic")/Mapping!$C$2</f>
        <v>0</v>
      </c>
      <c r="BM22" s="27">
        <f>SUMIFS('Sales Data'!$E:$E,'Sales Data'!$A:$A,$B22,'Sales Data'!$B:$B,BM$6,'Sales Data'!$C:$C,"Periodic")/Mapping!$C$2</f>
        <v>0</v>
      </c>
      <c r="BN22" s="27">
        <f>SUMIFS('Sales Data'!$E:$E,'Sales Data'!$A:$A,$B22,'Sales Data'!$B:$B,BN$6,'Sales Data'!$C:$C,"Periodic")/Mapping!$C$2</f>
        <v>0</v>
      </c>
      <c r="BO22" s="27">
        <f>SUMIFS('Sales Data'!$E:$E,'Sales Data'!$A:$A,$B22,'Sales Data'!$B:$B,BO$6,'Sales Data'!$C:$C,"Periodic")/Mapping!$C$2</f>
        <v>0</v>
      </c>
      <c r="BP22" s="27">
        <f>SUMIFS('Sales Data'!$E:$E,'Sales Data'!$A:$A,$B22,'Sales Data'!$B:$B,BP$6,'Sales Data'!$C:$C,"Periodic")/Mapping!$C$2</f>
        <v>0</v>
      </c>
      <c r="BQ22" s="27">
        <f>SUMIFS('Sales Data'!$E:$E,'Sales Data'!$A:$A,$B22,'Sales Data'!$B:$B,BQ$6,'Sales Data'!$C:$C,"Periodic")/Mapping!$C$2</f>
        <v>0</v>
      </c>
      <c r="BR22" s="27">
        <f>SUMIFS('Sales Data'!$E:$E,'Sales Data'!$A:$A,$B22,'Sales Data'!$B:$B,BR$6,'Sales Data'!$C:$C,"Periodic")/Mapping!$C$2</f>
        <v>0</v>
      </c>
      <c r="BS22" s="27"/>
      <c r="BT22" s="27">
        <f t="shared" si="54"/>
        <v>0</v>
      </c>
      <c r="BU22" s="27">
        <f t="shared" si="55"/>
        <v>0</v>
      </c>
      <c r="BV22" s="27">
        <f t="shared" si="56"/>
        <v>0</v>
      </c>
      <c r="BW22" s="27">
        <f t="shared" si="57"/>
        <v>0</v>
      </c>
      <c r="BX22" s="27">
        <f t="shared" si="58"/>
        <v>0</v>
      </c>
      <c r="BY22" s="27">
        <f t="shared" si="59"/>
        <v>0</v>
      </c>
      <c r="BZ22" s="27">
        <f t="shared" si="60"/>
        <v>0</v>
      </c>
      <c r="CA22" s="27">
        <f t="shared" si="61"/>
        <v>0</v>
      </c>
      <c r="CB22" s="27">
        <f t="shared" si="62"/>
        <v>0</v>
      </c>
      <c r="CC22" s="27">
        <f t="shared" si="63"/>
        <v>0</v>
      </c>
      <c r="CD22" s="27">
        <f t="shared" si="64"/>
        <v>0</v>
      </c>
      <c r="CE22" s="27">
        <f t="shared" si="65"/>
        <v>0</v>
      </c>
      <c r="CF22" s="27">
        <f t="shared" si="66"/>
        <v>0</v>
      </c>
      <c r="CH22" s="27">
        <f t="shared" si="67"/>
        <v>0</v>
      </c>
      <c r="CI22" s="27">
        <f t="shared" si="68"/>
        <v>0</v>
      </c>
      <c r="CJ22" s="27">
        <f t="shared" si="69"/>
        <v>0</v>
      </c>
      <c r="CK22" s="27">
        <f t="shared" si="70"/>
        <v>0</v>
      </c>
      <c r="CL22" s="27">
        <f t="shared" si="71"/>
        <v>0</v>
      </c>
      <c r="CM22" s="27">
        <f t="shared" si="72"/>
        <v>0</v>
      </c>
      <c r="CN22" s="27">
        <f t="shared" si="73"/>
        <v>0</v>
      </c>
      <c r="CO22" s="27">
        <f t="shared" si="74"/>
        <v>0</v>
      </c>
      <c r="CP22" s="27">
        <f t="shared" si="75"/>
        <v>0</v>
      </c>
      <c r="CQ22" s="27">
        <f t="shared" si="76"/>
        <v>0</v>
      </c>
      <c r="CR22" s="27">
        <f t="shared" si="77"/>
        <v>0</v>
      </c>
      <c r="CS22" s="27">
        <f t="shared" si="78"/>
        <v>0</v>
      </c>
      <c r="CT22" s="29">
        <f t="shared" si="79"/>
        <v>0</v>
      </c>
      <c r="CV22" s="29">
        <f t="shared" si="80"/>
        <v>0</v>
      </c>
      <c r="CW22" s="29">
        <f t="shared" si="81"/>
        <v>0</v>
      </c>
      <c r="CX22" s="29">
        <f t="shared" si="82"/>
        <v>0</v>
      </c>
      <c r="CZ22" s="36">
        <f>N22+Summary!$E$3*CV22</f>
        <v>0</v>
      </c>
      <c r="DA22" s="36">
        <f>N22+CW22*Summary!$E$3</f>
        <v>0</v>
      </c>
      <c r="DB22" s="26">
        <f>N22+CX22*Summary!$E$3</f>
        <v>0</v>
      </c>
    </row>
    <row r="23" spans="2:106" ht="15" outlineLevel="1" x14ac:dyDescent="0.25">
      <c r="B23" s="16" t="str">
        <f>Mapping!A18</f>
        <v>Placeholder 13</v>
      </c>
      <c r="C23" s="31">
        <f>SUMIFS('Sales Data'!$E:$E,'Sales Data'!$A:$A,$B23,'Sales Data'!$B:$B,Summary!$C$3&amp;" "&amp;Summary!$C$2-1,'Sales Data'!$C:$C,"Periodic")/Mapping!$C$2</f>
        <v>0</v>
      </c>
      <c r="D23" s="31">
        <f>SUMIFS('Sales Data'!$D:$D,'Sales Data'!$A:$A,$B23,'Sales Data'!$B:$B,Summary!$C$3&amp;" "&amp;Summary!$C$2,'Sales Data'!$C:$C,"Periodic")/Mapping!$C$2</f>
        <v>0</v>
      </c>
      <c r="E23" s="31">
        <f>SUMIFS('Sales Data'!$E:$E,'Sales Data'!$A:$A,$B23,'Sales Data'!$B:$B,Summary!$C$3&amp;" "&amp;Summary!$C$2,'Sales Data'!$C:$C,"Periodic")/Mapping!$C$2</f>
        <v>0</v>
      </c>
      <c r="G23" s="32">
        <f t="shared" si="33"/>
        <v>0</v>
      </c>
      <c r="H23" s="33" t="str">
        <f t="shared" si="34"/>
        <v>N/A</v>
      </c>
      <c r="I23" s="32">
        <f t="shared" si="35"/>
        <v>0</v>
      </c>
      <c r="J23" s="33" t="str">
        <f t="shared" si="36"/>
        <v>N/A</v>
      </c>
      <c r="L23" s="34">
        <f>SUMIFS('Sales Data'!$E:$E,'Sales Data'!$A:$A,$B23,'Sales Data'!$F:$F,$C$2-1,'Sales Data'!$G:$G,"&lt;="&amp;$D$3)/Mapping!$C$2</f>
        <v>0</v>
      </c>
      <c r="M23" s="31">
        <f>SUMIFS('Sales Data'!$D:$D,'Sales Data'!$A:$A,$B23,'Sales Data'!$F:$F,$C$2,'Sales Data'!$G:$G,"&lt;="&amp;$D$3)/Mapping!$C$2</f>
        <v>0</v>
      </c>
      <c r="N23" s="31">
        <f>SUMIFS('Sales Data'!$E:$E,'Sales Data'!$A:$A,$B23,'Sales Data'!$F:$F,$C$2,'Sales Data'!$G:$G,"&lt;="&amp;$D$3)/Mapping!$C$2</f>
        <v>0</v>
      </c>
      <c r="P23" s="32">
        <f t="shared" si="37"/>
        <v>0</v>
      </c>
      <c r="Q23" s="33" t="str">
        <f t="shared" si="38"/>
        <v>N/A</v>
      </c>
      <c r="R23" s="32">
        <f t="shared" si="39"/>
        <v>0</v>
      </c>
      <c r="S23" s="33" t="str">
        <f t="shared" si="40"/>
        <v>N/A</v>
      </c>
      <c r="U23" s="34">
        <f>SUMIFS('Sales Data'!$E:$E,'Sales Data'!$A:$A,$B23,'Sales Data'!$F:$F,$C$2-1,'Sales Data'!$G:$G,"&lt;="&amp;12)/Mapping!$C$2</f>
        <v>0</v>
      </c>
      <c r="V23" s="31">
        <f>SUMIFS('Sales Data'!$D:$D,'Sales Data'!$A:$A,$B23,'Sales Data'!$F:$F,$C$2,'Sales Data'!$G:$G,"&lt;="&amp;12)/Mapping!$C$2</f>
        <v>0</v>
      </c>
      <c r="W23" s="31">
        <f>SUMIFS('Sales Data'!$E:$E,'Sales Data'!$A:$A,$B23,'Sales Data'!$F:$F,$C$2,'Sales Data'!$G:$G,"&lt;="&amp;12)/Mapping!$C$2</f>
        <v>0</v>
      </c>
      <c r="Y23" s="32">
        <f t="shared" si="41"/>
        <v>0</v>
      </c>
      <c r="Z23" s="33" t="str">
        <f t="shared" si="42"/>
        <v>N/A</v>
      </c>
      <c r="AA23" s="32">
        <f t="shared" si="43"/>
        <v>0</v>
      </c>
      <c r="AB23" s="33" t="str">
        <f t="shared" si="44"/>
        <v>N/A</v>
      </c>
      <c r="AC23" s="32" t="e">
        <f>W23-#REF!</f>
        <v>#REF!</v>
      </c>
      <c r="AD23" s="35" t="str">
        <f>IF(ISERROR((W23/#REF!)-1),"N/A",(W23/#REF!)-1)</f>
        <v>N/A</v>
      </c>
      <c r="AF23" s="36">
        <f>N23/Summary!$D$3</f>
        <v>0</v>
      </c>
      <c r="AG23" s="36">
        <f>(V23-N23)/Summary!$E$3</f>
        <v>0</v>
      </c>
      <c r="AH23" s="24">
        <f t="shared" si="45"/>
        <v>0</v>
      </c>
      <c r="AJ23" s="24">
        <f t="shared" si="46"/>
        <v>0</v>
      </c>
      <c r="AK23" s="24">
        <f t="shared" si="47"/>
        <v>0</v>
      </c>
      <c r="AL23" s="24">
        <f t="shared" si="48"/>
        <v>0</v>
      </c>
      <c r="AM23" s="24">
        <f t="shared" si="49"/>
        <v>0</v>
      </c>
      <c r="AN23" s="25">
        <f t="shared" si="50"/>
        <v>0</v>
      </c>
      <c r="AP23" s="26">
        <f t="shared" si="51"/>
        <v>0</v>
      </c>
      <c r="AQ23" s="26">
        <f t="shared" si="52"/>
        <v>0</v>
      </c>
      <c r="AS23" s="27">
        <f>SUMIFS('Sales Data'!$E:$E,'Sales Data'!$A:$A,$B23,'Sales Data'!$B:$B,AS$6,'Sales Data'!$C:$C,"Periodic")/Mapping!$C$2</f>
        <v>0</v>
      </c>
      <c r="AT23" s="27">
        <f>SUMIFS('Sales Data'!$E:$E,'Sales Data'!$A:$A,$B23,'Sales Data'!$B:$B,AT$6,'Sales Data'!$C:$C,"Periodic")/Mapping!$C$2</f>
        <v>0</v>
      </c>
      <c r="AU23" s="27">
        <f>SUMIFS('Sales Data'!$E:$E,'Sales Data'!$A:$A,$B23,'Sales Data'!$B:$B,AU$6,'Sales Data'!$C:$C,"Periodic")/Mapping!$C$2</f>
        <v>0</v>
      </c>
      <c r="AV23" s="27">
        <f>SUMIFS('Sales Data'!$E:$E,'Sales Data'!$A:$A,$B23,'Sales Data'!$B:$B,AV$6,'Sales Data'!$C:$C,"Periodic")/Mapping!$C$2</f>
        <v>0</v>
      </c>
      <c r="AW23" s="27">
        <f>SUMIFS('Sales Data'!$E:$E,'Sales Data'!$A:$A,$B23,'Sales Data'!$B:$B,AW$6,'Sales Data'!$C:$C,"Periodic")/Mapping!$C$2</f>
        <v>0</v>
      </c>
      <c r="AX23" s="27">
        <f>SUMIFS('Sales Data'!$E:$E,'Sales Data'!$A:$A,$B23,'Sales Data'!$B:$B,AX$6,'Sales Data'!$C:$C,"Periodic")/Mapping!$C$2</f>
        <v>0</v>
      </c>
      <c r="AY23" s="27">
        <f>SUMIFS('Sales Data'!$E:$E,'Sales Data'!$A:$A,$B23,'Sales Data'!$B:$B,AY$6,'Sales Data'!$C:$C,"Periodic")/Mapping!$C$2</f>
        <v>0</v>
      </c>
      <c r="AZ23" s="27">
        <f>SUMIFS('Sales Data'!$E:$E,'Sales Data'!$A:$A,$B23,'Sales Data'!$B:$B,AZ$6,'Sales Data'!$C:$C,"Periodic")/Mapping!$C$2</f>
        <v>0</v>
      </c>
      <c r="BA23" s="27">
        <f>SUMIFS('Sales Data'!$E:$E,'Sales Data'!$A:$A,$B23,'Sales Data'!$B:$B,BA$6,'Sales Data'!$C:$C,"Periodic")/Mapping!$C$2</f>
        <v>0</v>
      </c>
      <c r="BB23" s="27">
        <f>SUMIFS('Sales Data'!$E:$E,'Sales Data'!$A:$A,$B23,'Sales Data'!$B:$B,BB$6,'Sales Data'!$C:$C,"Periodic")/Mapping!$C$2</f>
        <v>0</v>
      </c>
      <c r="BC23" s="27">
        <f>SUMIFS('Sales Data'!$E:$E,'Sales Data'!$A:$A,$B23,'Sales Data'!$B:$B,BC$6,'Sales Data'!$C:$C,"Periodic")/Mapping!$C$2</f>
        <v>0</v>
      </c>
      <c r="BD23" s="27">
        <f>SUMIFS('Sales Data'!$E:$E,'Sales Data'!$A:$A,$B23,'Sales Data'!$B:$B,BD$6,'Sales Data'!$C:$C,"Periodic")/Mapping!$C$2</f>
        <v>0</v>
      </c>
      <c r="BE23" s="27">
        <f t="shared" si="53"/>
        <v>0</v>
      </c>
      <c r="BF23" s="27"/>
      <c r="BG23" s="27">
        <f>SUMIFS('Sales Data'!$E:$E,'Sales Data'!$A:$A,$B23,'Sales Data'!$B:$B,BG$6,'Sales Data'!$C:$C,"Periodic")/Mapping!$C$2</f>
        <v>0</v>
      </c>
      <c r="BH23" s="27">
        <f>SUMIFS('Sales Data'!$E:$E,'Sales Data'!$A:$A,$B23,'Sales Data'!$B:$B,BH$6,'Sales Data'!$C:$C,"Periodic")/Mapping!$C$2</f>
        <v>0</v>
      </c>
      <c r="BI23" s="27">
        <f>SUMIFS('Sales Data'!$E:$E,'Sales Data'!$A:$A,$B23,'Sales Data'!$B:$B,BI$6,'Sales Data'!$C:$C,"Periodic")/Mapping!$C$2</f>
        <v>0</v>
      </c>
      <c r="BJ23" s="27">
        <f>SUMIFS('Sales Data'!$E:$E,'Sales Data'!$A:$A,$B23,'Sales Data'!$B:$B,BJ$6,'Sales Data'!$C:$C,"Periodic")/Mapping!$C$2</f>
        <v>0</v>
      </c>
      <c r="BK23" s="27">
        <f>SUMIFS('Sales Data'!$E:$E,'Sales Data'!$A:$A,$B23,'Sales Data'!$B:$B,BK$6,'Sales Data'!$C:$C,"Periodic")/Mapping!$C$2</f>
        <v>0</v>
      </c>
      <c r="BL23" s="27">
        <f>SUMIFS('Sales Data'!$E:$E,'Sales Data'!$A:$A,$B23,'Sales Data'!$B:$B,BL$6,'Sales Data'!$C:$C,"Periodic")/Mapping!$C$2</f>
        <v>0</v>
      </c>
      <c r="BM23" s="27">
        <f>SUMIFS('Sales Data'!$E:$E,'Sales Data'!$A:$A,$B23,'Sales Data'!$B:$B,BM$6,'Sales Data'!$C:$C,"Periodic")/Mapping!$C$2</f>
        <v>0</v>
      </c>
      <c r="BN23" s="27">
        <f>SUMIFS('Sales Data'!$E:$E,'Sales Data'!$A:$A,$B23,'Sales Data'!$B:$B,BN$6,'Sales Data'!$C:$C,"Periodic")/Mapping!$C$2</f>
        <v>0</v>
      </c>
      <c r="BO23" s="27">
        <f>SUMIFS('Sales Data'!$E:$E,'Sales Data'!$A:$A,$B23,'Sales Data'!$B:$B,BO$6,'Sales Data'!$C:$C,"Periodic")/Mapping!$C$2</f>
        <v>0</v>
      </c>
      <c r="BP23" s="27">
        <f>SUMIFS('Sales Data'!$E:$E,'Sales Data'!$A:$A,$B23,'Sales Data'!$B:$B,BP$6,'Sales Data'!$C:$C,"Periodic")/Mapping!$C$2</f>
        <v>0</v>
      </c>
      <c r="BQ23" s="27">
        <f>SUMIFS('Sales Data'!$E:$E,'Sales Data'!$A:$A,$B23,'Sales Data'!$B:$B,BQ$6,'Sales Data'!$C:$C,"Periodic")/Mapping!$C$2</f>
        <v>0</v>
      </c>
      <c r="BR23" s="27">
        <f>SUMIFS('Sales Data'!$E:$E,'Sales Data'!$A:$A,$B23,'Sales Data'!$B:$B,BR$6,'Sales Data'!$C:$C,"Periodic")/Mapping!$C$2</f>
        <v>0</v>
      </c>
      <c r="BS23" s="27"/>
      <c r="BT23" s="27">
        <f t="shared" si="54"/>
        <v>0</v>
      </c>
      <c r="BU23" s="27">
        <f t="shared" si="55"/>
        <v>0</v>
      </c>
      <c r="BV23" s="27">
        <f t="shared" si="56"/>
        <v>0</v>
      </c>
      <c r="BW23" s="27">
        <f t="shared" si="57"/>
        <v>0</v>
      </c>
      <c r="BX23" s="27">
        <f t="shared" si="58"/>
        <v>0</v>
      </c>
      <c r="BY23" s="27">
        <f t="shared" si="59"/>
        <v>0</v>
      </c>
      <c r="BZ23" s="27">
        <f t="shared" si="60"/>
        <v>0</v>
      </c>
      <c r="CA23" s="27">
        <f t="shared" si="61"/>
        <v>0</v>
      </c>
      <c r="CB23" s="27">
        <f t="shared" si="62"/>
        <v>0</v>
      </c>
      <c r="CC23" s="27">
        <f t="shared" si="63"/>
        <v>0</v>
      </c>
      <c r="CD23" s="27">
        <f t="shared" si="64"/>
        <v>0</v>
      </c>
      <c r="CE23" s="27">
        <f t="shared" si="65"/>
        <v>0</v>
      </c>
      <c r="CF23" s="27">
        <f t="shared" si="66"/>
        <v>0</v>
      </c>
      <c r="CH23" s="27">
        <f t="shared" si="67"/>
        <v>0</v>
      </c>
      <c r="CI23" s="27">
        <f t="shared" si="68"/>
        <v>0</v>
      </c>
      <c r="CJ23" s="27">
        <f t="shared" si="69"/>
        <v>0</v>
      </c>
      <c r="CK23" s="27">
        <f t="shared" si="70"/>
        <v>0</v>
      </c>
      <c r="CL23" s="27">
        <f t="shared" si="71"/>
        <v>0</v>
      </c>
      <c r="CM23" s="27">
        <f t="shared" si="72"/>
        <v>0</v>
      </c>
      <c r="CN23" s="27">
        <f t="shared" si="73"/>
        <v>0</v>
      </c>
      <c r="CO23" s="27">
        <f t="shared" si="74"/>
        <v>0</v>
      </c>
      <c r="CP23" s="27">
        <f t="shared" si="75"/>
        <v>0</v>
      </c>
      <c r="CQ23" s="27">
        <f t="shared" si="76"/>
        <v>0</v>
      </c>
      <c r="CR23" s="27">
        <f t="shared" si="77"/>
        <v>0</v>
      </c>
      <c r="CS23" s="27">
        <f t="shared" si="78"/>
        <v>0</v>
      </c>
      <c r="CT23" s="29">
        <f t="shared" si="79"/>
        <v>0</v>
      </c>
      <c r="CV23" s="29">
        <f t="shared" si="80"/>
        <v>0</v>
      </c>
      <c r="CW23" s="29">
        <f t="shared" si="81"/>
        <v>0</v>
      </c>
      <c r="CX23" s="29">
        <f t="shared" si="82"/>
        <v>0</v>
      </c>
      <c r="CZ23" s="36">
        <f>N23+Summary!$E$3*CV23</f>
        <v>0</v>
      </c>
      <c r="DA23" s="36">
        <f>N23+CW23*Summary!$E$3</f>
        <v>0</v>
      </c>
      <c r="DB23" s="26">
        <f>N23+CX23*Summary!$E$3</f>
        <v>0</v>
      </c>
    </row>
    <row r="24" spans="2:106" ht="15" outlineLevel="1" x14ac:dyDescent="0.25">
      <c r="B24" s="16" t="str">
        <f>Mapping!A19</f>
        <v>Placeholder 14</v>
      </c>
      <c r="C24" s="31">
        <f>SUMIFS('Sales Data'!$E:$E,'Sales Data'!$A:$A,$B24,'Sales Data'!$B:$B,Summary!$C$3&amp;" "&amp;Summary!$C$2-1,'Sales Data'!$C:$C,"Periodic")/Mapping!$C$2</f>
        <v>0</v>
      </c>
      <c r="D24" s="31">
        <f>SUMIFS('Sales Data'!$D:$D,'Sales Data'!$A:$A,$B24,'Sales Data'!$B:$B,Summary!$C$3&amp;" "&amp;Summary!$C$2,'Sales Data'!$C:$C,"Periodic")/Mapping!$C$2</f>
        <v>0</v>
      </c>
      <c r="E24" s="31">
        <f>SUMIFS('Sales Data'!$E:$E,'Sales Data'!$A:$A,$B24,'Sales Data'!$B:$B,Summary!$C$3&amp;" "&amp;Summary!$C$2,'Sales Data'!$C:$C,"Periodic")/Mapping!$C$2</f>
        <v>0</v>
      </c>
      <c r="G24" s="32">
        <f>E24-C24</f>
        <v>0</v>
      </c>
      <c r="H24" s="33" t="str">
        <f>IF(ISERROR((E24/C24)-1),"N/A",(E24/C24)-1)</f>
        <v>N/A</v>
      </c>
      <c r="I24" s="32">
        <f>E24-D24</f>
        <v>0</v>
      </c>
      <c r="J24" s="33" t="str">
        <f>IF(ISERROR((E24/D24)-1),"N/A",(E24/D24)-1)</f>
        <v>N/A</v>
      </c>
      <c r="L24" s="34">
        <f>SUMIFS('Sales Data'!$E:$E,'Sales Data'!$A:$A,$B24,'Sales Data'!$F:$F,$C$2-1,'Sales Data'!$G:$G,"&lt;="&amp;$D$3)/Mapping!$C$2</f>
        <v>0</v>
      </c>
      <c r="M24" s="31">
        <f>SUMIFS('Sales Data'!$D:$D,'Sales Data'!$A:$A,$B24,'Sales Data'!$F:$F,$C$2,'Sales Data'!$G:$G,"&lt;="&amp;$D$3)/Mapping!$C$2</f>
        <v>0</v>
      </c>
      <c r="N24" s="31">
        <f>SUMIFS('Sales Data'!$E:$E,'Sales Data'!$A:$A,$B24,'Sales Data'!$F:$F,$C$2,'Sales Data'!$G:$G,"&lt;="&amp;$D$3)/Mapping!$C$2</f>
        <v>0</v>
      </c>
      <c r="P24" s="32">
        <f>N24-L24</f>
        <v>0</v>
      </c>
      <c r="Q24" s="33" t="str">
        <f>IF(ISERROR((N24/L24)-1),"N/A",(N24/L24)-1)</f>
        <v>N/A</v>
      </c>
      <c r="R24" s="32">
        <f>N24-M24</f>
        <v>0</v>
      </c>
      <c r="S24" s="33" t="str">
        <f>IF(ISERROR((N24/M24)-1),"N/A",(N24/M24)-1)</f>
        <v>N/A</v>
      </c>
      <c r="U24" s="34">
        <f>SUMIFS('Sales Data'!$E:$E,'Sales Data'!$A:$A,$B24,'Sales Data'!$F:$F,$C$2-1,'Sales Data'!$G:$G,"&lt;="&amp;12)/Mapping!$C$2</f>
        <v>0</v>
      </c>
      <c r="V24" s="31">
        <f>SUMIFS('Sales Data'!$D:$D,'Sales Data'!$A:$A,$B24,'Sales Data'!$F:$F,$C$2,'Sales Data'!$G:$G,"&lt;="&amp;12)/Mapping!$C$2</f>
        <v>0</v>
      </c>
      <c r="W24" s="31">
        <f>SUMIFS('Sales Data'!$E:$E,'Sales Data'!$A:$A,$B24,'Sales Data'!$F:$F,$C$2,'Sales Data'!$G:$G,"&lt;="&amp;12)/Mapping!$C$2</f>
        <v>0</v>
      </c>
      <c r="Y24" s="32">
        <f>W24-U24</f>
        <v>0</v>
      </c>
      <c r="Z24" s="33" t="str">
        <f>IF(ISERROR((W24/U24)-1),"N/A",(W24/U24)-1)</f>
        <v>N/A</v>
      </c>
      <c r="AA24" s="32">
        <f>W24-V24</f>
        <v>0</v>
      </c>
      <c r="AB24" s="33" t="str">
        <f>IF(ISERROR((W24/V24)-1),"N/A",(W24/V24)-1)</f>
        <v>N/A</v>
      </c>
      <c r="AC24" s="32" t="e">
        <f>W24-#REF!</f>
        <v>#REF!</v>
      </c>
      <c r="AD24" s="35" t="str">
        <f>IF(ISERROR((W24/#REF!)-1),"N/A",(W24/#REF!)-1)</f>
        <v>N/A</v>
      </c>
      <c r="AF24" s="36">
        <f>N24/Summary!$D$3</f>
        <v>0</v>
      </c>
      <c r="AG24" s="36">
        <f>(V24-N24)/Summary!$E$3</f>
        <v>0</v>
      </c>
      <c r="AH24" s="24">
        <f t="shared" si="25"/>
        <v>0</v>
      </c>
      <c r="AJ24" s="24">
        <f>CZ24-V24</f>
        <v>0</v>
      </c>
      <c r="AK24" s="24">
        <f>DA24-V24</f>
        <v>0</v>
      </c>
      <c r="AL24" s="24">
        <f>DB24-V24</f>
        <v>0</v>
      </c>
      <c r="AM24" s="24">
        <f>CT24-V24</f>
        <v>0</v>
      </c>
      <c r="AN24" s="25">
        <f>CF24-V24</f>
        <v>0</v>
      </c>
      <c r="AP24" s="26">
        <f>U24-L24</f>
        <v>0</v>
      </c>
      <c r="AQ24" s="26">
        <f t="shared" si="26"/>
        <v>0</v>
      </c>
      <c r="AS24" s="27">
        <f>SUMIFS('Sales Data'!$E:$E,'Sales Data'!$A:$A,$B24,'Sales Data'!$B:$B,AS$6,'Sales Data'!$C:$C,"Periodic")/Mapping!$C$2</f>
        <v>0</v>
      </c>
      <c r="AT24" s="27">
        <f>SUMIFS('Sales Data'!$E:$E,'Sales Data'!$A:$A,$B24,'Sales Data'!$B:$B,AT$6,'Sales Data'!$C:$C,"Periodic")/Mapping!$C$2</f>
        <v>0</v>
      </c>
      <c r="AU24" s="27">
        <f>SUMIFS('Sales Data'!$E:$E,'Sales Data'!$A:$A,$B24,'Sales Data'!$B:$B,AU$6,'Sales Data'!$C:$C,"Periodic")/Mapping!$C$2</f>
        <v>0</v>
      </c>
      <c r="AV24" s="27">
        <f>SUMIFS('Sales Data'!$E:$E,'Sales Data'!$A:$A,$B24,'Sales Data'!$B:$B,AV$6,'Sales Data'!$C:$C,"Periodic")/Mapping!$C$2</f>
        <v>0</v>
      </c>
      <c r="AW24" s="27">
        <f>SUMIFS('Sales Data'!$E:$E,'Sales Data'!$A:$A,$B24,'Sales Data'!$B:$B,AW$6,'Sales Data'!$C:$C,"Periodic")/Mapping!$C$2</f>
        <v>0</v>
      </c>
      <c r="AX24" s="27">
        <f>SUMIFS('Sales Data'!$E:$E,'Sales Data'!$A:$A,$B24,'Sales Data'!$B:$B,AX$6,'Sales Data'!$C:$C,"Periodic")/Mapping!$C$2</f>
        <v>0</v>
      </c>
      <c r="AY24" s="27">
        <f>SUMIFS('Sales Data'!$E:$E,'Sales Data'!$A:$A,$B24,'Sales Data'!$B:$B,AY$6,'Sales Data'!$C:$C,"Periodic")/Mapping!$C$2</f>
        <v>0</v>
      </c>
      <c r="AZ24" s="27">
        <f>SUMIFS('Sales Data'!$E:$E,'Sales Data'!$A:$A,$B24,'Sales Data'!$B:$B,AZ$6,'Sales Data'!$C:$C,"Periodic")/Mapping!$C$2</f>
        <v>0</v>
      </c>
      <c r="BA24" s="27">
        <f>SUMIFS('Sales Data'!$E:$E,'Sales Data'!$A:$A,$B24,'Sales Data'!$B:$B,BA$6,'Sales Data'!$C:$C,"Periodic")/Mapping!$C$2</f>
        <v>0</v>
      </c>
      <c r="BB24" s="27">
        <f>SUMIFS('Sales Data'!$E:$E,'Sales Data'!$A:$A,$B24,'Sales Data'!$B:$B,BB$6,'Sales Data'!$C:$C,"Periodic")/Mapping!$C$2</f>
        <v>0</v>
      </c>
      <c r="BC24" s="27">
        <f>SUMIFS('Sales Data'!$E:$E,'Sales Data'!$A:$A,$B24,'Sales Data'!$B:$B,BC$6,'Sales Data'!$C:$C,"Periodic")/Mapping!$C$2</f>
        <v>0</v>
      </c>
      <c r="BD24" s="27">
        <f>SUMIFS('Sales Data'!$E:$E,'Sales Data'!$A:$A,$B24,'Sales Data'!$B:$B,BD$6,'Sales Data'!$C:$C,"Periodic")/Mapping!$C$2</f>
        <v>0</v>
      </c>
      <c r="BE24" s="27">
        <f t="shared" si="27"/>
        <v>0</v>
      </c>
      <c r="BF24" s="27"/>
      <c r="BG24" s="27">
        <f>SUMIFS('Sales Data'!$E:$E,'Sales Data'!$A:$A,$B24,'Sales Data'!$B:$B,BG$6,'Sales Data'!$C:$C,"Periodic")/Mapping!$C$2</f>
        <v>0</v>
      </c>
      <c r="BH24" s="27">
        <f>SUMIFS('Sales Data'!$E:$E,'Sales Data'!$A:$A,$B24,'Sales Data'!$B:$B,BH$6,'Sales Data'!$C:$C,"Periodic")/Mapping!$C$2</f>
        <v>0</v>
      </c>
      <c r="BI24" s="27">
        <f>SUMIFS('Sales Data'!$E:$E,'Sales Data'!$A:$A,$B24,'Sales Data'!$B:$B,BI$6,'Sales Data'!$C:$C,"Periodic")/Mapping!$C$2</f>
        <v>0</v>
      </c>
      <c r="BJ24" s="27">
        <f>SUMIFS('Sales Data'!$E:$E,'Sales Data'!$A:$A,$B24,'Sales Data'!$B:$B,BJ$6,'Sales Data'!$C:$C,"Periodic")/Mapping!$C$2</f>
        <v>0</v>
      </c>
      <c r="BK24" s="27">
        <f>SUMIFS('Sales Data'!$E:$E,'Sales Data'!$A:$A,$B24,'Sales Data'!$B:$B,BK$6,'Sales Data'!$C:$C,"Periodic")/Mapping!$C$2</f>
        <v>0</v>
      </c>
      <c r="BL24" s="27">
        <f>SUMIFS('Sales Data'!$E:$E,'Sales Data'!$A:$A,$B24,'Sales Data'!$B:$B,BL$6,'Sales Data'!$C:$C,"Periodic")/Mapping!$C$2</f>
        <v>0</v>
      </c>
      <c r="BM24" s="27">
        <f>SUMIFS('Sales Data'!$E:$E,'Sales Data'!$A:$A,$B24,'Sales Data'!$B:$B,BM$6,'Sales Data'!$C:$C,"Periodic")/Mapping!$C$2</f>
        <v>0</v>
      </c>
      <c r="BN24" s="27">
        <f>SUMIFS('Sales Data'!$E:$E,'Sales Data'!$A:$A,$B24,'Sales Data'!$B:$B,BN$6,'Sales Data'!$C:$C,"Periodic")/Mapping!$C$2</f>
        <v>0</v>
      </c>
      <c r="BO24" s="27">
        <f>SUMIFS('Sales Data'!$E:$E,'Sales Data'!$A:$A,$B24,'Sales Data'!$B:$B,BO$6,'Sales Data'!$C:$C,"Periodic")/Mapping!$C$2</f>
        <v>0</v>
      </c>
      <c r="BP24" s="27">
        <f>SUMIFS('Sales Data'!$E:$E,'Sales Data'!$A:$A,$B24,'Sales Data'!$B:$B,BP$6,'Sales Data'!$C:$C,"Periodic")/Mapping!$C$2</f>
        <v>0</v>
      </c>
      <c r="BQ24" s="27">
        <f>SUMIFS('Sales Data'!$E:$E,'Sales Data'!$A:$A,$B24,'Sales Data'!$B:$B,BQ$6,'Sales Data'!$C:$C,"Periodic")/Mapping!$C$2</f>
        <v>0</v>
      </c>
      <c r="BR24" s="27">
        <f>SUMIFS('Sales Data'!$E:$E,'Sales Data'!$A:$A,$B24,'Sales Data'!$B:$B,BR$6,'Sales Data'!$C:$C,"Periodic")/Mapping!$C$2</f>
        <v>0</v>
      </c>
      <c r="BS24" s="27"/>
      <c r="BT24" s="27">
        <f t="shared" si="1"/>
        <v>0</v>
      </c>
      <c r="BU24" s="27">
        <f t="shared" si="2"/>
        <v>0</v>
      </c>
      <c r="BV24" s="27">
        <f t="shared" si="3"/>
        <v>0</v>
      </c>
      <c r="BW24" s="27">
        <f t="shared" si="4"/>
        <v>0</v>
      </c>
      <c r="BX24" s="27">
        <f t="shared" si="5"/>
        <v>0</v>
      </c>
      <c r="BY24" s="27">
        <f t="shared" si="6"/>
        <v>0</v>
      </c>
      <c r="BZ24" s="27">
        <f t="shared" si="7"/>
        <v>0</v>
      </c>
      <c r="CA24" s="27">
        <f t="shared" si="8"/>
        <v>0</v>
      </c>
      <c r="CB24" s="27">
        <f t="shared" si="9"/>
        <v>0</v>
      </c>
      <c r="CC24" s="27">
        <f t="shared" si="10"/>
        <v>0</v>
      </c>
      <c r="CD24" s="27">
        <f t="shared" si="11"/>
        <v>0</v>
      </c>
      <c r="CE24" s="27">
        <f t="shared" si="12"/>
        <v>0</v>
      </c>
      <c r="CF24" s="27">
        <f t="shared" si="28"/>
        <v>0</v>
      </c>
      <c r="CH24" s="27">
        <f t="shared" si="13"/>
        <v>0</v>
      </c>
      <c r="CI24" s="27">
        <f t="shared" si="14"/>
        <v>0</v>
      </c>
      <c r="CJ24" s="27">
        <f t="shared" si="15"/>
        <v>0</v>
      </c>
      <c r="CK24" s="27">
        <f t="shared" si="16"/>
        <v>0</v>
      </c>
      <c r="CL24" s="27">
        <f t="shared" si="17"/>
        <v>0</v>
      </c>
      <c r="CM24" s="27">
        <f t="shared" si="18"/>
        <v>0</v>
      </c>
      <c r="CN24" s="27">
        <f t="shared" si="19"/>
        <v>0</v>
      </c>
      <c r="CO24" s="27">
        <f t="shared" si="20"/>
        <v>0</v>
      </c>
      <c r="CP24" s="27">
        <f t="shared" si="21"/>
        <v>0</v>
      </c>
      <c r="CQ24" s="27">
        <f t="shared" si="22"/>
        <v>0</v>
      </c>
      <c r="CR24" s="27">
        <f t="shared" si="23"/>
        <v>0</v>
      </c>
      <c r="CS24" s="27">
        <f t="shared" si="24"/>
        <v>0</v>
      </c>
      <c r="CT24" s="29">
        <f t="shared" si="29"/>
        <v>0</v>
      </c>
      <c r="CV24" s="29">
        <f t="shared" si="30"/>
        <v>0</v>
      </c>
      <c r="CW24" s="29">
        <f t="shared" si="31"/>
        <v>0</v>
      </c>
      <c r="CX24" s="29">
        <f t="shared" si="32"/>
        <v>0</v>
      </c>
      <c r="CZ24" s="36">
        <f>N24+Summary!$E$3*CV24</f>
        <v>0</v>
      </c>
      <c r="DA24" s="36">
        <f>N24+CW24*Summary!$E$3</f>
        <v>0</v>
      </c>
      <c r="DB24" s="26">
        <f>N24+CX24*Summary!$E$3</f>
        <v>0</v>
      </c>
    </row>
    <row r="25" spans="2:106" s="37" customFormat="1" ht="15" x14ac:dyDescent="0.25">
      <c r="B25" s="38" t="s">
        <v>131</v>
      </c>
      <c r="C25" s="39">
        <f>SUM(C7:C24)</f>
        <v>3365.5091899694899</v>
      </c>
      <c r="D25" s="40">
        <f t="shared" ref="D25:E25" si="83">SUM(D7:D24)</f>
        <v>3493.5557258693198</v>
      </c>
      <c r="E25" s="39">
        <f t="shared" si="83"/>
        <v>3196.138113471</v>
      </c>
      <c r="G25" s="41">
        <f>E25-C25</f>
        <v>-169.37107649848986</v>
      </c>
      <c r="H25" s="42">
        <f>IF(ISERROR((E25/C25)-1),"N/A",(E25/C25)-1)</f>
        <v>-5.0325542715283889E-2</v>
      </c>
      <c r="I25" s="41">
        <f>E25-D25</f>
        <v>-297.41761239831976</v>
      </c>
      <c r="J25" s="42">
        <f>IF(ISERROR((E25/D25)-1),"N/A",(E25/D25)-1)</f>
        <v>-8.5133209754171491E-2</v>
      </c>
      <c r="L25" s="40">
        <f>SUM(L7:L24)</f>
        <v>19752.417560580063</v>
      </c>
      <c r="M25" s="40">
        <f t="shared" ref="M25" si="84">SUM(M7:M24)</f>
        <v>22596.702152455789</v>
      </c>
      <c r="N25" s="39">
        <f t="shared" ref="N25" si="85">SUM(N7:N24)</f>
        <v>22473.943947807005</v>
      </c>
      <c r="O25" s="43"/>
      <c r="P25" s="41">
        <f>N25-L25</f>
        <v>2721.5263872269425</v>
      </c>
      <c r="Q25" s="42">
        <f>IF(ISERROR((N25/L25)-1),"N/A",(N25/L25)-1)</f>
        <v>0.13778193878699163</v>
      </c>
      <c r="R25" s="41">
        <f>N25-M25</f>
        <v>-122.75820464878416</v>
      </c>
      <c r="S25" s="42">
        <f>IF(ISERROR((N25/M25)-1),"N/A",(N25/M25)-1)</f>
        <v>-5.4325717009746644E-3</v>
      </c>
      <c r="U25" s="40">
        <f>SUM(U7:U24)</f>
        <v>34649.196602839402</v>
      </c>
      <c r="V25" s="40">
        <f t="shared" ref="V25" si="86">SUM(V7:V24)</f>
        <v>39600.101593454805</v>
      </c>
      <c r="W25" s="39">
        <f t="shared" ref="W25" si="87">SUM(W7:W24)</f>
        <v>22473.943947807005</v>
      </c>
      <c r="Y25" s="41">
        <f>W25-U25</f>
        <v>-12175.252655032396</v>
      </c>
      <c r="Z25" s="42">
        <f>IF(ISERROR((W25/U25)-1),"N/A",(W25/U25)-1)</f>
        <v>-0.35138629026782886</v>
      </c>
      <c r="AA25" s="41">
        <f>W25-V25</f>
        <v>-17126.1576456478</v>
      </c>
      <c r="AB25" s="42">
        <f>IF(ISERROR((W25/V25)-1),"N/A",(W25/V25)-1)</f>
        <v>-0.43247761890788805</v>
      </c>
      <c r="AC25" s="44" t="e">
        <f>W25-#REF!</f>
        <v>#REF!</v>
      </c>
      <c r="AD25" s="45" t="str">
        <f>IF(ISERROR((W25/#REF!)-1),"N/A",(W25/#REF!)-1)</f>
        <v>N/A</v>
      </c>
      <c r="AF25" s="46">
        <f>N25/Summary!$D$3</f>
        <v>3210.5634211152865</v>
      </c>
      <c r="AG25" s="46">
        <f>(V25-N25)/Summary!$E$3</f>
        <v>3425.2315291295599</v>
      </c>
      <c r="AH25" s="47">
        <f t="shared" si="25"/>
        <v>214.66810801427346</v>
      </c>
      <c r="AJ25" s="41">
        <f t="shared" ref="AJ25" si="88">SUM(AJ7:AJ24)</f>
        <v>2223.4312605914124</v>
      </c>
      <c r="AK25" s="41">
        <f t="shared" ref="AK25" si="89">SUM(AK7:AK24)</f>
        <v>1924.3818364639124</v>
      </c>
      <c r="AL25" s="41">
        <f t="shared" ref="AL25" si="90">SUM(AL7:AL24)</f>
        <v>1588.6731123857217</v>
      </c>
      <c r="AM25" s="41">
        <f t="shared" ref="AM25" si="91">SUM(AM7:AM24)</f>
        <v>5606.048339211402</v>
      </c>
      <c r="AN25" s="41">
        <f t="shared" ref="AN25" si="92">SUM(AN7:AN24)</f>
        <v>-35.698958755910553</v>
      </c>
      <c r="AP25" s="48">
        <f>U25-L25</f>
        <v>14896.779042259339</v>
      </c>
      <c r="AQ25" s="48">
        <f t="shared" si="26"/>
        <v>17126.1576456478</v>
      </c>
      <c r="AS25" s="49">
        <f t="shared" ref="AS25" si="93">SUM(AS7:AS24)</f>
        <v>3385.7319838799999</v>
      </c>
      <c r="AT25" s="49">
        <f t="shared" ref="AT25" si="94">SUM(AT7:AT24)</f>
        <v>2756.9595498750004</v>
      </c>
      <c r="AU25" s="49">
        <f t="shared" ref="AU25" si="95">SUM(AU7:AU24)</f>
        <v>3895.923425982</v>
      </c>
      <c r="AV25" s="49">
        <f t="shared" ref="AV25" si="96">SUM(AV7:AV24)</f>
        <v>2711.79335163</v>
      </c>
      <c r="AW25" s="49">
        <f t="shared" ref="AW25" si="97">SUM(AW7:AW24)</f>
        <v>2952.9275781060001</v>
      </c>
      <c r="AX25" s="49">
        <f t="shared" ref="AX25" si="98">SUM(AX7:AX24)</f>
        <v>3574.4699448629999</v>
      </c>
      <c r="AY25" s="49">
        <f t="shared" ref="AY25" si="99">SUM(AY7:AY24)</f>
        <v>3196.138113471</v>
      </c>
      <c r="AZ25" s="49">
        <f t="shared" ref="AZ25" si="100">SUM(AZ7:AZ24)</f>
        <v>0</v>
      </c>
      <c r="BA25" s="49">
        <f t="shared" ref="BA25" si="101">SUM(BA7:BA24)</f>
        <v>0</v>
      </c>
      <c r="BB25" s="49">
        <f t="shared" ref="BB25" si="102">SUM(BB7:BB24)</f>
        <v>0</v>
      </c>
      <c r="BC25" s="49">
        <f t="shared" ref="BC25" si="103">SUM(BC7:BC24)</f>
        <v>0</v>
      </c>
      <c r="BD25" s="49">
        <f t="shared" ref="BD25" si="104">SUM(BD7:BD24)</f>
        <v>0</v>
      </c>
      <c r="BE25" s="49">
        <f t="shared" ref="BE25" si="105">SUM(BE7:BE24)</f>
        <v>22473.943947806998</v>
      </c>
      <c r="BF25" s="28"/>
      <c r="BG25" s="49">
        <f t="shared" ref="BG25" si="106">SUM(BG7:BG24)</f>
        <v>2686.8064499044622</v>
      </c>
      <c r="BH25" s="49">
        <f t="shared" ref="BH25" si="107">SUM(BH7:BH24)</f>
        <v>2877.2225508224724</v>
      </c>
      <c r="BI25" s="49">
        <f t="shared" ref="BI25" si="108">SUM(BI7:BI24)</f>
        <v>3134.8695588259866</v>
      </c>
      <c r="BJ25" s="49">
        <f t="shared" ref="BJ25" si="109">SUM(BJ7:BJ24)</f>
        <v>3219.2640907963046</v>
      </c>
      <c r="BK25" s="49">
        <f t="shared" ref="BK25" si="110">SUM(BK7:BK24)</f>
        <v>2978.6163919101191</v>
      </c>
      <c r="BL25" s="49">
        <f t="shared" ref="BL25" si="111">SUM(BL7:BL24)</f>
        <v>3385.7319838799999</v>
      </c>
      <c r="BM25" s="49">
        <f t="shared" ref="BM25" si="112">SUM(BM7:BM24)</f>
        <v>2756.9595498750004</v>
      </c>
      <c r="BN25" s="49">
        <f t="shared" ref="BN25" si="113">SUM(BN7:BN24)</f>
        <v>3895.923425982</v>
      </c>
      <c r="BO25" s="49">
        <f t="shared" ref="BO25" si="114">SUM(BO7:BO24)</f>
        <v>2711.79335163</v>
      </c>
      <c r="BP25" s="49">
        <f t="shared" ref="BP25" si="115">SUM(BP7:BP24)</f>
        <v>2952.9275781060001</v>
      </c>
      <c r="BQ25" s="49">
        <f t="shared" ref="BQ25" si="116">SUM(BQ7:BQ24)</f>
        <v>3574.4699448629999</v>
      </c>
      <c r="BR25" s="49">
        <f t="shared" ref="BR25" si="117">SUM(BR7:BR24)</f>
        <v>3196.138113471</v>
      </c>
      <c r="BS25" s="28"/>
      <c r="BT25" s="49">
        <f t="shared" ref="BT25" si="118">SUM(BT7:BT24)</f>
        <v>3385.7319838799999</v>
      </c>
      <c r="BU25" s="49">
        <f t="shared" ref="BU25" si="119">SUM(BU7:BU24)</f>
        <v>2756.9595498750004</v>
      </c>
      <c r="BV25" s="49">
        <f t="shared" ref="BV25" si="120">SUM(BV7:BV24)</f>
        <v>3895.923425982</v>
      </c>
      <c r="BW25" s="49">
        <f t="shared" ref="BW25" si="121">SUM(BW7:BW24)</f>
        <v>2711.79335163</v>
      </c>
      <c r="BX25" s="49">
        <f t="shared" ref="BX25" si="122">SUM(BX7:BX24)</f>
        <v>2952.9275781060001</v>
      </c>
      <c r="BY25" s="49">
        <f t="shared" ref="BY25" si="123">SUM(BY7:BY24)</f>
        <v>3574.4699448629999</v>
      </c>
      <c r="BZ25" s="49">
        <f t="shared" ref="BZ25" si="124">SUM(BZ7:BZ24)</f>
        <v>3196.138113471</v>
      </c>
      <c r="CA25" s="49">
        <f t="shared" ref="CA25" si="125">SUM(CA7:CA24)</f>
        <v>2831.2717808658044</v>
      </c>
      <c r="CB25" s="49">
        <f t="shared" ref="CB25" si="126">SUM(CB7:CB24)</f>
        <v>2810.3121412381706</v>
      </c>
      <c r="CC25" s="49">
        <f t="shared" ref="CC25" si="127">SUM(CC7:CC24)</f>
        <v>2789.3525016105368</v>
      </c>
      <c r="CD25" s="49">
        <f t="shared" ref="CD25" si="128">SUM(CD7:CD24)</f>
        <v>2768.3928619829026</v>
      </c>
      <c r="CE25" s="49">
        <f t="shared" ref="CE25" si="129">SUM(CE7:CE24)</f>
        <v>2747.4332223552688</v>
      </c>
      <c r="CF25" s="49">
        <f t="shared" ref="CF25" si="130">SUM(CF7:CF24)</f>
        <v>36420.706455859683</v>
      </c>
      <c r="CH25" s="49">
        <f t="shared" ref="CH25" si="131">SUM(CH7:CH24)</f>
        <v>3385.7319838799999</v>
      </c>
      <c r="CI25" s="49">
        <f t="shared" ref="CI25" si="132">SUM(CI7:CI24)</f>
        <v>2756.9595498750004</v>
      </c>
      <c r="CJ25" s="49">
        <f t="shared" ref="CJ25" si="133">SUM(CJ7:CJ24)</f>
        <v>3895.923425982</v>
      </c>
      <c r="CK25" s="49">
        <f t="shared" ref="CK25" si="134">SUM(CK7:CK24)</f>
        <v>2711.79335163</v>
      </c>
      <c r="CL25" s="49">
        <f t="shared" ref="CL25" si="135">SUM(CL7:CL24)</f>
        <v>2952.9275781060001</v>
      </c>
      <c r="CM25" s="49">
        <f t="shared" ref="CM25" si="136">SUM(CM7:CM24)</f>
        <v>3574.4699448629999</v>
      </c>
      <c r="CN25" s="49">
        <f t="shared" ref="CN25" si="137">SUM(CN7:CN24)</f>
        <v>3196.138113471</v>
      </c>
      <c r="CO25" s="49">
        <f t="shared" ref="CO25" si="138">SUM(CO7:CO24)</f>
        <v>3833.5495839983423</v>
      </c>
      <c r="CP25" s="49">
        <f t="shared" ref="CP25" si="139">SUM(CP7:CP24)</f>
        <v>3875.6257726011709</v>
      </c>
      <c r="CQ25" s="49">
        <f t="shared" ref="CQ25" si="140">SUM(CQ7:CQ24)</f>
        <v>3917.7019612039994</v>
      </c>
      <c r="CR25" s="49">
        <f t="shared" ref="CR25" si="141">SUM(CR7:CR24)</f>
        <v>3959.778149806828</v>
      </c>
      <c r="CS25" s="49">
        <f t="shared" ref="CS25" si="142">SUM(CS7:CS24)</f>
        <v>4001.8543384096565</v>
      </c>
      <c r="CT25" s="49">
        <f t="shared" ref="CT25" si="143">SUM(CT7:CT24)</f>
        <v>42062.453753826994</v>
      </c>
      <c r="CV25" s="49">
        <f t="shared" si="30"/>
        <v>3241.1785454799997</v>
      </c>
      <c r="CW25" s="49">
        <f t="shared" si="31"/>
        <v>3181.3686606545002</v>
      </c>
      <c r="CX25" s="49">
        <f t="shared" si="32"/>
        <v>3114.2269158388626</v>
      </c>
      <c r="CZ25" s="46">
        <f>N25+Summary!$E$3*CV25</f>
        <v>38679.836675207</v>
      </c>
      <c r="DA25" s="46">
        <f>N25+CW25*Summary!$E$3</f>
        <v>38380.787251079506</v>
      </c>
      <c r="DB25" s="48">
        <f>N25+CX25*Summary!$E$3</f>
        <v>38045.078527001315</v>
      </c>
    </row>
    <row r="26" spans="2:106" x14ac:dyDescent="0.2">
      <c r="DB26" s="29"/>
    </row>
    <row r="28" spans="2:106" x14ac:dyDescent="0.2">
      <c r="C28" s="1"/>
      <c r="D28" s="1"/>
      <c r="E28" s="1"/>
      <c r="U28" s="50"/>
      <c r="V28" s="50"/>
      <c r="W28" s="50"/>
    </row>
    <row r="29" spans="2:106" x14ac:dyDescent="0.2">
      <c r="C29" s="1"/>
      <c r="D29" s="1"/>
      <c r="E29" s="1"/>
    </row>
  </sheetData>
  <mergeCells count="19">
    <mergeCell ref="CZ5:DB5"/>
    <mergeCell ref="C5:E5"/>
    <mergeCell ref="G5:J5"/>
    <mergeCell ref="L5:N5"/>
    <mergeCell ref="P5:S5"/>
    <mergeCell ref="U5:W5"/>
    <mergeCell ref="Y5:AD5"/>
    <mergeCell ref="AF5:AH5"/>
    <mergeCell ref="AJ5:AN5"/>
    <mergeCell ref="AA6:AB6"/>
    <mergeCell ref="BT4:CF4"/>
    <mergeCell ref="CH4:CT4"/>
    <mergeCell ref="CV4:CX4"/>
    <mergeCell ref="G6:H6"/>
    <mergeCell ref="I6:J6"/>
    <mergeCell ref="P6:Q6"/>
    <mergeCell ref="R6:S6"/>
    <mergeCell ref="Y6:Z6"/>
    <mergeCell ref="AS5:BE5"/>
  </mergeCells>
  <conditionalFormatting sqref="G7:J25">
    <cfRule type="cellIs" dxfId="121" priority="1125" operator="greaterThan">
      <formula>0</formula>
    </cfRule>
    <cfRule type="cellIs" dxfId="120" priority="1126" operator="lessThan">
      <formula>0</formula>
    </cfRule>
  </conditionalFormatting>
  <conditionalFormatting sqref="P7:S25">
    <cfRule type="cellIs" dxfId="119" priority="1021" operator="greaterThan">
      <formula>0</formula>
    </cfRule>
    <cfRule type="cellIs" dxfId="118" priority="1022" operator="lessThan">
      <formula>0</formula>
    </cfRule>
  </conditionalFormatting>
  <conditionalFormatting sqref="Y7:AD25">
    <cfRule type="cellIs" dxfId="117" priority="902" operator="lessThan">
      <formula>0</formula>
    </cfRule>
    <cfRule type="cellIs" dxfId="116" priority="901" operator="greaterThan">
      <formula>0</formula>
    </cfRule>
  </conditionalFormatting>
  <conditionalFormatting sqref="AH7:AH25">
    <cfRule type="cellIs" dxfId="115" priority="859" operator="lessThan">
      <formula>0</formula>
    </cfRule>
    <cfRule type="cellIs" dxfId="114" priority="860" operator="greaterThan">
      <formula>0</formula>
    </cfRule>
  </conditionalFormatting>
  <conditionalFormatting sqref="AJ7:AN24">
    <cfRule type="cellIs" dxfId="113" priority="791" operator="lessThan">
      <formula>-10</formula>
    </cfRule>
    <cfRule type="cellIs" dxfId="112" priority="792" operator="greaterThan">
      <formula>10</formula>
    </cfRule>
    <cfRule type="cellIs" dxfId="111" priority="793" operator="lessThan">
      <formula>0</formula>
    </cfRule>
    <cfRule type="cellIs" dxfId="110" priority="794" operator="greaterThan">
      <formula>0</formula>
    </cfRule>
  </conditionalFormatting>
  <conditionalFormatting sqref="AJ25:AN25">
    <cfRule type="cellIs" dxfId="109" priority="788" operator="lessThan">
      <formula>0</formula>
    </cfRule>
    <cfRule type="cellIs" dxfId="108" priority="787" operator="greaterThan">
      <formula>0</formula>
    </cfRule>
  </conditionalFormatting>
  <pageMargins left="0.7" right="0.7" top="0.75" bottom="0.75" header="0.3" footer="0.3"/>
  <pageSetup orientation="portrait" verticalDpi="300" r:id="rId1"/>
  <customProperties>
    <customPr name="_pios_id" r:id="rId2"/>
    <customPr name="FPMExcelClientCellBasedFunctionStatus" r:id="rId3"/>
    <customPr name="FPMExcelClientRefreshTime" r:id="rId4"/>
  </customProperties>
  <ignoredErrors>
    <ignoredError sqref="BG26:BR26" formula="1"/>
  </ignoredErrors>
  <drawing r:id="rId5"/>
  <legacyDrawing r:id="rId6"/>
  <controls>
    <mc:AlternateContent xmlns:mc="http://schemas.openxmlformats.org/markup-compatibility/2006">
      <mc:Choice Requires="x14">
        <control shapeId="485377" r:id="rId7" name="FPMExcelClientSheetOptionstb1">
          <controlPr defaultSize="0" autoLine="0" autoPict="0" r:id="rId8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885825</xdr:colOff>
                <xdr:row>0</xdr:row>
                <xdr:rowOff>0</xdr:rowOff>
              </to>
            </anchor>
          </controlPr>
        </control>
      </mc:Choice>
      <mc:Fallback>
        <control shapeId="485377" r:id="rId7" name="FPMExcelClientSheetOptionstb1"/>
      </mc:Fallback>
    </mc:AlternateContent>
    <mc:AlternateContent xmlns:mc="http://schemas.openxmlformats.org/markup-compatibility/2006">
      <mc:Choice Requires="x14">
        <control shapeId="485378" r:id="rId9" name="MultipleReportManagerInfotb1">
          <controlPr defaultSize="0" autoLine="0" autoPict="0" r:id="rId10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885825</xdr:colOff>
                <xdr:row>0</xdr:row>
                <xdr:rowOff>0</xdr:rowOff>
              </to>
            </anchor>
          </controlPr>
        </control>
      </mc:Choice>
      <mc:Fallback>
        <control shapeId="485378" r:id="rId9" name="MultipleReportManagerInfotb1"/>
      </mc:Fallback>
    </mc:AlternateContent>
    <mc:AlternateContent xmlns:mc="http://schemas.openxmlformats.org/markup-compatibility/2006">
      <mc:Choice Requires="x14">
        <control shapeId="485379" r:id="rId11" name="ConnectionDescriptorsInfotb1">
          <controlPr defaultSize="0" autoLine="0" autoPict="0" r:id="rId12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885825</xdr:colOff>
                <xdr:row>0</xdr:row>
                <xdr:rowOff>0</xdr:rowOff>
              </to>
            </anchor>
          </controlPr>
        </control>
      </mc:Choice>
      <mc:Fallback>
        <control shapeId="485379" r:id="rId11" name="ConnectionDescriptorsInfotb1"/>
      </mc:Fallback>
    </mc:AlternateContent>
    <mc:AlternateContent xmlns:mc="http://schemas.openxmlformats.org/markup-compatibility/2006">
      <mc:Choice Requires="x14">
        <control shapeId="485380" r:id="rId13" name="AnalyzerDynReport000tb1">
          <controlPr defaultSize="0" autoLine="0" autoPict="0" r:id="rId14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885825</xdr:colOff>
                <xdr:row>0</xdr:row>
                <xdr:rowOff>0</xdr:rowOff>
              </to>
            </anchor>
          </controlPr>
        </control>
      </mc:Choice>
      <mc:Fallback>
        <control shapeId="485380" r:id="rId13" name="AnalyzerDynReport000tb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702D48-3B58-4688-BAA1-E7355FE5187B}">
          <x14:formula1>
            <xm:f>Mapping!$D$2:$D$13</xm:f>
          </x14:formula1>
          <xm:sqref>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369CC-CAE1-4FFB-BE7E-0F80674D9039}">
  <sheetPr codeName="Sheet95">
    <tabColor rgb="FF50B47F"/>
  </sheetPr>
  <dimension ref="A1:CE116"/>
  <sheetViews>
    <sheetView showGridLines="0" topLeftCell="D35" zoomScale="85" zoomScaleNormal="85" workbookViewId="0">
      <selection activeCell="E2" sqref="E2"/>
    </sheetView>
  </sheetViews>
  <sheetFormatPr defaultColWidth="8.7109375" defaultRowHeight="12.75" outlineLevelCol="1" x14ac:dyDescent="0.2"/>
  <cols>
    <col min="1" max="1" width="26.42578125" style="1" hidden="1" customWidth="1" outlineLevel="1"/>
    <col min="2" max="2" width="19.140625" style="1" hidden="1" customWidth="1" outlineLevel="1"/>
    <col min="3" max="3" width="8.140625" style="1" hidden="1" customWidth="1" outlineLevel="1"/>
    <col min="4" max="4" width="2.7109375" style="1" customWidth="1" collapsed="1"/>
    <col min="5" max="5" width="28.85546875" style="1" customWidth="1"/>
    <col min="6" max="17" width="11.7109375" style="1" customWidth="1"/>
    <col min="18" max="18" width="10.28515625" style="1" customWidth="1"/>
    <col min="19" max="19" width="2.28515625" style="1" customWidth="1"/>
    <col min="20" max="20" width="19" style="1" customWidth="1"/>
    <col min="21" max="24" width="8.7109375" style="1" customWidth="1"/>
    <col min="25" max="25" width="3" style="1" customWidth="1"/>
    <col min="26" max="26" width="19" style="1" customWidth="1"/>
    <col min="27" max="27" width="11" style="1" customWidth="1"/>
    <col min="28" max="30" width="8.7109375" style="1" customWidth="1"/>
    <col min="31" max="32" width="12.7109375" style="1" customWidth="1"/>
    <col min="33" max="33" width="28.42578125" style="1" hidden="1" customWidth="1" outlineLevel="1"/>
    <col min="34" max="34" width="15.5703125" style="1" hidden="1" customWidth="1" outlineLevel="1"/>
    <col min="35" max="35" width="9.85546875" style="1" hidden="1" customWidth="1" outlineLevel="1"/>
    <col min="36" max="36" width="9.42578125" style="1" hidden="1" customWidth="1" outlineLevel="1"/>
    <col min="37" max="37" width="10.140625" style="69" hidden="1" customWidth="1" outlineLevel="1"/>
    <col min="38" max="38" width="9.85546875" style="69" hidden="1" customWidth="1" outlineLevel="1"/>
    <col min="39" max="39" width="10.140625" style="69" hidden="1" customWidth="1" outlineLevel="1"/>
    <col min="40" max="41" width="9.42578125" style="69" hidden="1" customWidth="1" outlineLevel="1"/>
    <col min="42" max="42" width="10.140625" style="69" hidden="1" customWidth="1" outlineLevel="1"/>
    <col min="43" max="43" width="9.85546875" style="69" hidden="1" customWidth="1" outlineLevel="1"/>
    <col min="44" max="44" width="10.140625" style="69" hidden="1" customWidth="1" outlineLevel="1"/>
    <col min="45" max="46" width="9.85546875" style="69" hidden="1" customWidth="1" outlineLevel="1"/>
    <col min="47" max="47" width="11.28515625" style="69" hidden="1" customWidth="1" outlineLevel="1"/>
    <col min="48" max="48" width="9.42578125" style="69" hidden="1" customWidth="1" outlineLevel="1"/>
    <col min="49" max="49" width="10.140625" style="69" hidden="1" customWidth="1" outlineLevel="1"/>
    <col min="50" max="50" width="9.85546875" style="69" hidden="1" customWidth="1" outlineLevel="1"/>
    <col min="51" max="51" width="10.140625" style="69" hidden="1" customWidth="1" outlineLevel="1"/>
    <col min="52" max="52" width="9.42578125" style="69" hidden="1" customWidth="1" outlineLevel="1"/>
    <col min="53" max="53" width="9.140625" style="69" hidden="1" customWidth="1" outlineLevel="1"/>
    <col min="54" max="54" width="9.85546875" style="69" hidden="1" customWidth="1" outlineLevel="1"/>
    <col min="55" max="56" width="9.42578125" style="69" hidden="1" customWidth="1" outlineLevel="1"/>
    <col min="57" max="57" width="9.85546875" style="69" hidden="1" customWidth="1" outlineLevel="1"/>
    <col min="58" max="58" width="18.140625" style="69" hidden="1" customWidth="1" outlineLevel="1"/>
    <col min="59" max="59" width="17.7109375" style="69" hidden="1" customWidth="1" outlineLevel="1"/>
    <col min="60" max="71" width="10.7109375" style="69" hidden="1" customWidth="1" outlineLevel="1"/>
    <col min="72" max="72" width="17.42578125" style="69" customWidth="1" collapsed="1"/>
    <col min="73" max="73" width="12.7109375" style="69" customWidth="1"/>
    <col min="74" max="74" width="15.42578125" style="69" customWidth="1"/>
    <col min="75" max="208" width="9.7109375" style="1" customWidth="1"/>
    <col min="209" max="16384" width="8.7109375" style="1"/>
  </cols>
  <sheetData>
    <row r="1" spans="1:83" x14ac:dyDescent="0.2">
      <c r="J1" s="67"/>
      <c r="U1" s="29"/>
      <c r="AG1" s="68"/>
      <c r="AH1" s="68"/>
      <c r="AI1" s="68"/>
      <c r="AJ1" s="69"/>
      <c r="BW1" s="69"/>
      <c r="BX1" s="70"/>
      <c r="BY1" s="70"/>
      <c r="BZ1" s="70"/>
      <c r="CA1" s="70"/>
    </row>
    <row r="2" spans="1:83" ht="16.899999999999999" customHeight="1" x14ac:dyDescent="0.2">
      <c r="E2" s="4" t="s">
        <v>93</v>
      </c>
      <c r="I2" s="67"/>
      <c r="J2" s="67"/>
      <c r="K2" s="67"/>
      <c r="L2" s="67"/>
      <c r="M2" s="67"/>
      <c r="N2" s="72"/>
      <c r="O2" s="72"/>
      <c r="P2" s="67"/>
      <c r="Q2" s="67"/>
      <c r="R2" s="73"/>
      <c r="S2" s="74"/>
      <c r="AG2" s="68"/>
      <c r="AH2" s="68"/>
      <c r="AI2" s="68"/>
      <c r="AJ2" s="69"/>
    </row>
    <row r="3" spans="1:83" ht="10.15" customHeight="1" x14ac:dyDescent="0.35">
      <c r="E3" s="75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6"/>
      <c r="S3" s="74"/>
      <c r="AG3" s="68"/>
      <c r="AH3" s="68"/>
      <c r="AI3" s="68"/>
      <c r="AJ3" s="69"/>
    </row>
    <row r="4" spans="1:83" ht="17.25" customHeight="1" x14ac:dyDescent="0.25">
      <c r="E4" s="77"/>
      <c r="T4" s="78" t="s">
        <v>54</v>
      </c>
      <c r="Z4" s="78" t="s">
        <v>98</v>
      </c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BF4" s="6" t="s">
        <v>85</v>
      </c>
      <c r="BG4" s="6" t="s">
        <v>84</v>
      </c>
    </row>
    <row r="5" spans="1:83" ht="15.75" x14ac:dyDescent="0.25">
      <c r="E5" s="71" t="s">
        <v>54</v>
      </c>
      <c r="F5" s="79" t="str">
        <f>Mapping!$D$2</f>
        <v>Jan</v>
      </c>
      <c r="G5" s="79" t="str">
        <f>Mapping!$D$3</f>
        <v>Feb</v>
      </c>
      <c r="H5" s="79" t="str">
        <f>Mapping!$D$4</f>
        <v>Mar</v>
      </c>
      <c r="I5" s="79" t="str">
        <f>Mapping!$D$5</f>
        <v>Apr</v>
      </c>
      <c r="J5" s="79" t="str">
        <f>Mapping!$D$6</f>
        <v>May</v>
      </c>
      <c r="K5" s="79" t="str">
        <f>Mapping!$D$7</f>
        <v>Jun</v>
      </c>
      <c r="L5" s="79" t="str">
        <f>Mapping!$D$8</f>
        <v>Jul</v>
      </c>
      <c r="M5" s="79" t="str">
        <f>Mapping!$D$9</f>
        <v>Aug</v>
      </c>
      <c r="N5" s="79" t="str">
        <f>Mapping!$D$10</f>
        <v>Sep</v>
      </c>
      <c r="O5" s="79" t="str">
        <f>Mapping!$D$11</f>
        <v>Oct</v>
      </c>
      <c r="P5" s="79" t="str">
        <f>Mapping!$D$12</f>
        <v>Nov</v>
      </c>
      <c r="Q5" s="79" t="str">
        <f>Mapping!$D$13</f>
        <v>Dec</v>
      </c>
      <c r="R5" s="80" t="s">
        <v>14</v>
      </c>
      <c r="S5" s="81"/>
      <c r="T5" s="82" t="str">
        <f>Z5</f>
        <v>Forecast based on:</v>
      </c>
      <c r="U5" s="83"/>
      <c r="V5" s="84"/>
      <c r="W5" s="85" t="str">
        <f>AC5</f>
        <v>FY</v>
      </c>
      <c r="X5" s="85" t="str">
        <f>AD5</f>
        <v>vs. LO</v>
      </c>
      <c r="Y5" s="68"/>
      <c r="Z5" s="82" t="s">
        <v>19</v>
      </c>
      <c r="AA5" s="83"/>
      <c r="AB5" s="84"/>
      <c r="AC5" s="85" t="s">
        <v>14</v>
      </c>
      <c r="AD5" s="86" t="s">
        <v>20</v>
      </c>
      <c r="AE5" s="68"/>
      <c r="AF5" s="68"/>
      <c r="AG5" s="87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BF5" s="88">
        <f>Summary!$D$3</f>
        <v>7</v>
      </c>
      <c r="BG5" s="88">
        <f>BF5-1</f>
        <v>6</v>
      </c>
    </row>
    <row r="6" spans="1:83" ht="15" x14ac:dyDescent="0.25">
      <c r="A6" s="89">
        <f>Summary!$C$2-2</f>
        <v>2018</v>
      </c>
      <c r="B6" s="90" t="str">
        <f>Mapping!$B$2</f>
        <v>Actual</v>
      </c>
      <c r="E6" s="91" t="str">
        <f>A6&amp;" "&amp;B6</f>
        <v>2018 Actual</v>
      </c>
      <c r="F6" s="92">
        <f>SUMIFS('Units sold'!$E:$E,'Units sold'!$A:$A,$E$2,'Units sold'!$B:$B,F$5&amp;" "&amp;$A6,'Units sold'!$C:$C,"Periodic")</f>
        <v>44</v>
      </c>
      <c r="G6" s="92">
        <f>SUMIFS('Units sold'!$E:$E,'Units sold'!$A:$A,$E$2,'Units sold'!$B:$B,G$5&amp;" "&amp;$A6,'Units sold'!$C:$C,"Periodic")</f>
        <v>52</v>
      </c>
      <c r="H6" s="92">
        <f>SUMIFS('Units sold'!$E:$E,'Units sold'!$A:$A,$E$2,'Units sold'!$B:$B,H$5&amp;" "&amp;$A6,'Units sold'!$C:$C,"Periodic")</f>
        <v>82</v>
      </c>
      <c r="I6" s="92">
        <f>SUMIFS('Units sold'!$E:$E,'Units sold'!$A:$A,$E$2,'Units sold'!$B:$B,I$5&amp;" "&amp;$A6,'Units sold'!$C:$C,"Periodic")</f>
        <v>58</v>
      </c>
      <c r="J6" s="92">
        <f>SUMIFS('Units sold'!$E:$E,'Units sold'!$A:$A,$E$2,'Units sold'!$B:$B,J$5&amp;" "&amp;$A6,'Units sold'!$C:$C,"Periodic")</f>
        <v>62</v>
      </c>
      <c r="K6" s="92">
        <f>SUMIFS('Units sold'!$E:$E,'Units sold'!$A:$A,$E$2,'Units sold'!$B:$B,K$5&amp;" "&amp;$A6,'Units sold'!$C:$C,"Periodic")</f>
        <v>86</v>
      </c>
      <c r="L6" s="92">
        <f>SUMIFS('Units sold'!$E:$E,'Units sold'!$A:$A,$E$2,'Units sold'!$B:$B,L$5&amp;" "&amp;$A6,'Units sold'!$C:$C,"Periodic")</f>
        <v>104</v>
      </c>
      <c r="M6" s="92">
        <f>SUMIFS('Units sold'!$E:$E,'Units sold'!$A:$A,$E$2,'Units sold'!$B:$B,M$5&amp;" "&amp;$A6,'Units sold'!$C:$C,"Periodic")</f>
        <v>72</v>
      </c>
      <c r="N6" s="92">
        <f>SUMIFS('Units sold'!$E:$E,'Units sold'!$A:$A,$E$2,'Units sold'!$B:$B,N$5&amp;" "&amp;$A6,'Units sold'!$C:$C,"Periodic")</f>
        <v>68</v>
      </c>
      <c r="O6" s="92">
        <f>SUMIFS('Units sold'!$E:$E,'Units sold'!$A:$A,$E$2,'Units sold'!$B:$B,O$5&amp;" "&amp;$A6,'Units sold'!$C:$C,"Periodic")</f>
        <v>64</v>
      </c>
      <c r="P6" s="92">
        <f>SUMIFS('Units sold'!$E:$E,'Units sold'!$A:$A,$E$2,'Units sold'!$B:$B,P$5&amp;" "&amp;$A6,'Units sold'!$C:$C,"Periodic")</f>
        <v>94</v>
      </c>
      <c r="Q6" s="92">
        <f>SUMIFS('Units sold'!$E:$E,'Units sold'!$A:$A,$E$2,'Units sold'!$B:$B,Q$5&amp;" "&amp;$A6,'Units sold'!$C:$C,"Periodic")</f>
        <v>88</v>
      </c>
      <c r="R6" s="93">
        <f t="shared" ref="R6:R10" si="0">SUM(F6:Q6)</f>
        <v>874</v>
      </c>
      <c r="S6" s="94"/>
      <c r="T6" s="95" t="str">
        <f t="shared" ref="T6:T9" si="1">Z6</f>
        <v>3-month Rolling Rate</v>
      </c>
      <c r="U6" s="96"/>
      <c r="V6" s="97"/>
      <c r="W6" s="98">
        <f>(SUM(AR8:AT8)/3*Summary!$E$3)+R9</f>
        <v>662</v>
      </c>
      <c r="X6" s="99">
        <f>$W$6-$R$8</f>
        <v>-433.93028919999983</v>
      </c>
      <c r="Y6" s="68"/>
      <c r="Z6" s="95" t="s">
        <v>129</v>
      </c>
      <c r="AA6" s="96"/>
      <c r="AB6" s="97"/>
      <c r="AC6" s="98">
        <f>(SUM(AR9:AT9)/3*Summary!$E$3)+R16</f>
        <v>2203.3072247190003</v>
      </c>
      <c r="AD6" s="99">
        <f>$AC$6-$R$15</f>
        <v>-1477.9885337598048</v>
      </c>
      <c r="AE6" s="27"/>
      <c r="AF6" s="68"/>
      <c r="AG6" s="87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BF6" s="6" t="s">
        <v>27</v>
      </c>
      <c r="BG6" s="100">
        <v>1</v>
      </c>
      <c r="BH6" s="100">
        <v>2</v>
      </c>
      <c r="BI6" s="100">
        <v>3</v>
      </c>
      <c r="BJ6" s="100">
        <v>4</v>
      </c>
      <c r="BK6" s="100">
        <v>5</v>
      </c>
      <c r="BL6" s="100">
        <v>6</v>
      </c>
      <c r="BM6" s="100">
        <v>7</v>
      </c>
      <c r="BN6" s="100">
        <v>8</v>
      </c>
      <c r="BO6" s="100">
        <v>9</v>
      </c>
      <c r="BP6" s="100">
        <v>10</v>
      </c>
      <c r="BQ6" s="100">
        <v>11</v>
      </c>
      <c r="BR6" s="100">
        <v>12</v>
      </c>
    </row>
    <row r="7" spans="1:83" ht="15" x14ac:dyDescent="0.25">
      <c r="A7" s="89">
        <f>Summary!$C$2-1</f>
        <v>2019</v>
      </c>
      <c r="B7" s="90" t="str">
        <f>Mapping!$B$2</f>
        <v>Actual</v>
      </c>
      <c r="E7" s="91" t="str">
        <f>A7&amp;" "&amp;B7</f>
        <v>2019 Actual</v>
      </c>
      <c r="F7" s="92">
        <f>SUMIFS('Units sold'!$E:$E,'Units sold'!$A:$A,$E$2,'Units sold'!$B:$B,F$5&amp;" "&amp;$A7,'Units sold'!$C:$C,"Periodic")</f>
        <v>110</v>
      </c>
      <c r="G7" s="92">
        <f>SUMIFS('Units sold'!$E:$E,'Units sold'!$A:$A,$E$2,'Units sold'!$B:$B,G$5&amp;" "&amp;$A7,'Units sold'!$C:$C,"Periodic")</f>
        <v>78</v>
      </c>
      <c r="H7" s="92">
        <f>SUMIFS('Units sold'!$E:$E,'Units sold'!$A:$A,$E$2,'Units sold'!$B:$B,H$5&amp;" "&amp;$A7,'Units sold'!$C:$C,"Periodic")</f>
        <v>68</v>
      </c>
      <c r="I7" s="92">
        <f>SUMIFS('Units sold'!$E:$E,'Units sold'!$A:$A,$E$2,'Units sold'!$B:$B,I$5&amp;" "&amp;$A7,'Units sold'!$C:$C,"Periodic")</f>
        <v>76</v>
      </c>
      <c r="J7" s="92">
        <f>SUMIFS('Units sold'!$E:$E,'Units sold'!$A:$A,$E$2,'Units sold'!$B:$B,J$5&amp;" "&amp;$A7,'Units sold'!$C:$C,"Periodic")</f>
        <v>118</v>
      </c>
      <c r="K7" s="92">
        <f>SUMIFS('Units sold'!$E:$E,'Units sold'!$A:$A,$E$2,'Units sold'!$B:$B,K$5&amp;" "&amp;$A7,'Units sold'!$C:$C,"Periodic")</f>
        <v>66</v>
      </c>
      <c r="L7" s="92">
        <f>SUMIFS('Units sold'!$E:$E,'Units sold'!$A:$A,$E$2,'Units sold'!$B:$B,L$5&amp;" "&amp;$A7,'Units sold'!$C:$C,"Periodic")</f>
        <v>92</v>
      </c>
      <c r="M7" s="92">
        <f>SUMIFS('Units sold'!$E:$E,'Units sold'!$A:$A,$E$2,'Units sold'!$B:$B,M$5&amp;" "&amp;$A7,'Units sold'!$C:$C,"Periodic")</f>
        <v>72</v>
      </c>
      <c r="N7" s="92">
        <f>SUMIFS('Units sold'!$E:$E,'Units sold'!$A:$A,$E$2,'Units sold'!$B:$B,N$5&amp;" "&amp;$A7,'Units sold'!$C:$C,"Periodic")</f>
        <v>92</v>
      </c>
      <c r="O7" s="92">
        <f>SUMIFS('Units sold'!$E:$E,'Units sold'!$A:$A,$E$2,'Units sold'!$B:$B,O$5&amp;" "&amp;$A7,'Units sold'!$C:$C,"Periodic")</f>
        <v>58</v>
      </c>
      <c r="P7" s="92">
        <f>SUMIFS('Units sold'!$E:$E,'Units sold'!$A:$A,$E$2,'Units sold'!$B:$B,P$5&amp;" "&amp;$A7,'Units sold'!$C:$C,"Periodic")</f>
        <v>86</v>
      </c>
      <c r="Q7" s="92">
        <f>SUMIFS('Units sold'!$E:$E,'Units sold'!$A:$A,$E$2,'Units sold'!$B:$B,Q$5&amp;" "&amp;$A7,'Units sold'!$C:$C,"Periodic")</f>
        <v>64</v>
      </c>
      <c r="R7" s="93">
        <f t="shared" si="0"/>
        <v>980</v>
      </c>
      <c r="S7" s="94"/>
      <c r="T7" s="101" t="str">
        <f t="shared" si="1"/>
        <v>2020 Trend 6 months</v>
      </c>
      <c r="V7" s="102"/>
      <c r="W7" s="103">
        <f>BS22</f>
        <v>1197.7623016181817</v>
      </c>
      <c r="X7" s="99">
        <f>$W$7-$R$8</f>
        <v>101.83201241818188</v>
      </c>
      <c r="Y7" s="68"/>
      <c r="Z7" s="101" t="str">
        <f>A9&amp;" Trend 6 months"</f>
        <v>2020 Trend 6 months</v>
      </c>
      <c r="AB7" s="102"/>
      <c r="AC7" s="103">
        <f>BS40</f>
        <v>3934.6883310895209</v>
      </c>
      <c r="AD7" s="99">
        <f>$AC$7-$R$15</f>
        <v>253.39257261071589</v>
      </c>
      <c r="AE7" s="68"/>
      <c r="AF7" s="68"/>
      <c r="AG7" s="27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</row>
    <row r="8" spans="1:83" ht="15" x14ac:dyDescent="0.25">
      <c r="A8" s="89">
        <f>Summary!$C$2</f>
        <v>2020</v>
      </c>
      <c r="B8" s="90" t="str">
        <f>Mapping!$B$3</f>
        <v>Budget</v>
      </c>
      <c r="E8" s="105" t="str">
        <f>A8&amp;" "&amp;B8</f>
        <v>2020 Budget</v>
      </c>
      <c r="F8" s="106">
        <f>SUMIFS('Units sold'!$D:$D,'Units sold'!$A:$A,$E$2,'Units sold'!$B:$B,F$5&amp;" "&amp;$A8,'Units sold'!$C:$C,"Periodic")</f>
        <v>93.437432400000006</v>
      </c>
      <c r="G8" s="106">
        <f>SUMIFS('Units sold'!$D:$D,'Units sold'!$A:$A,$E$2,'Units sold'!$B:$B,G$5&amp;" "&amp;$A8,'Units sold'!$C:$C,"Periodic")</f>
        <v>86.479723199999995</v>
      </c>
      <c r="H8" s="106">
        <f>SUMIFS('Units sold'!$D:$D,'Units sold'!$A:$A,$E$2,'Units sold'!$B:$B,H$5&amp;" "&amp;$A8,'Units sold'!$C:$C,"Periodic")</f>
        <v>91.714819399999996</v>
      </c>
      <c r="I8" s="106">
        <f>SUMIFS('Units sold'!$D:$D,'Units sold'!$A:$A,$E$2,'Units sold'!$B:$B,I$5&amp;" "&amp;$A8,'Units sold'!$C:$C,"Periodic")</f>
        <v>98.000650800000003</v>
      </c>
      <c r="J8" s="106">
        <f>SUMIFS('Units sold'!$D:$D,'Units sold'!$A:$A,$E$2,'Units sold'!$B:$B,J$5&amp;" "&amp;$A8,'Units sold'!$C:$C,"Periodic")</f>
        <v>94.174024200000005</v>
      </c>
      <c r="K8" s="106">
        <f>SUMIFS('Units sold'!$D:$D,'Units sold'!$A:$A,$E$2,'Units sold'!$B:$B,K$5&amp;" "&amp;$A8,'Units sold'!$C:$C,"Periodic")</f>
        <v>79.219369999999998</v>
      </c>
      <c r="L8" s="106">
        <f>SUMIFS('Units sold'!$D:$D,'Units sold'!$A:$A,$E$2,'Units sold'!$B:$B,L$5&amp;" "&amp;$A8,'Units sold'!$C:$C,"Periodic")</f>
        <v>98.918099799999993</v>
      </c>
      <c r="M8" s="106">
        <f>SUMIFS('Units sold'!$D:$D,'Units sold'!$A:$A,$E$2,'Units sold'!$B:$B,M$5&amp;" "&amp;$A8,'Units sold'!$C:$C,"Periodic")</f>
        <v>93.588292800000005</v>
      </c>
      <c r="N8" s="106">
        <f>SUMIFS('Units sold'!$D:$D,'Units sold'!$A:$A,$E$2,'Units sold'!$B:$B,N$5&amp;" "&amp;$A8,'Units sold'!$C:$C,"Periodic")</f>
        <v>91.0063028</v>
      </c>
      <c r="O8" s="106">
        <f>SUMIFS('Units sold'!$D:$D,'Units sold'!$A:$A,$E$2,'Units sold'!$B:$B,O$5&amp;" "&amp;$A8,'Units sold'!$C:$C,"Periodic")</f>
        <v>81.825674599999999</v>
      </c>
      <c r="P8" s="106">
        <f>SUMIFS('Units sold'!$D:$D,'Units sold'!$A:$A,$E$2,'Units sold'!$B:$B,P$5&amp;" "&amp;$A8,'Units sold'!$C:$C,"Periodic")</f>
        <v>97.164126800000005</v>
      </c>
      <c r="Q8" s="106">
        <f>SUMIFS('Units sold'!$D:$D,'Units sold'!$A:$A,$E$2,'Units sold'!$B:$B,Q$5&amp;" "&amp;$A8,'Units sold'!$C:$C,"Periodic")</f>
        <v>90.401772399999999</v>
      </c>
      <c r="R8" s="107">
        <f t="shared" si="0"/>
        <v>1095.9302891999998</v>
      </c>
      <c r="S8" s="94"/>
      <c r="T8" s="101" t="str">
        <f t="shared" si="1"/>
        <v>2020 Trend 12 months</v>
      </c>
      <c r="V8" s="102"/>
      <c r="W8" s="103">
        <f>BS23</f>
        <v>1138.8803943098039</v>
      </c>
      <c r="X8" s="99">
        <f>$W$8-$R$8</f>
        <v>42.950105109804099</v>
      </c>
      <c r="Y8" s="68"/>
      <c r="Z8" s="101" t="str">
        <f>A9&amp;" Trend 12 months"</f>
        <v>2020 Trend 12 months</v>
      </c>
      <c r="AB8" s="102"/>
      <c r="AC8" s="103">
        <f>BS41</f>
        <v>3717.7988240089821</v>
      </c>
      <c r="AD8" s="99">
        <f>$AC$8-$R$15</f>
        <v>36.503065530177082</v>
      </c>
      <c r="AE8" s="68"/>
      <c r="AF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BF8" s="6" t="s">
        <v>28</v>
      </c>
      <c r="BG8" s="11">
        <f t="shared" ref="BG8:BL8" si="2">IF($BF$5=BG6,1,0)</f>
        <v>0</v>
      </c>
      <c r="BH8" s="11">
        <f t="shared" si="2"/>
        <v>0</v>
      </c>
      <c r="BI8" s="11">
        <f t="shared" si="2"/>
        <v>0</v>
      </c>
      <c r="BJ8" s="11">
        <f t="shared" si="2"/>
        <v>0</v>
      </c>
      <c r="BK8" s="11">
        <f t="shared" si="2"/>
        <v>0</v>
      </c>
      <c r="BL8" s="11">
        <f t="shared" si="2"/>
        <v>0</v>
      </c>
      <c r="BM8" s="11">
        <f>IF($BF$5=BM6,1,0)</f>
        <v>1</v>
      </c>
      <c r="BN8" s="11">
        <f t="shared" ref="BN8:BR8" si="3">IF($BF$5=BN6,1,0)</f>
        <v>0</v>
      </c>
      <c r="BO8" s="11">
        <f t="shared" si="3"/>
        <v>0</v>
      </c>
      <c r="BP8" s="11">
        <f t="shared" si="3"/>
        <v>0</v>
      </c>
      <c r="BQ8" s="11">
        <f t="shared" si="3"/>
        <v>0</v>
      </c>
      <c r="BR8" s="11">
        <f t="shared" si="3"/>
        <v>0</v>
      </c>
    </row>
    <row r="9" spans="1:83" ht="15" x14ac:dyDescent="0.25">
      <c r="A9" s="89">
        <f>Summary!$C$2</f>
        <v>2020</v>
      </c>
      <c r="B9" s="90" t="str">
        <f>Mapping!$B$2</f>
        <v>Actual</v>
      </c>
      <c r="E9" s="91" t="str">
        <f>A9&amp;" "&amp;B9</f>
        <v>2020 Actual</v>
      </c>
      <c r="F9" s="108">
        <f>SUMIFS('Units sold'!$E:$E,'Units sold'!$A:$A,$E$2,'Units sold'!$B:$B,F$5&amp;" "&amp;$A9,'Units sold'!$C:$C,"Periodic")</f>
        <v>110</v>
      </c>
      <c r="G9" s="108">
        <f>SUMIFS('Units sold'!$E:$E,'Units sold'!$A:$A,$E$2,'Units sold'!$B:$B,G$5&amp;" "&amp;$A9,'Units sold'!$C:$C,"Periodic")</f>
        <v>76</v>
      </c>
      <c r="H9" s="108">
        <f>SUMIFS('Units sold'!$E:$E,'Units sold'!$A:$A,$E$2,'Units sold'!$B:$B,H$5&amp;" "&amp;$A9,'Units sold'!$C:$C,"Periodic")</f>
        <v>104</v>
      </c>
      <c r="I9" s="108">
        <f>SUMIFS('Units sold'!$E:$E,'Units sold'!$A:$A,$E$2,'Units sold'!$B:$B,I$5&amp;" "&amp;$A9,'Units sold'!$C:$C,"Periodic")</f>
        <v>74</v>
      </c>
      <c r="J9" s="108">
        <f>SUMIFS('Units sold'!$E:$E,'Units sold'!$A:$A,$E$2,'Units sold'!$B:$B,J$5&amp;" "&amp;$A9,'Units sold'!$C:$C,"Periodic")</f>
        <v>52</v>
      </c>
      <c r="K9" s="108">
        <f>SUMIFS('Units sold'!$E:$E,'Units sold'!$A:$A,$E$2,'Units sold'!$B:$B,K$5&amp;" "&amp;$A9,'Units sold'!$C:$C,"Periodic")</f>
        <v>124</v>
      </c>
      <c r="L9" s="108">
        <f>SUMIFS('Units sold'!$E:$E,'Units sold'!$A:$A,$E$2,'Units sold'!$B:$B,L$5&amp;" "&amp;$A9,'Units sold'!$C:$C,"Periodic")</f>
        <v>122</v>
      </c>
      <c r="M9" s="108">
        <f>SUMIFS('Units sold'!$E:$E,'Units sold'!$A:$A,$E$2,'Units sold'!$B:$B,M$5&amp;" "&amp;$A9,'Units sold'!$C:$C,"Periodic")</f>
        <v>0</v>
      </c>
      <c r="N9" s="108">
        <f>SUMIFS('Units sold'!$E:$E,'Units sold'!$A:$A,$E$2,'Units sold'!$B:$B,N$5&amp;" "&amp;$A9,'Units sold'!$C:$C,"Periodic")</f>
        <v>0</v>
      </c>
      <c r="O9" s="108">
        <f>SUMIFS('Units sold'!$E:$E,'Units sold'!$A:$A,$E$2,'Units sold'!$B:$B,O$5&amp;" "&amp;$A9,'Units sold'!$C:$C,"Periodic")</f>
        <v>0</v>
      </c>
      <c r="P9" s="108">
        <f>SUMIFS('Units sold'!$E:$E,'Units sold'!$A:$A,$E$2,'Units sold'!$B:$B,P$5&amp;" "&amp;$A9,'Units sold'!$C:$C,"Periodic")</f>
        <v>0</v>
      </c>
      <c r="Q9" s="108">
        <f>SUMIFS('Units sold'!$E:$E,'Units sold'!$A:$A,$E$2,'Units sold'!$B:$B,Q$5&amp;" "&amp;$A9,'Units sold'!$C:$C,"Periodic")</f>
        <v>0</v>
      </c>
      <c r="R9" s="109">
        <f t="shared" si="0"/>
        <v>662</v>
      </c>
      <c r="S9" s="94"/>
      <c r="T9" s="110" t="str">
        <f t="shared" si="1"/>
        <v>Prior Year exit rate (Q4 x 4)</v>
      </c>
      <c r="U9" s="111"/>
      <c r="V9" s="112"/>
      <c r="W9" s="113">
        <f>SUM($O$7:$Q$7)*4</f>
        <v>832</v>
      </c>
      <c r="X9" s="114">
        <f>$W$9-$R$8</f>
        <v>-263.93028919999983</v>
      </c>
      <c r="Y9" s="68"/>
      <c r="Z9" s="110" t="s">
        <v>130</v>
      </c>
      <c r="AA9" s="111"/>
      <c r="AB9" s="112"/>
      <c r="AC9" s="113">
        <f>SUM($O$14:$Q$14)*4</f>
        <v>2831.0564592256533</v>
      </c>
      <c r="AD9" s="114">
        <f>$AC$9-$R$15</f>
        <v>-850.23929925315178</v>
      </c>
      <c r="AE9" s="87"/>
      <c r="AF9" s="87"/>
      <c r="AG9" s="115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BF9" s="6" t="s">
        <v>28</v>
      </c>
      <c r="BG9" s="100">
        <f>SUM($BG8:BG8)</f>
        <v>0</v>
      </c>
      <c r="BH9" s="11">
        <f>SUM($BG8:BG8)</f>
        <v>0</v>
      </c>
      <c r="BI9" s="11">
        <f>SUM($BG8:BH8)</f>
        <v>0</v>
      </c>
      <c r="BJ9" s="11">
        <f>SUM($BG8:BI8)</f>
        <v>0</v>
      </c>
      <c r="BK9" s="11">
        <f>SUM($BG8:BJ8)</f>
        <v>0</v>
      </c>
      <c r="BL9" s="11">
        <f>SUM($BG8:BK8)</f>
        <v>0</v>
      </c>
      <c r="BM9" s="11">
        <f>SUM($BG8:BL8)</f>
        <v>0</v>
      </c>
      <c r="BN9" s="11">
        <f>SUM($BG8:BM8)</f>
        <v>1</v>
      </c>
      <c r="BO9" s="11">
        <f>SUM($BG8:BN8)</f>
        <v>1</v>
      </c>
      <c r="BP9" s="11">
        <f>SUM($BG8:BO8)</f>
        <v>1</v>
      </c>
      <c r="BQ9" s="11">
        <f>SUM($BG8:BP8)</f>
        <v>1</v>
      </c>
      <c r="BR9" s="11">
        <f>SUM($BG8:BQ8)</f>
        <v>1</v>
      </c>
    </row>
    <row r="10" spans="1:83" x14ac:dyDescent="0.2">
      <c r="E10" s="91" t="s">
        <v>34</v>
      </c>
      <c r="F10" s="116">
        <f t="shared" ref="F10:Q10" si="4">IF(F9=0,F17/F24,F9)</f>
        <v>110</v>
      </c>
      <c r="G10" s="116">
        <f t="shared" si="4"/>
        <v>76</v>
      </c>
      <c r="H10" s="116">
        <f t="shared" si="4"/>
        <v>104</v>
      </c>
      <c r="I10" s="116">
        <f t="shared" si="4"/>
        <v>74</v>
      </c>
      <c r="J10" s="116">
        <f t="shared" si="4"/>
        <v>52</v>
      </c>
      <c r="K10" s="116">
        <f t="shared" si="4"/>
        <v>124</v>
      </c>
      <c r="L10" s="116">
        <f t="shared" si="4"/>
        <v>122</v>
      </c>
      <c r="M10" s="116">
        <f t="shared" si="4"/>
        <v>87.182787242677961</v>
      </c>
      <c r="N10" s="116">
        <f t="shared" si="4"/>
        <v>95.080094527224773</v>
      </c>
      <c r="O10" s="116">
        <f t="shared" si="4"/>
        <v>96.684548547440144</v>
      </c>
      <c r="P10" s="116">
        <f t="shared" si="4"/>
        <v>96.684548553149241</v>
      </c>
      <c r="Q10" s="116">
        <f t="shared" si="4"/>
        <v>90.6070364467285</v>
      </c>
      <c r="R10" s="109">
        <f t="shared" si="0"/>
        <v>1128.2390153172205</v>
      </c>
      <c r="S10" s="94"/>
      <c r="T10" s="94"/>
      <c r="U10" s="94"/>
      <c r="V10" s="117"/>
      <c r="W10" s="68"/>
      <c r="X10" s="68"/>
      <c r="Y10" s="68"/>
      <c r="Z10" s="94"/>
      <c r="AA10" s="94"/>
      <c r="AB10" s="117"/>
      <c r="AC10" s="68"/>
      <c r="AD10" s="68"/>
      <c r="AE10" s="87"/>
      <c r="AF10" s="87"/>
      <c r="AG10" s="118"/>
      <c r="AH10" s="118"/>
      <c r="AI10" s="118"/>
      <c r="AJ10" s="118"/>
      <c r="AK10" s="118"/>
      <c r="AL10" s="1"/>
      <c r="BG10" s="119">
        <v>1</v>
      </c>
      <c r="BH10" s="119">
        <v>2</v>
      </c>
      <c r="BI10" s="119">
        <v>3</v>
      </c>
      <c r="BJ10" s="119">
        <v>4</v>
      </c>
      <c r="BK10" s="119">
        <v>5</v>
      </c>
      <c r="BL10" s="119">
        <v>6</v>
      </c>
      <c r="BM10" s="119">
        <v>7</v>
      </c>
      <c r="BN10" s="119">
        <v>8</v>
      </c>
      <c r="BO10" s="119">
        <v>9</v>
      </c>
      <c r="BP10" s="119">
        <v>10</v>
      </c>
      <c r="BQ10" s="119">
        <v>11</v>
      </c>
      <c r="BR10" s="119">
        <v>12</v>
      </c>
    </row>
    <row r="11" spans="1:83" ht="15.75" x14ac:dyDescent="0.25">
      <c r="D11" s="87"/>
      <c r="E11" s="59"/>
      <c r="G11" s="120"/>
      <c r="S11" s="94"/>
      <c r="AE11" s="87"/>
      <c r="AF11" s="87"/>
      <c r="AG11" s="118"/>
      <c r="AH11" s="118"/>
      <c r="AI11" s="118"/>
      <c r="AJ11" s="118"/>
      <c r="AK11" s="118"/>
      <c r="AL11" s="1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</row>
    <row r="12" spans="1:83" ht="15.75" x14ac:dyDescent="0.25">
      <c r="E12" s="121" t="s">
        <v>98</v>
      </c>
      <c r="F12" s="79" t="str">
        <f>F$5</f>
        <v>Jan</v>
      </c>
      <c r="G12" s="79" t="str">
        <f t="shared" ref="G12:Q12" si="5">G$5</f>
        <v>Feb</v>
      </c>
      <c r="H12" s="79" t="str">
        <f t="shared" si="5"/>
        <v>Mar</v>
      </c>
      <c r="I12" s="79" t="str">
        <f t="shared" si="5"/>
        <v>Apr</v>
      </c>
      <c r="J12" s="79" t="str">
        <f t="shared" si="5"/>
        <v>May</v>
      </c>
      <c r="K12" s="79" t="str">
        <f t="shared" si="5"/>
        <v>Jun</v>
      </c>
      <c r="L12" s="79" t="str">
        <f t="shared" si="5"/>
        <v>Jul</v>
      </c>
      <c r="M12" s="79" t="str">
        <f t="shared" si="5"/>
        <v>Aug</v>
      </c>
      <c r="N12" s="79" t="str">
        <f t="shared" si="5"/>
        <v>Sep</v>
      </c>
      <c r="O12" s="79" t="str">
        <f t="shared" si="5"/>
        <v>Oct</v>
      </c>
      <c r="P12" s="79" t="str">
        <f t="shared" si="5"/>
        <v>Nov</v>
      </c>
      <c r="Q12" s="79" t="str">
        <f t="shared" si="5"/>
        <v>Dec</v>
      </c>
      <c r="R12" s="80" t="s">
        <v>14</v>
      </c>
      <c r="T12" s="122" t="s">
        <v>86</v>
      </c>
      <c r="U12" s="123"/>
      <c r="V12" s="124" t="str">
        <f>AB12</f>
        <v>YTD</v>
      </c>
      <c r="W12" s="123" t="str">
        <f>AC12</f>
        <v>YTG</v>
      </c>
      <c r="X12" s="123" t="str">
        <f>AD12</f>
        <v>Delta</v>
      </c>
      <c r="Y12" s="125"/>
      <c r="Z12" s="122" t="s">
        <v>86</v>
      </c>
      <c r="AA12" s="123"/>
      <c r="AB12" s="124" t="s">
        <v>15</v>
      </c>
      <c r="AC12" s="123" t="s">
        <v>16</v>
      </c>
      <c r="AD12" s="123" t="s">
        <v>33</v>
      </c>
      <c r="AE12" s="87"/>
      <c r="AF12" s="126"/>
      <c r="AG12" s="127"/>
      <c r="AH12" s="128" t="s">
        <v>25</v>
      </c>
      <c r="AI12" s="69"/>
      <c r="AJ12" s="69"/>
      <c r="BC12" s="11">
        <f t="shared" ref="BC12:BR12" si="6">BB12+1</f>
        <v>1</v>
      </c>
      <c r="BD12" s="11">
        <f t="shared" si="6"/>
        <v>2</v>
      </c>
      <c r="BE12" s="11">
        <f t="shared" si="6"/>
        <v>3</v>
      </c>
      <c r="BF12" s="11">
        <f t="shared" si="6"/>
        <v>4</v>
      </c>
      <c r="BG12" s="11">
        <f t="shared" si="6"/>
        <v>5</v>
      </c>
      <c r="BH12" s="11">
        <f t="shared" si="6"/>
        <v>6</v>
      </c>
      <c r="BI12" s="11">
        <f t="shared" si="6"/>
        <v>7</v>
      </c>
      <c r="BJ12" s="11">
        <f t="shared" si="6"/>
        <v>8</v>
      </c>
      <c r="BK12" s="11">
        <f t="shared" si="6"/>
        <v>9</v>
      </c>
      <c r="BL12" s="11">
        <f t="shared" si="6"/>
        <v>10</v>
      </c>
      <c r="BM12" s="11">
        <f t="shared" si="6"/>
        <v>11</v>
      </c>
      <c r="BN12" s="11">
        <f t="shared" si="6"/>
        <v>12</v>
      </c>
      <c r="BO12" s="11">
        <f t="shared" si="6"/>
        <v>13</v>
      </c>
      <c r="BP12" s="11">
        <f t="shared" si="6"/>
        <v>14</v>
      </c>
      <c r="BQ12" s="11">
        <f t="shared" si="6"/>
        <v>15</v>
      </c>
      <c r="BR12" s="11">
        <f t="shared" si="6"/>
        <v>16</v>
      </c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</row>
    <row r="13" spans="1:83" ht="13.5" customHeight="1" x14ac:dyDescent="0.25">
      <c r="A13" s="89">
        <f>Summary!$C$2-2</f>
        <v>2018</v>
      </c>
      <c r="B13" s="90" t="str">
        <f>Mapping!$B$2</f>
        <v>Actual</v>
      </c>
      <c r="E13" s="91" t="str">
        <f>A13&amp;" "&amp;B13</f>
        <v>2018 Actual</v>
      </c>
      <c r="F13" s="129">
        <f>SUMIFS('Sales Data'!$E:$E,'Sales Data'!$A:$A,$E$2,'Sales Data'!$B:$B,F$12&amp;" "&amp;$A13,'Sales Data'!$C:$C,"Periodic")/1000</f>
        <v>150.41511694800002</v>
      </c>
      <c r="G13" s="129">
        <f>SUMIFS('Sales Data'!$E:$E,'Sales Data'!$A:$A,$E$2,'Sales Data'!$B:$B,G$12&amp;" "&amp;$A13,'Sales Data'!$C:$C,"Periodic")/1000</f>
        <v>201.71354200799999</v>
      </c>
      <c r="H13" s="129">
        <f>SUMIFS('Sales Data'!$E:$E,'Sales Data'!$A:$A,$E$2,'Sales Data'!$B:$B,H$12&amp;" "&amp;$A13,'Sales Data'!$C:$C,"Periodic")/1000</f>
        <v>287.478027849</v>
      </c>
      <c r="I13" s="129">
        <f>SUMIFS('Sales Data'!$E:$E,'Sales Data'!$A:$A,$E$2,'Sales Data'!$B:$B,I$12&amp;" "&amp;$A13,'Sales Data'!$C:$C,"Periodic")/1000</f>
        <v>207.07992603299999</v>
      </c>
      <c r="J13" s="129">
        <f>SUMIFS('Sales Data'!$E:$E,'Sales Data'!$A:$A,$E$2,'Sales Data'!$B:$B,J$12&amp;" "&amp;$A13,'Sales Data'!$C:$C,"Periodic")/1000</f>
        <v>204.97804298700001</v>
      </c>
      <c r="K13" s="129">
        <f>SUMIFS('Sales Data'!$E:$E,'Sales Data'!$A:$A,$E$2,'Sales Data'!$B:$B,K$12&amp;" "&amp;$A13,'Sales Data'!$C:$C,"Periodic")/1000</f>
        <v>262.35300348600003</v>
      </c>
      <c r="L13" s="129">
        <f>SUMIFS('Sales Data'!$E:$E,'Sales Data'!$A:$A,$E$2,'Sales Data'!$B:$B,L$12&amp;" "&amp;$A13,'Sales Data'!$C:$C,"Periodic")/1000</f>
        <v>361.307958912</v>
      </c>
      <c r="M13" s="129">
        <f>SUMIFS('Sales Data'!$E:$E,'Sales Data'!$A:$A,$E$2,'Sales Data'!$B:$B,M$12&amp;" "&amp;$A13,'Sales Data'!$C:$C,"Periodic")/1000</f>
        <v>243.98099895000001</v>
      </c>
      <c r="N13" s="129">
        <f>SUMIFS('Sales Data'!$E:$E,'Sales Data'!$A:$A,$E$2,'Sales Data'!$B:$B,N$12&amp;" "&amp;$A13,'Sales Data'!$C:$C,"Periodic")/1000</f>
        <v>227.50272576</v>
      </c>
      <c r="O13" s="129">
        <f>SUMIFS('Sales Data'!$E:$E,'Sales Data'!$A:$A,$E$2,'Sales Data'!$B:$B,O$12&amp;" "&amp;$A13,'Sales Data'!$C:$C,"Periodic")/1000</f>
        <v>230.25430985699998</v>
      </c>
      <c r="P13" s="129">
        <f>SUMIFS('Sales Data'!$E:$E,'Sales Data'!$A:$A,$E$2,'Sales Data'!$B:$B,P$12&amp;" "&amp;$A13,'Sales Data'!$C:$C,"Periodic")/1000</f>
        <v>342.65982948600004</v>
      </c>
      <c r="Q13" s="129">
        <f>SUMIFS('Sales Data'!$E:$E,'Sales Data'!$A:$A,$E$2,'Sales Data'!$B:$B,Q$12&amp;" "&amp;$A13,'Sales Data'!$C:$C,"Periodic")/1000</f>
        <v>284.45186488499996</v>
      </c>
      <c r="R13" s="93">
        <f t="shared" ref="R13:R17" si="7">SUM(F13:Q13)</f>
        <v>3004.175347161</v>
      </c>
      <c r="T13" s="101" t="str">
        <f>Z13</f>
        <v>GR%</v>
      </c>
      <c r="U13" s="130"/>
      <c r="V13" s="131">
        <f ca="1">IFERROR(($R$9/SUM(OFFSET(E7,,1,1,Summary!$D$3))-1),"")</f>
        <v>8.8815789473684292E-2</v>
      </c>
      <c r="W13" s="132">
        <f ca="1">((R8-R9)/(R7-SUM(OFFSET(E7,0,1,1,Summary!$D$3))))-1</f>
        <v>0.16647927204301038</v>
      </c>
      <c r="X13" s="133">
        <f ca="1">IFERROR(W13-V13,"")</f>
        <v>7.7663482569326092E-2</v>
      </c>
      <c r="Y13" s="125"/>
      <c r="Z13" s="134" t="s">
        <v>17</v>
      </c>
      <c r="AA13" s="135"/>
      <c r="AB13" s="131">
        <f ca="1">IFERROR(R16/SUM(OFFSET(E14,0,1,1,Summary!$D$3))-1,"")</f>
        <v>8.606657811501961E-2</v>
      </c>
      <c r="AC13" s="133">
        <f ca="1">IFERROR((R15-R16)/(R14-SUM(OFFSET(E14,0,1,1,Summary!$D$3)))-1,"")</f>
        <v>0.18602634877057889</v>
      </c>
      <c r="AD13" s="136">
        <f ca="1">IFERROR(AC13-AB13,"")</f>
        <v>9.9959770655559277E-2</v>
      </c>
      <c r="AE13" s="87"/>
      <c r="AF13" s="87"/>
      <c r="AG13" s="137"/>
      <c r="AH13" s="128" t="s">
        <v>91</v>
      </c>
      <c r="AI13" s="69"/>
      <c r="AJ13" s="69"/>
      <c r="AW13" s="11">
        <f t="shared" ref="AW13:BR13" si="8">AV13+1</f>
        <v>1</v>
      </c>
      <c r="AX13" s="11">
        <f t="shared" si="8"/>
        <v>2</v>
      </c>
      <c r="AY13" s="11">
        <f t="shared" si="8"/>
        <v>3</v>
      </c>
      <c r="AZ13" s="11">
        <f t="shared" si="8"/>
        <v>4</v>
      </c>
      <c r="BA13" s="11">
        <f t="shared" si="8"/>
        <v>5</v>
      </c>
      <c r="BB13" s="11">
        <f t="shared" si="8"/>
        <v>6</v>
      </c>
      <c r="BC13" s="11">
        <f t="shared" si="8"/>
        <v>7</v>
      </c>
      <c r="BD13" s="11">
        <f t="shared" si="8"/>
        <v>8</v>
      </c>
      <c r="BE13" s="11">
        <f t="shared" si="8"/>
        <v>9</v>
      </c>
      <c r="BF13" s="11">
        <f t="shared" si="8"/>
        <v>10</v>
      </c>
      <c r="BG13" s="11">
        <f t="shared" si="8"/>
        <v>11</v>
      </c>
      <c r="BH13" s="11">
        <f t="shared" si="8"/>
        <v>12</v>
      </c>
      <c r="BI13" s="11">
        <f t="shared" si="8"/>
        <v>13</v>
      </c>
      <c r="BJ13" s="11">
        <f t="shared" si="8"/>
        <v>14</v>
      </c>
      <c r="BK13" s="11">
        <f t="shared" si="8"/>
        <v>15</v>
      </c>
      <c r="BL13" s="11">
        <f t="shared" si="8"/>
        <v>16</v>
      </c>
      <c r="BM13" s="11">
        <f t="shared" si="8"/>
        <v>17</v>
      </c>
      <c r="BN13" s="11">
        <f t="shared" si="8"/>
        <v>18</v>
      </c>
      <c r="BO13" s="11">
        <f t="shared" si="8"/>
        <v>19</v>
      </c>
      <c r="BP13" s="11">
        <f t="shared" si="8"/>
        <v>20</v>
      </c>
      <c r="BQ13" s="11">
        <f t="shared" si="8"/>
        <v>21</v>
      </c>
      <c r="BR13" s="11">
        <f t="shared" si="8"/>
        <v>22</v>
      </c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</row>
    <row r="14" spans="1:83" ht="13.5" customHeight="1" x14ac:dyDescent="0.2">
      <c r="A14" s="89">
        <f>Summary!$C$2-1</f>
        <v>2019</v>
      </c>
      <c r="B14" s="90" t="str">
        <f>Mapping!$B$2</f>
        <v>Actual</v>
      </c>
      <c r="E14" s="91" t="str">
        <f>A14&amp;" "&amp;B14</f>
        <v>2019 Actual</v>
      </c>
      <c r="F14" s="129">
        <f>SUMIFS('Sales Data'!$E:$E,'Sales Data'!$A:$A,$E$2,'Sales Data'!$B:$B,F$12&amp;" "&amp;$A14,'Sales Data'!$C:$C,"Periodic")/1000</f>
        <v>331.4490467373322</v>
      </c>
      <c r="G14" s="129">
        <f>SUMIFS('Sales Data'!$E:$E,'Sales Data'!$A:$A,$E$2,'Sales Data'!$B:$B,G$12&amp;" "&amp;$A14,'Sales Data'!$C:$C,"Periodic")/1000</f>
        <v>192.22995172811426</v>
      </c>
      <c r="H14" s="129">
        <f>SUMIFS('Sales Data'!$E:$E,'Sales Data'!$A:$A,$E$2,'Sales Data'!$B:$B,H$12&amp;" "&amp;$A14,'Sales Data'!$C:$C,"Periodic")/1000</f>
        <v>293.89065448206242</v>
      </c>
      <c r="I14" s="129">
        <f>SUMIFS('Sales Data'!$E:$E,'Sales Data'!$A:$A,$E$2,'Sales Data'!$B:$B,I$12&amp;" "&amp;$A14,'Sales Data'!$C:$C,"Periodic")/1000</f>
        <v>298.23460000718501</v>
      </c>
      <c r="J14" s="129">
        <f>SUMIFS('Sales Data'!$E:$E,'Sales Data'!$A:$A,$E$2,'Sales Data'!$B:$B,J$12&amp;" "&amp;$A14,'Sales Data'!$C:$C,"Periodic")/1000</f>
        <v>370.87773730633921</v>
      </c>
      <c r="K14" s="129">
        <f>SUMIFS('Sales Data'!$E:$E,'Sales Data'!$A:$A,$E$2,'Sales Data'!$B:$B,K$12&amp;" "&amp;$A14,'Sales Data'!$C:$C,"Periodic")/1000</f>
        <v>211.52387079594456</v>
      </c>
      <c r="L14" s="129">
        <f>SUMIFS('Sales Data'!$E:$E,'Sales Data'!$A:$A,$E$2,'Sales Data'!$B:$B,L$12&amp;" "&amp;$A14,'Sales Data'!$C:$C,"Periodic")/1000</f>
        <v>330.4977830078887</v>
      </c>
      <c r="M14" s="129">
        <f>SUMIFS('Sales Data'!$E:$E,'Sales Data'!$A:$A,$E$2,'Sales Data'!$B:$B,M$12&amp;" "&amp;$A14,'Sales Data'!$C:$C,"Periodic")/1000</f>
        <v>207.34383916267058</v>
      </c>
      <c r="N14" s="129">
        <f>SUMIFS('Sales Data'!$E:$E,'Sales Data'!$A:$A,$E$2,'Sales Data'!$B:$B,N$12&amp;" "&amp;$A14,'Sales Data'!$C:$C,"Periodic")/1000</f>
        <v>331.0604260942003</v>
      </c>
      <c r="O14" s="129">
        <f>SUMIFS('Sales Data'!$E:$E,'Sales Data'!$A:$A,$E$2,'Sales Data'!$B:$B,O$12&amp;" "&amp;$A14,'Sales Data'!$C:$C,"Periodic")/1000</f>
        <v>191.55252713425921</v>
      </c>
      <c r="P14" s="129">
        <f>SUMIFS('Sales Data'!$E:$E,'Sales Data'!$A:$A,$E$2,'Sales Data'!$B:$B,P$12&amp;" "&amp;$A14,'Sales Data'!$C:$C,"Periodic")/1000</f>
        <v>319.95400557495987</v>
      </c>
      <c r="Q14" s="129">
        <f>SUMIFS('Sales Data'!$E:$E,'Sales Data'!$A:$A,$E$2,'Sales Data'!$B:$B,Q$12&amp;" "&amp;$A14,'Sales Data'!$C:$C,"Periodic")/1000</f>
        <v>196.25758209719424</v>
      </c>
      <c r="R14" s="93">
        <f t="shared" si="7"/>
        <v>3274.8720241281512</v>
      </c>
      <c r="T14" s="138" t="s">
        <v>87</v>
      </c>
      <c r="U14" s="139"/>
      <c r="V14" s="140">
        <f>IFERROR(R9/Summary!$D$3,"")</f>
        <v>94.571428571428569</v>
      </c>
      <c r="W14" s="141">
        <f>IFERROR((R8-R9)/Summary!$E$3,"")</f>
        <v>86.78605783999997</v>
      </c>
      <c r="X14" s="142">
        <f>IFERROR(W14-V14,"")</f>
        <v>-7.7853707314285998</v>
      </c>
      <c r="Y14" s="68"/>
      <c r="Z14" s="143" t="s">
        <v>18</v>
      </c>
      <c r="AA14" s="141"/>
      <c r="AB14" s="140">
        <f>R16/Summary!$D$3</f>
        <v>314.75817495985717</v>
      </c>
      <c r="AC14" s="141">
        <f>IFERROR((R15-R16)/Summary!$E$3,"")</f>
        <v>295.59770675196097</v>
      </c>
      <c r="AD14" s="144">
        <f>IFERROR(AC14-AB14,"")</f>
        <v>-19.160468207896201</v>
      </c>
      <c r="AE14" s="27"/>
      <c r="AF14" s="27"/>
      <c r="AG14" s="145" t="s">
        <v>54</v>
      </c>
      <c r="AH14" s="146"/>
      <c r="AI14" s="69"/>
      <c r="AJ14" s="69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</row>
    <row r="15" spans="1:83" ht="13.5" customHeight="1" x14ac:dyDescent="0.2">
      <c r="A15" s="89">
        <f>Summary!$C$2</f>
        <v>2020</v>
      </c>
      <c r="B15" s="90" t="str">
        <f>Mapping!$B$3</f>
        <v>Budget</v>
      </c>
      <c r="E15" s="105" t="str">
        <f>A15&amp;" "&amp;B15</f>
        <v>2020 Budget</v>
      </c>
      <c r="F15" s="106">
        <f>SUMIFS('Sales Data'!$D:$D,'Sales Data'!$A:$A,$E$2,'Sales Data'!$B:$B,F$12&amp;" "&amp;$A15,'Sales Data'!$C:$C,"Periodic")/1000</f>
        <v>293.6575727759772</v>
      </c>
      <c r="G15" s="106">
        <f>SUMIFS('Sales Data'!$D:$D,'Sales Data'!$A:$A,$E$2,'Sales Data'!$B:$B,G$12&amp;" "&amp;$A15,'Sales Data'!$C:$C,"Periodic")/1000</f>
        <v>265.52396073966685</v>
      </c>
      <c r="H15" s="106">
        <f>SUMIFS('Sales Data'!$D:$D,'Sales Data'!$A:$A,$E$2,'Sales Data'!$B:$B,H$12&amp;" "&amp;$A15,'Sales Data'!$C:$C,"Periodic")/1000</f>
        <v>301.56365258830016</v>
      </c>
      <c r="I15" s="106">
        <f>SUMIFS('Sales Data'!$D:$D,'Sales Data'!$A:$A,$E$2,'Sales Data'!$B:$B,I$12&amp;" "&amp;$A15,'Sales Data'!$C:$C,"Periodic")/1000</f>
        <v>314.80977038710188</v>
      </c>
      <c r="J15" s="106">
        <f>SUMIFS('Sales Data'!$D:$D,'Sales Data'!$A:$A,$E$2,'Sales Data'!$B:$B,J$12&amp;" "&amp;$A15,'Sales Data'!$C:$C,"Periodic")/1000</f>
        <v>313.88510500013734</v>
      </c>
      <c r="K15" s="106">
        <f>SUMIFS('Sales Data'!$D:$D,'Sales Data'!$A:$A,$E$2,'Sales Data'!$B:$B,K$12&amp;" "&amp;$A15,'Sales Data'!$C:$C,"Periodic")/1000</f>
        <v>310.39439777938253</v>
      </c>
      <c r="L15" s="106">
        <f>SUMIFS('Sales Data'!$D:$D,'Sales Data'!$A:$A,$E$2,'Sales Data'!$B:$B,L$12&amp;" "&amp;$A15,'Sales Data'!$C:$C,"Periodic")/1000</f>
        <v>329.69726462469686</v>
      </c>
      <c r="M15" s="106">
        <f>SUMIFS('Sales Data'!$D:$D,'Sales Data'!$A:$A,$E$2,'Sales Data'!$B:$B,M$12&amp;" "&amp;$A15,'Sales Data'!$C:$C,"Periodic")/1000</f>
        <v>290.16686556334116</v>
      </c>
      <c r="N15" s="106">
        <f>SUMIFS('Sales Data'!$D:$D,'Sales Data'!$A:$A,$E$2,'Sales Data'!$B:$B,N$12&amp;" "&amp;$A15,'Sales Data'!$C:$C,"Periodic")/1000</f>
        <v>316.4511468259816</v>
      </c>
      <c r="O15" s="106">
        <f>SUMIFS('Sales Data'!$D:$D,'Sales Data'!$A:$A,$E$2,'Sales Data'!$B:$B,O$12&amp;" "&amp;$A15,'Sales Data'!$C:$C,"Periodic")/1000</f>
        <v>321.79118479345891</v>
      </c>
      <c r="P15" s="106">
        <f>SUMIFS('Sales Data'!$D:$D,'Sales Data'!$A:$A,$E$2,'Sales Data'!$B:$B,P$12&amp;" "&amp;$A15,'Sales Data'!$C:$C,"Periodic")/1000</f>
        <v>321.79118481246024</v>
      </c>
      <c r="Q15" s="106">
        <f>SUMIFS('Sales Data'!$D:$D,'Sales Data'!$A:$A,$E$2,'Sales Data'!$B:$B,Q$12&amp;" "&amp;$A15,'Sales Data'!$C:$C,"Periodic")/1000</f>
        <v>301.56365258830016</v>
      </c>
      <c r="R15" s="107">
        <f t="shared" si="7"/>
        <v>3681.2957584788051</v>
      </c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G15" s="147" t="s">
        <v>29</v>
      </c>
      <c r="AI15" s="128" t="str">
        <f>'Bridges for Trends'!Y4</f>
        <v>Jan 2018</v>
      </c>
      <c r="AJ15" s="128" t="str">
        <f>'Bridges for Trends'!X4</f>
        <v>Feb 2018</v>
      </c>
      <c r="AK15" s="128" t="str">
        <f>'Bridges for Trends'!W4</f>
        <v>Mar 2018</v>
      </c>
      <c r="AL15" s="128" t="str">
        <f>'Bridges for Trends'!V4</f>
        <v>Apr 2018</v>
      </c>
      <c r="AM15" s="128" t="str">
        <f>'Bridges for Trends'!U4</f>
        <v>May 2018</v>
      </c>
      <c r="AN15" s="128" t="str">
        <f>'Bridges for Trends'!T4</f>
        <v>Jun 2018</v>
      </c>
      <c r="AO15" s="128" t="str">
        <f>'Bridges for Trends'!S4</f>
        <v>Jul 2018</v>
      </c>
      <c r="AP15" s="128" t="str">
        <f>'Bridges for Trends'!R4</f>
        <v>Aug 2018</v>
      </c>
      <c r="AQ15" s="128" t="str">
        <f>'Bridges for Trends'!Q4</f>
        <v>Sep 2018</v>
      </c>
      <c r="AR15" s="128" t="str">
        <f>'Bridges for Trends'!P4</f>
        <v>Oct 2018</v>
      </c>
      <c r="AS15" s="128" t="str">
        <f>'Bridges for Trends'!O4</f>
        <v>Nov 2018</v>
      </c>
      <c r="AT15" s="128" t="str">
        <f>'Bridges for Trends'!N4</f>
        <v>Dec 2018</v>
      </c>
      <c r="AU15" s="128" t="str">
        <f>'Bridges for Trends'!M4</f>
        <v>Jan 2019</v>
      </c>
      <c r="AV15" s="128" t="str">
        <f>'Bridges for Trends'!L4</f>
        <v>Feb 2019</v>
      </c>
      <c r="AW15" s="128" t="str">
        <f>'Bridges for Trends'!K4</f>
        <v>Mar 2019</v>
      </c>
      <c r="AX15" s="128" t="str">
        <f>'Bridges for Trends'!J4</f>
        <v>Apr 2019</v>
      </c>
      <c r="AY15" s="128" t="str">
        <f>'Bridges for Trends'!I4</f>
        <v>May 2019</v>
      </c>
      <c r="AZ15" s="128" t="str">
        <f>'Bridges for Trends'!H4</f>
        <v>Jun 2019</v>
      </c>
      <c r="BA15" s="128" t="str">
        <f>'Bridges for Trends'!G4</f>
        <v>Jul 2019</v>
      </c>
      <c r="BB15" s="128" t="str">
        <f>'Bridges for Trends'!F4</f>
        <v>Aug 2019</v>
      </c>
      <c r="BC15" s="128" t="str">
        <f>'Bridges for Trends'!E4</f>
        <v>Sep 2019</v>
      </c>
      <c r="BD15" s="128" t="str">
        <f>'Bridges for Trends'!D4</f>
        <v>Oct 2019</v>
      </c>
      <c r="BE15" s="128" t="str">
        <f>'Bridges for Trends'!C4</f>
        <v>Nov 2019</v>
      </c>
      <c r="BF15" s="128" t="str">
        <f>'Bridges for Trends'!B4</f>
        <v>Dec 2019</v>
      </c>
      <c r="BG15" s="128" t="str">
        <f>'Bridges for Trends'!A4</f>
        <v>Jan 2020</v>
      </c>
      <c r="BH15" s="128" t="str">
        <f>'Bridges for Trends'!A5</f>
        <v>Feb 2020</v>
      </c>
      <c r="BI15" s="128" t="str">
        <f>'Bridges for Trends'!A6</f>
        <v>Mar 2020</v>
      </c>
      <c r="BJ15" s="128" t="str">
        <f>'Bridges for Trends'!A7</f>
        <v>Apr 2020</v>
      </c>
      <c r="BK15" s="128" t="str">
        <f>'Bridges for Trends'!A8</f>
        <v>May 2020</v>
      </c>
      <c r="BL15" s="128" t="str">
        <f>'Bridges for Trends'!A9</f>
        <v>Jun 2020</v>
      </c>
      <c r="BM15" s="128" t="str">
        <f>'Bridges for Trends'!A10</f>
        <v>Jul 2020</v>
      </c>
      <c r="BN15" s="128" t="str">
        <f>'Bridges for Trends'!A11</f>
        <v>Aug 2020</v>
      </c>
      <c r="BO15" s="128" t="str">
        <f>'Bridges for Trends'!A12</f>
        <v>Sep 2020</v>
      </c>
      <c r="BP15" s="128" t="str">
        <f>'Bridges for Trends'!A13</f>
        <v>Oct 2020</v>
      </c>
      <c r="BQ15" s="128" t="str">
        <f>'Bridges for Trends'!A14</f>
        <v>Nov 2020</v>
      </c>
      <c r="BR15" s="128" t="str">
        <f>'Bridges for Trends'!A15</f>
        <v>Dec 2020</v>
      </c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</row>
    <row r="16" spans="1:83" ht="13.5" customHeight="1" x14ac:dyDescent="0.2">
      <c r="A16" s="89">
        <f>Summary!$C$2</f>
        <v>2020</v>
      </c>
      <c r="B16" s="90" t="str">
        <f>Mapping!$B$2</f>
        <v>Actual</v>
      </c>
      <c r="E16" s="91" t="str">
        <f>A16&amp;" "&amp;B16</f>
        <v>2020 Actual</v>
      </c>
      <c r="F16" s="148">
        <f>SUMIFS('Sales Data'!$E:$E,'Sales Data'!$A:$A,$E$2,'Sales Data'!$B:$B,F$12&amp;" "&amp;$A16,'Sales Data'!$C:$C,"Periodic")/1000</f>
        <v>346.82725108199998</v>
      </c>
      <c r="G16" s="148">
        <f>SUMIFS('Sales Data'!$E:$E,'Sales Data'!$A:$A,$E$2,'Sales Data'!$B:$B,G$12&amp;" "&amp;$A16,'Sales Data'!$C:$C,"Periodic")/1000</f>
        <v>238.79549961599997</v>
      </c>
      <c r="H16" s="148">
        <f>SUMIFS('Sales Data'!$E:$E,'Sales Data'!$A:$A,$E$2,'Sales Data'!$B:$B,H$12&amp;" "&amp;$A16,'Sales Data'!$C:$C,"Periodic")/1000</f>
        <v>350.51170027500001</v>
      </c>
      <c r="I16" s="148">
        <f>SUMIFS('Sales Data'!$E:$E,'Sales Data'!$A:$A,$E$2,'Sales Data'!$B:$B,I$12&amp;" "&amp;$A16,'Sales Data'!$C:$C,"Periodic")/1000</f>
        <v>268.37060003700003</v>
      </c>
      <c r="J16" s="148">
        <f>SUMIFS('Sales Data'!$E:$E,'Sales Data'!$A:$A,$E$2,'Sales Data'!$B:$B,J$12&amp;" "&amp;$A16,'Sales Data'!$C:$C,"Periodic")/1000</f>
        <v>198.77341220100004</v>
      </c>
      <c r="K16" s="148">
        <f>SUMIFS('Sales Data'!$E:$E,'Sales Data'!$A:$A,$E$2,'Sales Data'!$B:$B,K$12&amp;" "&amp;$A16,'Sales Data'!$C:$C,"Periodic")/1000</f>
        <v>451.48431072299996</v>
      </c>
      <c r="L16" s="148">
        <f>SUMIFS('Sales Data'!$E:$E,'Sales Data'!$A:$A,$E$2,'Sales Data'!$B:$B,L$12&amp;" "&amp;$A16,'Sales Data'!$C:$C,"Periodic")/1000</f>
        <v>348.54445078499998</v>
      </c>
      <c r="M16" s="148">
        <f>SUMIFS('Sales Data'!$E:$E,'Sales Data'!$A:$A,$E$2,'Sales Data'!$B:$B,M$12&amp;" "&amp;$A16,'Sales Data'!$C:$C,"Periodic")/1000</f>
        <v>0</v>
      </c>
      <c r="N16" s="148">
        <f>SUMIFS('Sales Data'!$E:$E,'Sales Data'!$A:$A,$E$2,'Sales Data'!$B:$B,N$12&amp;" "&amp;$A16,'Sales Data'!$C:$C,"Periodic")/1000</f>
        <v>0</v>
      </c>
      <c r="O16" s="148">
        <f>SUMIFS('Sales Data'!$E:$E,'Sales Data'!$A:$A,$E$2,'Sales Data'!$B:$B,O$12&amp;" "&amp;$A16,'Sales Data'!$C:$C,"Periodic")/1000</f>
        <v>0</v>
      </c>
      <c r="P16" s="148">
        <f>SUMIFS('Sales Data'!$E:$E,'Sales Data'!$A:$A,$E$2,'Sales Data'!$B:$B,P$12&amp;" "&amp;$A16,'Sales Data'!$C:$C,"Periodic")/1000</f>
        <v>0</v>
      </c>
      <c r="Q16" s="148">
        <f>SUMIFS('Sales Data'!$E:$E,'Sales Data'!$A:$A,$E$2,'Sales Data'!$B:$B,Q$12&amp;" "&amp;$A16,'Sales Data'!$C:$C,"Periodic")/1000</f>
        <v>0</v>
      </c>
      <c r="R16" s="109">
        <f t="shared" si="7"/>
        <v>2203.3072247190003</v>
      </c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115"/>
      <c r="AF16" s="115"/>
      <c r="AG16" s="118"/>
      <c r="AH16" s="149" t="s">
        <v>0</v>
      </c>
      <c r="AI16" s="150">
        <f>SUMIFS('Units sold'!$E:$E,'Units sold'!$A:$A,$E$2,'Units sold'!$B:$B,AI$15,'Units sold'!$C:$C,"Periodic")</f>
        <v>44</v>
      </c>
      <c r="AJ16" s="150">
        <f>SUMIFS('Units sold'!$E:$E,'Units sold'!$A:$A,$E$2,'Units sold'!$B:$B,AJ$15,'Units sold'!$C:$C,"Periodic")</f>
        <v>52</v>
      </c>
      <c r="AK16" s="150">
        <f>SUMIFS('Units sold'!$E:$E,'Units sold'!$A:$A,$E$2,'Units sold'!$B:$B,AK$15,'Units sold'!$C:$C,"Periodic")</f>
        <v>82</v>
      </c>
      <c r="AL16" s="150">
        <f>SUMIFS('Units sold'!$E:$E,'Units sold'!$A:$A,$E$2,'Units sold'!$B:$B,AL$15,'Units sold'!$C:$C,"Periodic")</f>
        <v>58</v>
      </c>
      <c r="AM16" s="150">
        <f>SUMIFS('Units sold'!$E:$E,'Units sold'!$A:$A,$E$2,'Units sold'!$B:$B,AM$15,'Units sold'!$C:$C,"Periodic")</f>
        <v>62</v>
      </c>
      <c r="AN16" s="150">
        <f>SUMIFS('Units sold'!$E:$E,'Units sold'!$A:$A,$E$2,'Units sold'!$B:$B,AN$15,'Units sold'!$C:$C,"Periodic")</f>
        <v>86</v>
      </c>
      <c r="AO16" s="150">
        <f>SUMIFS('Units sold'!$E:$E,'Units sold'!$A:$A,$E$2,'Units sold'!$B:$B,AO$15,'Units sold'!$C:$C,"Periodic")</f>
        <v>104</v>
      </c>
      <c r="AP16" s="150">
        <f>SUMIFS('Units sold'!$E:$E,'Units sold'!$A:$A,$E$2,'Units sold'!$B:$B,AP$15,'Units sold'!$C:$C,"Periodic")</f>
        <v>72</v>
      </c>
      <c r="AQ16" s="150">
        <f>SUMIFS('Units sold'!$E:$E,'Units sold'!$A:$A,$E$2,'Units sold'!$B:$B,AQ$15,'Units sold'!$C:$C,"Periodic")</f>
        <v>68</v>
      </c>
      <c r="AR16" s="150">
        <f>SUMIFS('Units sold'!$E:$E,'Units sold'!$A:$A,$E$2,'Units sold'!$B:$B,AR$15,'Units sold'!$C:$C,"Periodic")</f>
        <v>64</v>
      </c>
      <c r="AS16" s="150">
        <f>SUMIFS('Units sold'!$E:$E,'Units sold'!$A:$A,$E$2,'Units sold'!$B:$B,AS$15,'Units sold'!$C:$C,"Periodic")</f>
        <v>94</v>
      </c>
      <c r="AT16" s="150">
        <f>SUMIFS('Units sold'!$E:$E,'Units sold'!$A:$A,$E$2,'Units sold'!$B:$B,AT$15,'Units sold'!$C:$C,"Periodic")</f>
        <v>88</v>
      </c>
      <c r="AU16" s="150">
        <f>SUMIFS('Units sold'!$E:$E,'Units sold'!$A:$A,$E$2,'Units sold'!$B:$B,AU$15,'Units sold'!$C:$C,"Periodic")</f>
        <v>110</v>
      </c>
      <c r="AV16" s="150">
        <f>SUMIFS('Units sold'!$E:$E,'Units sold'!$A:$A,$E$2,'Units sold'!$B:$B,AV$15,'Units sold'!$C:$C,"Periodic")</f>
        <v>78</v>
      </c>
      <c r="AW16" s="150">
        <f>SUMIFS('Units sold'!$E:$E,'Units sold'!$A:$A,$E$2,'Units sold'!$B:$B,AW$15,'Units sold'!$C:$C,"Periodic")</f>
        <v>68</v>
      </c>
      <c r="AX16" s="150">
        <f>SUMIFS('Units sold'!$E:$E,'Units sold'!$A:$A,$E$2,'Units sold'!$B:$B,AX$15,'Units sold'!$C:$C,"Periodic")</f>
        <v>76</v>
      </c>
      <c r="AY16" s="150">
        <f>SUMIFS('Units sold'!$E:$E,'Units sold'!$A:$A,$E$2,'Units sold'!$B:$B,AY$15,'Units sold'!$C:$C,"Periodic")</f>
        <v>118</v>
      </c>
      <c r="AZ16" s="150">
        <f>SUMIFS('Units sold'!$E:$E,'Units sold'!$A:$A,$E$2,'Units sold'!$B:$B,AZ$15,'Units sold'!$C:$C,"Periodic")</f>
        <v>66</v>
      </c>
      <c r="BA16" s="150">
        <f>SUMIFS('Units sold'!$E:$E,'Units sold'!$A:$A,$E$2,'Units sold'!$B:$B,BA$15,'Units sold'!$C:$C,"Periodic")</f>
        <v>92</v>
      </c>
      <c r="BB16" s="150">
        <f>SUMIFS('Units sold'!$E:$E,'Units sold'!$A:$A,$E$2,'Units sold'!$B:$B,BB$15,'Units sold'!$C:$C,"Periodic")</f>
        <v>72</v>
      </c>
      <c r="BC16" s="150">
        <f>SUMIFS('Units sold'!$E:$E,'Units sold'!$A:$A,$E$2,'Units sold'!$B:$B,BC$15,'Units sold'!$C:$C,"Periodic")</f>
        <v>92</v>
      </c>
      <c r="BD16" s="150">
        <f>SUMIFS('Units sold'!$E:$E,'Units sold'!$A:$A,$E$2,'Units sold'!$B:$B,BD$15,'Units sold'!$C:$C,"Periodic")</f>
        <v>58</v>
      </c>
      <c r="BE16" s="150">
        <f>SUMIFS('Units sold'!$E:$E,'Units sold'!$A:$A,$E$2,'Units sold'!$B:$B,BE$15,'Units sold'!$C:$C,"Periodic")</f>
        <v>86</v>
      </c>
      <c r="BF16" s="150">
        <f>SUMIFS('Units sold'!$E:$E,'Units sold'!$A:$A,$E$2,'Units sold'!$B:$B,BF$15,'Units sold'!$C:$C,"Periodic")</f>
        <v>64</v>
      </c>
      <c r="BG16" s="150">
        <f>IF(OR(BG$8=1,BG$9=0),SUMIFS('Units sold'!$E:$E,'Units sold'!$A:$A,$E$2,'Units sold'!$B:$B,BG$15,'Units sold'!$C:$C,"Periodic"),"")</f>
        <v>110</v>
      </c>
      <c r="BH16" s="150">
        <f>IF(OR(BH$8=1,BH$9=0),SUMIFS('Units sold'!$E:$E,'Units sold'!$A:$A,$E$2,'Units sold'!$B:$B,BH$15,'Units sold'!$C:$C,"Periodic"),"")</f>
        <v>76</v>
      </c>
      <c r="BI16" s="150">
        <f>IF(OR(BI$8=1,BI$9=0),SUMIFS('Units sold'!$E:$E,'Units sold'!$A:$A,$E$2,'Units sold'!$B:$B,BI$15,'Units sold'!$C:$C,"Periodic"),"")</f>
        <v>104</v>
      </c>
      <c r="BJ16" s="150">
        <f>IF(OR(BJ$8=1,BJ$9=0),SUMIFS('Units sold'!$E:$E,'Units sold'!$A:$A,$E$2,'Units sold'!$B:$B,BJ$15,'Units sold'!$C:$C,"Periodic"),"")</f>
        <v>74</v>
      </c>
      <c r="BK16" s="150">
        <f>IF(OR(BK$8=1,BK$9=0),SUMIFS('Units sold'!$E:$E,'Units sold'!$A:$A,$E$2,'Units sold'!$B:$B,BK$15,'Units sold'!$C:$C,"Periodic"),"")</f>
        <v>52</v>
      </c>
      <c r="BL16" s="150">
        <f>IF(OR(BL$8=1,BL$9=0),SUMIFS('Units sold'!$E:$E,'Units sold'!$A:$A,$E$2,'Units sold'!$B:$B,BL$15,'Units sold'!$C:$C,"Periodic"),"")</f>
        <v>124</v>
      </c>
      <c r="BM16" s="150">
        <f>IF(OR(BM$8=1,BM$9=0),SUMIFS('Units sold'!$E:$E,'Units sold'!$A:$A,$E$2,'Units sold'!$B:$B,BM$15,'Units sold'!$C:$C,"Periodic"),"")</f>
        <v>122</v>
      </c>
      <c r="BN16" s="150" t="str">
        <f>IF(OR(BN$8=1,BN$9=0),SUMIFS('Units sold'!$E:$E,'Units sold'!$A:$A,$E$2,'Units sold'!$B:$B,BN$15,'Units sold'!$C:$C,"Periodic"),"")</f>
        <v/>
      </c>
      <c r="BO16" s="150" t="str">
        <f>IF(OR(BO$8=1,BO$9=0),SUMIFS('Units sold'!$E:$E,'Units sold'!$A:$A,$E$2,'Units sold'!$B:$B,BO$15,'Units sold'!$C:$C,"Periodic"),"")</f>
        <v/>
      </c>
      <c r="BP16" s="150" t="str">
        <f>IF(OR(BP$8=1,BP$9=0),SUMIFS('Units sold'!$E:$E,'Units sold'!$A:$A,$E$2,'Units sold'!$B:$B,BP$15,'Units sold'!$C:$C,"Periodic"),"")</f>
        <v/>
      </c>
      <c r="BQ16" s="150" t="str">
        <f>IF(OR(BQ$8=1,BQ$9=0),SUMIFS('Units sold'!$E:$E,'Units sold'!$A:$A,$E$2,'Units sold'!$B:$B,BQ$15,'Units sold'!$C:$C,"Periodic"),"")</f>
        <v/>
      </c>
      <c r="BR16" s="150" t="str">
        <f>IF(OR(BR$8=1,BR$9=0),SUMIFS('Units sold'!$E:$E,'Units sold'!$A:$A,$E$2,'Units sold'!$B:$B,BR$15,'Units sold'!$C:$C,"Periodic"),"")</f>
        <v/>
      </c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</row>
    <row r="17" spans="1:83" s="69" customFormat="1" x14ac:dyDescent="0.2">
      <c r="A17" s="1"/>
      <c r="B17" s="1"/>
      <c r="C17" s="1"/>
      <c r="D17" s="1"/>
      <c r="E17" s="91" t="s">
        <v>34</v>
      </c>
      <c r="F17" s="148">
        <f t="shared" ref="F17:Q17" si="9">IF(F16&lt;&gt;0,F16,F15)</f>
        <v>346.82725108199998</v>
      </c>
      <c r="G17" s="148">
        <f t="shared" si="9"/>
        <v>238.79549961599997</v>
      </c>
      <c r="H17" s="148">
        <f t="shared" si="9"/>
        <v>350.51170027500001</v>
      </c>
      <c r="I17" s="148">
        <f t="shared" si="9"/>
        <v>268.37060003700003</v>
      </c>
      <c r="J17" s="148">
        <f t="shared" si="9"/>
        <v>198.77341220100004</v>
      </c>
      <c r="K17" s="148">
        <f t="shared" si="9"/>
        <v>451.48431072299996</v>
      </c>
      <c r="L17" s="148">
        <f t="shared" si="9"/>
        <v>348.54445078499998</v>
      </c>
      <c r="M17" s="148">
        <f t="shared" si="9"/>
        <v>290.16686556334116</v>
      </c>
      <c r="N17" s="148">
        <f t="shared" si="9"/>
        <v>316.4511468259816</v>
      </c>
      <c r="O17" s="148">
        <f t="shared" si="9"/>
        <v>321.79118479345891</v>
      </c>
      <c r="P17" s="148">
        <f t="shared" si="9"/>
        <v>321.79118481246024</v>
      </c>
      <c r="Q17" s="148">
        <f t="shared" si="9"/>
        <v>301.56365258830016</v>
      </c>
      <c r="R17" s="109">
        <f t="shared" si="7"/>
        <v>3755.0712593025423</v>
      </c>
      <c r="T17" s="122" t="s">
        <v>54</v>
      </c>
      <c r="U17" s="151" t="str">
        <f>AA17</f>
        <v>Q1</v>
      </c>
      <c r="V17" s="151" t="str">
        <f t="shared" ref="V17:X17" si="10">AB17</f>
        <v>Q2</v>
      </c>
      <c r="W17" s="151" t="str">
        <f t="shared" si="10"/>
        <v>Q3</v>
      </c>
      <c r="X17" s="123" t="str">
        <f t="shared" si="10"/>
        <v>Q4</v>
      </c>
      <c r="Y17" s="68"/>
      <c r="Z17" s="122" t="s">
        <v>82</v>
      </c>
      <c r="AA17" s="151" t="s">
        <v>21</v>
      </c>
      <c r="AB17" s="151" t="s">
        <v>22</v>
      </c>
      <c r="AC17" s="151" t="s">
        <v>23</v>
      </c>
      <c r="AD17" s="123" t="s">
        <v>24</v>
      </c>
      <c r="AE17" s="152"/>
      <c r="AF17" s="152"/>
      <c r="AG17" s="118"/>
      <c r="AH17" s="153" t="s">
        <v>1</v>
      </c>
      <c r="BG17" s="150" t="str">
        <f>IF(OR(BG$8=1,BG$9=1),SUMIFS('Units sold'!$D:$D,'Units sold'!$A:$A,$E$2,'Units sold'!$B:$B,BG$15,'Units sold'!$C:$C,"Periodic"),"")</f>
        <v/>
      </c>
      <c r="BH17" s="150" t="str">
        <f>IF(OR(BH$8=1,BH$9=1),SUMIFS('Units sold'!$D:$D,'Units sold'!$A:$A,$E$2,'Units sold'!$B:$B,BH$15,'Units sold'!$C:$C,"Periodic"),"")</f>
        <v/>
      </c>
      <c r="BI17" s="150" t="str">
        <f>IF(OR(BI$8=1,BI$9=1),SUMIFS('Units sold'!$D:$D,'Units sold'!$A:$A,$E$2,'Units sold'!$B:$B,BI$15,'Units sold'!$C:$C,"Periodic"),"")</f>
        <v/>
      </c>
      <c r="BJ17" s="150" t="str">
        <f>IF(OR(BJ$8=1,BJ$9=1),SUMIFS('Units sold'!$D:$D,'Units sold'!$A:$A,$E$2,'Units sold'!$B:$B,BJ$15,'Units sold'!$C:$C,"Periodic"),"")</f>
        <v/>
      </c>
      <c r="BK17" s="150" t="str">
        <f>IF(OR(BK$8=1,BK$9=1),SUMIFS('Units sold'!$D:$D,'Units sold'!$A:$A,$E$2,'Units sold'!$B:$B,BK$15,'Units sold'!$C:$C,"Periodic"),"")</f>
        <v/>
      </c>
      <c r="BL17" s="150" t="str">
        <f>IF(OR(BL$8=1,BL$9=1),SUMIFS('Units sold'!$D:$D,'Units sold'!$A:$A,$E$2,'Units sold'!$B:$B,BL$15,'Units sold'!$C:$C,"Periodic"),"")</f>
        <v/>
      </c>
      <c r="BM17" s="150">
        <f>IF(OR(BM$8=1,BM$9=1),SUMIFS('Units sold'!$D:$D,'Units sold'!$A:$A,$E$2,'Units sold'!$B:$B,BM$15,'Units sold'!$C:$C,"Periodic"),"")</f>
        <v>98.918099799999993</v>
      </c>
      <c r="BN17" s="150">
        <f>IF(OR(BN$8=1,BN$9=1),SUMIFS('Units sold'!$D:$D,'Units sold'!$A:$A,$E$2,'Units sold'!$B:$B,BN$15,'Units sold'!$C:$C,"Periodic"),"")</f>
        <v>93.588292800000005</v>
      </c>
      <c r="BO17" s="150">
        <f>IF(OR(BO$8=1,BO$9=1),SUMIFS('Units sold'!$D:$D,'Units sold'!$A:$A,$E$2,'Units sold'!$B:$B,BO$15,'Units sold'!$C:$C,"Periodic"),"")</f>
        <v>91.0063028</v>
      </c>
      <c r="BP17" s="150">
        <f>IF(OR(BP$8=1,BP$9=1),SUMIFS('Units sold'!$D:$D,'Units sold'!$A:$A,$E$2,'Units sold'!$B:$B,BP$15,'Units sold'!$C:$C,"Periodic"),"")</f>
        <v>81.825674599999999</v>
      </c>
      <c r="BQ17" s="150">
        <f>IF(OR(BQ$8=1,BQ$9=1),SUMIFS('Units sold'!$D:$D,'Units sold'!$A:$A,$E$2,'Units sold'!$B:$B,BQ$15,'Units sold'!$C:$C,"Periodic"),"")</f>
        <v>97.164126800000005</v>
      </c>
      <c r="BR17" s="150">
        <f>IF(OR(BR$8=1,BR$9=1),SUMIFS('Units sold'!$D:$D,'Units sold'!$A:$A,$E$2,'Units sold'!$B:$B,BR$15,'Units sold'!$C:$C,"Periodic"),"")</f>
        <v>90.401772399999999</v>
      </c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</row>
    <row r="18" spans="1:83" s="69" customFormat="1" x14ac:dyDescent="0.2">
      <c r="A18" s="1"/>
      <c r="B18" s="1"/>
      <c r="C18" s="1"/>
      <c r="D18" s="1"/>
      <c r="E18" s="118"/>
      <c r="T18" s="95" t="str">
        <f>E6</f>
        <v>2018 Actual</v>
      </c>
      <c r="U18" s="154">
        <f>SUM(F6:H6)</f>
        <v>178</v>
      </c>
      <c r="V18" s="154">
        <f>SUM(I6:K6)</f>
        <v>206</v>
      </c>
      <c r="W18" s="154">
        <f>SUM(L6:N6)</f>
        <v>244</v>
      </c>
      <c r="X18" s="155">
        <f>SUM(O6:Q6)</f>
        <v>246</v>
      </c>
      <c r="Y18" s="152"/>
      <c r="Z18" s="95" t="str">
        <f>+E13</f>
        <v>2018 Actual</v>
      </c>
      <c r="AA18" s="154">
        <f>SUM(F13:H13)</f>
        <v>639.60668680499998</v>
      </c>
      <c r="AB18" s="154">
        <f>SUM(I13:K13)</f>
        <v>674.41097250600001</v>
      </c>
      <c r="AC18" s="154">
        <f>SUM(L13:N13)</f>
        <v>832.79168362199994</v>
      </c>
      <c r="AD18" s="155">
        <f>SUM(O13:Q13)</f>
        <v>857.36600422799995</v>
      </c>
      <c r="AE18" s="152"/>
      <c r="AF18" s="152"/>
      <c r="AG18" s="9"/>
      <c r="AH18" s="156" t="s">
        <v>26</v>
      </c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8"/>
      <c r="BA18" s="158"/>
      <c r="BB18" s="158"/>
      <c r="BC18" s="158"/>
      <c r="BD18" s="158"/>
      <c r="BE18" s="158"/>
      <c r="BF18" s="158"/>
      <c r="BG18" s="159" t="str">
        <f>IF(BG$9,FORECAST(BG12,$AP16:BF16,$AP12:BF12), "")</f>
        <v/>
      </c>
      <c r="BH18" s="159" t="str">
        <f>IF(BH$9,FORECAST(BH12,$AP16:BG16,$AP12:BG12), "")</f>
        <v/>
      </c>
      <c r="BI18" s="159" t="str">
        <f>IF(BI$9,FORECAST(BI12,$AP16:BH16,$AP12:BH12), "")</f>
        <v/>
      </c>
      <c r="BJ18" s="159" t="str">
        <f>IF(BJ$9,FORECAST(BJ12,$AP16:BI16,$AP12:BI12), "")</f>
        <v/>
      </c>
      <c r="BK18" s="159" t="str">
        <f>IF(BK$9,FORECAST(BK12,$AP16:BJ16,$AP12:BJ12), "")</f>
        <v/>
      </c>
      <c r="BL18" s="159" t="str">
        <f>IF(BL$9,FORECAST(BL12,$AP16:BK16,$AP12:BK12), "")</f>
        <v/>
      </c>
      <c r="BM18" s="159" t="str">
        <f>IF(BM$9,FORECAST(BM12,$AP16:BL16,$AP12:BL12), "")</f>
        <v/>
      </c>
      <c r="BN18" s="159">
        <f>IF(BN$9,FORECAST(BN12,$AP16:BM16,$AP12:BM12), "")</f>
        <v>105.23636363636363</v>
      </c>
      <c r="BO18" s="159">
        <f>IF(BO$9,FORECAST(BO12,$AP16:BN16,$AP12:BN12), "")</f>
        <v>108.2</v>
      </c>
      <c r="BP18" s="159">
        <f>IF(BP$9,FORECAST(BP12,$AP16:BO16,$AP12:BO12), "")</f>
        <v>111.16363636363636</v>
      </c>
      <c r="BQ18" s="159">
        <f>IF(BQ$9,FORECAST(BQ12,$AP16:BP16,$AP12:BP12), "")</f>
        <v>114.12727272727273</v>
      </c>
      <c r="BR18" s="159">
        <f>IF(BR$9,FORECAST(BR12,$AP16:BQ16,$AP12:BQ12), "")</f>
        <v>117.09090909090909</v>
      </c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</row>
    <row r="19" spans="1:83" s="69" customFormat="1" ht="15.75" x14ac:dyDescent="0.2">
      <c r="A19" s="1"/>
      <c r="B19" s="1"/>
      <c r="C19" s="1"/>
      <c r="D19" s="1"/>
      <c r="E19" s="80" t="s">
        <v>99</v>
      </c>
      <c r="F19" s="79" t="str">
        <f t="shared" ref="F19:Q19" si="11">F$5</f>
        <v>Jan</v>
      </c>
      <c r="G19" s="79" t="str">
        <f t="shared" si="11"/>
        <v>Feb</v>
      </c>
      <c r="H19" s="79" t="str">
        <f t="shared" si="11"/>
        <v>Mar</v>
      </c>
      <c r="I19" s="79" t="str">
        <f t="shared" si="11"/>
        <v>Apr</v>
      </c>
      <c r="J19" s="79" t="str">
        <f t="shared" si="11"/>
        <v>May</v>
      </c>
      <c r="K19" s="79" t="str">
        <f t="shared" si="11"/>
        <v>Jun</v>
      </c>
      <c r="L19" s="79" t="str">
        <f t="shared" si="11"/>
        <v>Jul</v>
      </c>
      <c r="M19" s="79" t="str">
        <f t="shared" si="11"/>
        <v>Aug</v>
      </c>
      <c r="N19" s="79" t="str">
        <f t="shared" si="11"/>
        <v>Sep</v>
      </c>
      <c r="O19" s="79" t="str">
        <f t="shared" si="11"/>
        <v>Oct</v>
      </c>
      <c r="P19" s="79" t="str">
        <f t="shared" si="11"/>
        <v>Nov</v>
      </c>
      <c r="Q19" s="79" t="str">
        <f t="shared" si="11"/>
        <v>Dec</v>
      </c>
      <c r="R19" s="80" t="s">
        <v>14</v>
      </c>
      <c r="T19" s="101" t="str">
        <f>E7</f>
        <v>2019 Actual</v>
      </c>
      <c r="U19" s="137">
        <f>SUM(F7:H7)</f>
        <v>256</v>
      </c>
      <c r="V19" s="137">
        <f>SUM(I7:K7)</f>
        <v>260</v>
      </c>
      <c r="W19" s="137">
        <f>SUM(L7:N7)</f>
        <v>256</v>
      </c>
      <c r="X19" s="130">
        <f>SUM(O7:Q7)</f>
        <v>208</v>
      </c>
      <c r="Y19" s="152"/>
      <c r="Z19" s="101" t="str">
        <f>+E14</f>
        <v>2019 Actual</v>
      </c>
      <c r="AA19" s="137">
        <f>SUM(F14:H14)</f>
        <v>817.56965294750898</v>
      </c>
      <c r="AB19" s="137">
        <f>SUM(I14:K14)</f>
        <v>880.63620810946873</v>
      </c>
      <c r="AC19" s="137">
        <f>SUM(L14:N14)</f>
        <v>868.90204826475951</v>
      </c>
      <c r="AD19" s="130">
        <f>SUM(O14:Q14)</f>
        <v>707.76411480641332</v>
      </c>
      <c r="AE19" s="152"/>
      <c r="AF19" s="152"/>
      <c r="AG19" s="160"/>
      <c r="AH19" s="156" t="s">
        <v>90</v>
      </c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8"/>
      <c r="AZ19" s="158"/>
      <c r="BA19" s="158"/>
      <c r="BB19" s="158"/>
      <c r="BC19" s="158"/>
      <c r="BD19" s="158"/>
      <c r="BE19" s="158"/>
      <c r="BF19" s="158"/>
      <c r="BG19" s="159" t="str">
        <f>IF(BG$9,FORECAST(BG13,$AP16:BF16,$AP13:BF13), "")</f>
        <v/>
      </c>
      <c r="BH19" s="159" t="str">
        <f>IF(BH$9,FORECAST(BH13,$AP16:BG16,$AP13:BG13), "")</f>
        <v/>
      </c>
      <c r="BI19" s="159" t="str">
        <f>IF(BI$9,FORECAST(BI13,$AP16:BH16,$AP13:BH13), "")</f>
        <v/>
      </c>
      <c r="BJ19" s="159" t="str">
        <f>IF(BJ$9,FORECAST(BJ13,$AP16:BI16,$AP13:BI13), "")</f>
        <v/>
      </c>
      <c r="BK19" s="159" t="str">
        <f>IF(BK$9,FORECAST(BK13,$AP16:BJ16,$AP13:BJ13), "")</f>
        <v/>
      </c>
      <c r="BL19" s="159" t="str">
        <f>IF(BL$9,FORECAST(BL13,$AP16:BK16,$AP13:BK13), "")</f>
        <v/>
      </c>
      <c r="BM19" s="159" t="str">
        <f>IF(BM$9,FORECAST(BM13,$AP16:BL16,$AP13:BL13), "")</f>
        <v/>
      </c>
      <c r="BN19" s="159">
        <f>IF(BN$9,FORECAST(BN13,$AP16:BM16,$AP13:BM13), "")</f>
        <v>96.867647058823522</v>
      </c>
      <c r="BO19" s="159">
        <f>IF(BO$9,FORECAST(BO13,$AP16:BN16,$AP13:BN13), "")</f>
        <v>98.127450980392155</v>
      </c>
      <c r="BP19" s="159">
        <f>IF(BP$9,FORECAST(BP13,$AP16:BO16,$AP13:BO13), "")</f>
        <v>99.387254901960773</v>
      </c>
      <c r="BQ19" s="159">
        <f>IF(BQ$9,FORECAST(BQ13,$AP16:BP16,$AP13:BP13), "")</f>
        <v>100.64705882352941</v>
      </c>
      <c r="BR19" s="159">
        <f>IF(BR$9,FORECAST(BR13,$AP16:BQ16,$AP13:BQ13), "")</f>
        <v>101.90686274509804</v>
      </c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</row>
    <row r="20" spans="1:83" s="69" customFormat="1" x14ac:dyDescent="0.2">
      <c r="A20" s="1"/>
      <c r="B20" s="1"/>
      <c r="C20" s="1"/>
      <c r="D20" s="1"/>
      <c r="E20" s="161" t="str">
        <f>+E13</f>
        <v>2018 Actual</v>
      </c>
      <c r="F20" s="162">
        <f t="shared" ref="F20:R20" si="12">IFERROR(F13/F6,"")</f>
        <v>3.4185253851818187</v>
      </c>
      <c r="G20" s="162">
        <f t="shared" si="12"/>
        <v>3.8791065770769229</v>
      </c>
      <c r="H20" s="162">
        <f t="shared" si="12"/>
        <v>3.505829607914634</v>
      </c>
      <c r="I20" s="162">
        <f t="shared" si="12"/>
        <v>3.5703435522931035</v>
      </c>
      <c r="J20" s="162">
        <f t="shared" si="12"/>
        <v>3.3060974675322581</v>
      </c>
      <c r="K20" s="162">
        <f t="shared" si="12"/>
        <v>3.0506163196046514</v>
      </c>
      <c r="L20" s="162">
        <f t="shared" si="12"/>
        <v>3.4741149895384615</v>
      </c>
      <c r="M20" s="162">
        <f t="shared" si="12"/>
        <v>3.388624985416667</v>
      </c>
      <c r="N20" s="162">
        <f t="shared" si="12"/>
        <v>3.3456283199999999</v>
      </c>
      <c r="O20" s="162">
        <f t="shared" si="12"/>
        <v>3.5977235915156247</v>
      </c>
      <c r="P20" s="162">
        <f t="shared" si="12"/>
        <v>3.645317334957447</v>
      </c>
      <c r="Q20" s="162">
        <f t="shared" si="12"/>
        <v>3.2324075555113634</v>
      </c>
      <c r="R20" s="163">
        <f t="shared" si="12"/>
        <v>3.4372715642574372</v>
      </c>
      <c r="T20" s="101" t="str">
        <f>E8</f>
        <v>2020 Budget</v>
      </c>
      <c r="U20" s="137">
        <f>SUM(F8:H8)</f>
        <v>271.63197500000001</v>
      </c>
      <c r="V20" s="137">
        <f>SUM(I8:K8)</f>
        <v>271.39404500000001</v>
      </c>
      <c r="W20" s="137">
        <f>SUM(L8:N8)</f>
        <v>283.51269539999998</v>
      </c>
      <c r="X20" s="130">
        <f>SUM(O8:Q8)</f>
        <v>269.3915738</v>
      </c>
      <c r="Y20" s="152"/>
      <c r="Z20" s="101" t="str">
        <f>+E15</f>
        <v>2020 Budget</v>
      </c>
      <c r="AA20" s="137">
        <f>SUM(F15:H15)</f>
        <v>860.74518610394421</v>
      </c>
      <c r="AB20" s="137">
        <f>SUM(I15:K15)</f>
        <v>939.08927316662175</v>
      </c>
      <c r="AC20" s="137">
        <f>SUM(L15:N15)</f>
        <v>936.31527701401956</v>
      </c>
      <c r="AD20" s="130">
        <f>SUM(O15:Q15)</f>
        <v>945.14602219421931</v>
      </c>
      <c r="AE20" s="152"/>
      <c r="AF20" s="152"/>
      <c r="AG20" s="118"/>
      <c r="AH20" s="153" t="s">
        <v>1</v>
      </c>
      <c r="AI20" s="164"/>
      <c r="AJ20" s="164"/>
      <c r="AK20" s="164"/>
      <c r="AL20" s="1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65"/>
      <c r="BD20" s="165"/>
      <c r="BE20" s="165"/>
      <c r="BF20" s="165"/>
      <c r="BG20" s="150">
        <f>SUMIFS('Units sold'!$D:$D,'Units sold'!$A:$A,$E$2,'Units sold'!$B:$B,BG$15,'Units sold'!$C:$C,"Periodic")</f>
        <v>93.437432400000006</v>
      </c>
      <c r="BH20" s="150">
        <f>SUMIFS('Units sold'!$D:$D,'Units sold'!$A:$A,$E$2,'Units sold'!$B:$B,BH$15,'Units sold'!$C:$C,"Periodic")</f>
        <v>86.479723199999995</v>
      </c>
      <c r="BI20" s="150">
        <f>SUMIFS('Units sold'!$D:$D,'Units sold'!$A:$A,$E$2,'Units sold'!$B:$B,BI$15,'Units sold'!$C:$C,"Periodic")</f>
        <v>91.714819399999996</v>
      </c>
      <c r="BJ20" s="150">
        <f>SUMIFS('Units sold'!$D:$D,'Units sold'!$A:$A,$E$2,'Units sold'!$B:$B,BJ$15,'Units sold'!$C:$C,"Periodic")</f>
        <v>98.000650800000003</v>
      </c>
      <c r="BK20" s="150">
        <f>SUMIFS('Units sold'!$D:$D,'Units sold'!$A:$A,$E$2,'Units sold'!$B:$B,BK$15,'Units sold'!$C:$C,"Periodic")</f>
        <v>94.174024200000005</v>
      </c>
      <c r="BL20" s="150">
        <f>SUMIFS('Units sold'!$D:$D,'Units sold'!$A:$A,$E$2,'Units sold'!$B:$B,BL$15,'Units sold'!$C:$C,"Periodic")</f>
        <v>79.219369999999998</v>
      </c>
      <c r="BM20" s="150">
        <f>SUMIFS('Units sold'!$D:$D,'Units sold'!$A:$A,$E$2,'Units sold'!$B:$B,BM$15,'Units sold'!$C:$C,"Periodic")</f>
        <v>98.918099799999993</v>
      </c>
      <c r="BN20" s="150">
        <f>SUMIFS('Units sold'!$D:$D,'Units sold'!$A:$A,$E$2,'Units sold'!$B:$B,BN$15,'Units sold'!$C:$C,"Periodic")</f>
        <v>93.588292800000005</v>
      </c>
      <c r="BO20" s="150">
        <f>SUMIFS('Units sold'!$D:$D,'Units sold'!$A:$A,$E$2,'Units sold'!$B:$B,BO$15,'Units sold'!$C:$C,"Periodic")</f>
        <v>91.0063028</v>
      </c>
      <c r="BP20" s="150">
        <f>SUMIFS('Units sold'!$D:$D,'Units sold'!$A:$A,$E$2,'Units sold'!$B:$B,BP$15,'Units sold'!$C:$C,"Periodic")</f>
        <v>81.825674599999999</v>
      </c>
      <c r="BQ20" s="150">
        <f>SUMIFS('Units sold'!$D:$D,'Units sold'!$A:$A,$E$2,'Units sold'!$B:$B,BQ$15,'Units sold'!$C:$C,"Periodic")</f>
        <v>97.164126800000005</v>
      </c>
      <c r="BR20" s="150">
        <f>SUMIFS('Units sold'!$D:$D,'Units sold'!$A:$A,$E$2,'Units sold'!$B:$B,BR$15,'Units sold'!$C:$C,"Periodic")</f>
        <v>90.401772399999999</v>
      </c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</row>
    <row r="21" spans="1:83" s="69" customFormat="1" x14ac:dyDescent="0.2">
      <c r="A21" s="1"/>
      <c r="B21" s="1"/>
      <c r="C21" s="1"/>
      <c r="D21" s="1"/>
      <c r="E21" s="161" t="str">
        <f>+E14</f>
        <v>2019 Actual</v>
      </c>
      <c r="F21" s="162">
        <f t="shared" ref="F21:R21" si="13">IFERROR(F14/F7,"")</f>
        <v>3.0131731521575653</v>
      </c>
      <c r="G21" s="162">
        <f t="shared" si="13"/>
        <v>2.4644865606168493</v>
      </c>
      <c r="H21" s="162">
        <f t="shared" si="13"/>
        <v>4.3219213894420943</v>
      </c>
      <c r="I21" s="162">
        <f t="shared" si="13"/>
        <v>3.9241394737787503</v>
      </c>
      <c r="J21" s="162">
        <f t="shared" si="13"/>
        <v>3.1430316720876204</v>
      </c>
      <c r="K21" s="162">
        <f t="shared" si="13"/>
        <v>3.2049071332718873</v>
      </c>
      <c r="L21" s="162">
        <f t="shared" si="13"/>
        <v>3.5923672066074857</v>
      </c>
      <c r="M21" s="162">
        <f t="shared" si="13"/>
        <v>2.8797755439259802</v>
      </c>
      <c r="N21" s="162">
        <f t="shared" si="13"/>
        <v>3.5984828923282639</v>
      </c>
      <c r="O21" s="162">
        <f t="shared" si="13"/>
        <v>3.302629778176883</v>
      </c>
      <c r="P21" s="162">
        <f t="shared" si="13"/>
        <v>3.7203954136623238</v>
      </c>
      <c r="Q21" s="162">
        <f t="shared" si="13"/>
        <v>3.0665247202686601</v>
      </c>
      <c r="R21" s="163">
        <f t="shared" si="13"/>
        <v>3.3417061470695422</v>
      </c>
      <c r="T21" s="101" t="str">
        <f>E9</f>
        <v>2020 Actual</v>
      </c>
      <c r="U21" s="137">
        <f>SUM(F9:H9)</f>
        <v>290</v>
      </c>
      <c r="V21" s="137">
        <f>SUM(I9:K9)</f>
        <v>250</v>
      </c>
      <c r="W21" s="137">
        <f>SUM(L9:N9)</f>
        <v>122</v>
      </c>
      <c r="X21" s="130">
        <f>SUM(O9:Q9)</f>
        <v>0</v>
      </c>
      <c r="Y21" s="152"/>
      <c r="Z21" s="101" t="str">
        <f>+E16</f>
        <v>2020 Actual</v>
      </c>
      <c r="AA21" s="137">
        <f>SUM(F16:H16)</f>
        <v>936.13445097299996</v>
      </c>
      <c r="AB21" s="137">
        <f>SUM(I16:K16)</f>
        <v>918.62832296100009</v>
      </c>
      <c r="AC21" s="137">
        <f>SUM(L16:N16)</f>
        <v>348.54445078499998</v>
      </c>
      <c r="AD21" s="130">
        <f>SUM(O16:Q16)</f>
        <v>0</v>
      </c>
      <c r="AE21" s="118"/>
      <c r="AF21" s="118"/>
      <c r="AG21" s="118"/>
      <c r="AH21" s="153" t="s">
        <v>34</v>
      </c>
      <c r="AI21" s="118"/>
      <c r="AJ21" s="118"/>
      <c r="AK21" s="118"/>
      <c r="AL21" s="1"/>
      <c r="BD21" s="166"/>
      <c r="BE21" s="166"/>
      <c r="BF21" s="166"/>
      <c r="BG21" s="150" t="str">
        <f t="shared" ref="BG21:BR21" si="14">IF(OR(BG$8=1,BG$9=1),F10,"")</f>
        <v/>
      </c>
      <c r="BH21" s="150" t="str">
        <f t="shared" si="14"/>
        <v/>
      </c>
      <c r="BI21" s="150" t="str">
        <f t="shared" si="14"/>
        <v/>
      </c>
      <c r="BJ21" s="150" t="str">
        <f t="shared" si="14"/>
        <v/>
      </c>
      <c r="BK21" s="150" t="str">
        <f t="shared" si="14"/>
        <v/>
      </c>
      <c r="BL21" s="150" t="str">
        <f t="shared" si="14"/>
        <v/>
      </c>
      <c r="BM21" s="150">
        <f t="shared" si="14"/>
        <v>122</v>
      </c>
      <c r="BN21" s="150">
        <f t="shared" si="14"/>
        <v>87.182787242677961</v>
      </c>
      <c r="BO21" s="150">
        <f t="shared" si="14"/>
        <v>95.080094527224773</v>
      </c>
      <c r="BP21" s="150">
        <f t="shared" si="14"/>
        <v>96.684548547440144</v>
      </c>
      <c r="BQ21" s="150">
        <f t="shared" si="14"/>
        <v>96.684548553149241</v>
      </c>
      <c r="BR21" s="150">
        <f t="shared" si="14"/>
        <v>90.6070364467285</v>
      </c>
      <c r="BS21" s="165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</row>
    <row r="22" spans="1:83" s="69" customFormat="1" x14ac:dyDescent="0.2">
      <c r="A22" s="1"/>
      <c r="B22" s="1"/>
      <c r="C22" s="1"/>
      <c r="D22" s="1"/>
      <c r="E22" s="167" t="str">
        <f>+E15</f>
        <v>2020 Budget</v>
      </c>
      <c r="F22" s="168">
        <f t="shared" ref="F22:R22" si="15">IFERROR(F15/F8,"")</f>
        <v>3.1428257951143914</v>
      </c>
      <c r="G22" s="168">
        <f t="shared" si="15"/>
        <v>3.0703608998099439</v>
      </c>
      <c r="H22" s="168">
        <f t="shared" si="15"/>
        <v>3.2880580756865139</v>
      </c>
      <c r="I22" s="168">
        <f t="shared" si="15"/>
        <v>3.2123232633379804</v>
      </c>
      <c r="J22" s="168">
        <f t="shared" si="15"/>
        <v>3.333032730273167</v>
      </c>
      <c r="K22" s="168">
        <f t="shared" si="15"/>
        <v>3.9181629162082774</v>
      </c>
      <c r="L22" s="168">
        <f t="shared" si="15"/>
        <v>3.3330327340628605</v>
      </c>
      <c r="M22" s="168">
        <f t="shared" si="15"/>
        <v>3.1004611461759795</v>
      </c>
      <c r="N22" s="168">
        <f t="shared" si="15"/>
        <v>3.4772442906666634</v>
      </c>
      <c r="O22" s="168">
        <f t="shared" si="15"/>
        <v>3.9326432243487903</v>
      </c>
      <c r="P22" s="168">
        <f t="shared" si="15"/>
        <v>3.3118311810162866</v>
      </c>
      <c r="Q22" s="168">
        <f t="shared" si="15"/>
        <v>3.3358157100501735</v>
      </c>
      <c r="R22" s="169">
        <f t="shared" si="15"/>
        <v>3.3590601471249175</v>
      </c>
      <c r="T22" s="138" t="s">
        <v>34</v>
      </c>
      <c r="U22" s="170">
        <f>SUM(F10:H10)</f>
        <v>290</v>
      </c>
      <c r="V22" s="170">
        <f>SUM(I10:K10)</f>
        <v>250</v>
      </c>
      <c r="W22" s="170">
        <f>SUM(L10:N10)</f>
        <v>304.26288176990272</v>
      </c>
      <c r="X22" s="139">
        <f>SUM(O10:Q10)</f>
        <v>283.97613354731789</v>
      </c>
      <c r="Y22" s="118"/>
      <c r="Z22" s="138" t="s">
        <v>34</v>
      </c>
      <c r="AA22" s="170">
        <f>SUM(F17:H17)</f>
        <v>936.13445097299996</v>
      </c>
      <c r="AB22" s="170">
        <f>SUM(I17:K17)</f>
        <v>918.62832296100009</v>
      </c>
      <c r="AC22" s="170">
        <f>SUM(L17:N17)</f>
        <v>955.16246317432274</v>
      </c>
      <c r="AD22" s="139">
        <f>SUM(O17:Q17)</f>
        <v>945.14602219421931</v>
      </c>
      <c r="AE22" s="118"/>
      <c r="AF22" s="118"/>
      <c r="AG22" s="6" t="s">
        <v>30</v>
      </c>
      <c r="AH22" s="171" t="s">
        <v>26</v>
      </c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8"/>
      <c r="BA22" s="158"/>
      <c r="BB22" s="158"/>
      <c r="BC22" s="158"/>
      <c r="BD22" s="158"/>
      <c r="BE22" s="158"/>
      <c r="BF22" s="158"/>
      <c r="BG22" s="159">
        <f t="shared" ref="BG22:BR22" si="16">IF(BG18="",BG20,BG18)</f>
        <v>93.437432400000006</v>
      </c>
      <c r="BH22" s="159">
        <f t="shared" si="16"/>
        <v>86.479723199999995</v>
      </c>
      <c r="BI22" s="159">
        <f t="shared" si="16"/>
        <v>91.714819399999996</v>
      </c>
      <c r="BJ22" s="159">
        <f t="shared" si="16"/>
        <v>98.000650800000003</v>
      </c>
      <c r="BK22" s="159">
        <f t="shared" si="16"/>
        <v>94.174024200000005</v>
      </c>
      <c r="BL22" s="159">
        <f t="shared" si="16"/>
        <v>79.219369999999998</v>
      </c>
      <c r="BM22" s="159">
        <f t="shared" si="16"/>
        <v>98.918099799999993</v>
      </c>
      <c r="BN22" s="159">
        <f t="shared" si="16"/>
        <v>105.23636363636363</v>
      </c>
      <c r="BO22" s="159">
        <f t="shared" si="16"/>
        <v>108.2</v>
      </c>
      <c r="BP22" s="159">
        <f t="shared" si="16"/>
        <v>111.16363636363636</v>
      </c>
      <c r="BQ22" s="159">
        <f t="shared" si="16"/>
        <v>114.12727272727273</v>
      </c>
      <c r="BR22" s="159">
        <f t="shared" si="16"/>
        <v>117.09090909090909</v>
      </c>
      <c r="BS22" s="174">
        <f>SUM(BG22:BR22)</f>
        <v>1197.7623016181817</v>
      </c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</row>
    <row r="23" spans="1:83" s="69" customFormat="1" x14ac:dyDescent="0.2">
      <c r="A23" s="1"/>
      <c r="B23" s="1"/>
      <c r="C23" s="1"/>
      <c r="D23" s="1"/>
      <c r="E23" s="161" t="str">
        <f>+E16</f>
        <v>2020 Actual</v>
      </c>
      <c r="F23" s="172">
        <f t="shared" ref="F23:R23" si="17">IFERROR(F16/F9,"")</f>
        <v>3.1529750098363634</v>
      </c>
      <c r="G23" s="172">
        <f t="shared" si="17"/>
        <v>3.1420460475789471</v>
      </c>
      <c r="H23" s="172">
        <f t="shared" si="17"/>
        <v>3.3703048103365387</v>
      </c>
      <c r="I23" s="172">
        <f t="shared" si="17"/>
        <v>3.6266297302297303</v>
      </c>
      <c r="J23" s="172">
        <f t="shared" si="17"/>
        <v>3.8225656192500006</v>
      </c>
      <c r="K23" s="172">
        <f t="shared" si="17"/>
        <v>3.6410025058306448</v>
      </c>
      <c r="L23" s="172">
        <f t="shared" si="17"/>
        <v>2.8569217277459016</v>
      </c>
      <c r="M23" s="172" t="str">
        <f t="shared" si="17"/>
        <v/>
      </c>
      <c r="N23" s="172" t="str">
        <f t="shared" si="17"/>
        <v/>
      </c>
      <c r="O23" s="172" t="str">
        <f t="shared" si="17"/>
        <v/>
      </c>
      <c r="P23" s="172" t="str">
        <f t="shared" si="17"/>
        <v/>
      </c>
      <c r="Q23" s="172" t="str">
        <f t="shared" si="17"/>
        <v/>
      </c>
      <c r="R23" s="173">
        <f t="shared" si="17"/>
        <v>3.3282586476117828</v>
      </c>
      <c r="AE23" s="127"/>
      <c r="AF23" s="127"/>
      <c r="AG23" s="164"/>
      <c r="AH23" s="171" t="s">
        <v>90</v>
      </c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8"/>
      <c r="AZ23" s="158"/>
      <c r="BA23" s="158"/>
      <c r="BB23" s="158"/>
      <c r="BC23" s="158"/>
      <c r="BD23" s="158"/>
      <c r="BE23" s="158"/>
      <c r="BF23" s="158"/>
      <c r="BG23" s="159">
        <f t="shared" ref="BG23:BR23" si="18">IF(BG19="",BG20,BG19)</f>
        <v>93.437432400000006</v>
      </c>
      <c r="BH23" s="159">
        <f t="shared" si="18"/>
        <v>86.479723199999995</v>
      </c>
      <c r="BI23" s="159">
        <f t="shared" si="18"/>
        <v>91.714819399999996</v>
      </c>
      <c r="BJ23" s="159">
        <f t="shared" si="18"/>
        <v>98.000650800000003</v>
      </c>
      <c r="BK23" s="159">
        <f t="shared" si="18"/>
        <v>94.174024200000005</v>
      </c>
      <c r="BL23" s="159">
        <f t="shared" si="18"/>
        <v>79.219369999999998</v>
      </c>
      <c r="BM23" s="159">
        <f t="shared" si="18"/>
        <v>98.918099799999993</v>
      </c>
      <c r="BN23" s="159">
        <f t="shared" si="18"/>
        <v>96.867647058823522</v>
      </c>
      <c r="BO23" s="159">
        <f t="shared" si="18"/>
        <v>98.127450980392155</v>
      </c>
      <c r="BP23" s="159">
        <f t="shared" si="18"/>
        <v>99.387254901960773</v>
      </c>
      <c r="BQ23" s="159">
        <f t="shared" si="18"/>
        <v>100.64705882352941</v>
      </c>
      <c r="BR23" s="159">
        <f t="shared" si="18"/>
        <v>101.90686274509804</v>
      </c>
      <c r="BS23" s="174">
        <f>SUM(BG23:BR23)</f>
        <v>1138.8803943098039</v>
      </c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</row>
    <row r="24" spans="1:83" s="69" customFormat="1" x14ac:dyDescent="0.2">
      <c r="A24" s="1"/>
      <c r="B24" s="1"/>
      <c r="C24" s="1"/>
      <c r="D24" s="1"/>
      <c r="E24" s="161" t="str">
        <f>+E17</f>
        <v>Forecast</v>
      </c>
      <c r="F24" s="172">
        <f>IF(F23="",IFERROR(SUM(E17:$F17)/SUM(E10:$F10),""),F17/F10)</f>
        <v>3.1529750098363634</v>
      </c>
      <c r="G24" s="175">
        <f>IF(G23="",IFERROR(SUM(F17:$F17)/SUM(F10:$F10),""),G17/G10)</f>
        <v>3.1420460475789471</v>
      </c>
      <c r="H24" s="175">
        <f>IF(H23="",IFERROR(SUM($F17:G17)/SUM($F10:G10),""),H17/H10)</f>
        <v>3.3703048103365387</v>
      </c>
      <c r="I24" s="175">
        <f>IF(I23="",IFERROR(SUM($F17:H17)/SUM($F10:H10),""),I17/I10)</f>
        <v>3.6266297302297303</v>
      </c>
      <c r="J24" s="175">
        <f>IF(J23="",IFERROR(SUM($F17:I17)/SUM($F10:I10),""),J17/J10)</f>
        <v>3.8225656192500006</v>
      </c>
      <c r="K24" s="175">
        <f>IF(K23="",IFERROR(SUM($F17:J17)/SUM($F10:J10),""),K17/K10)</f>
        <v>3.6410025058306448</v>
      </c>
      <c r="L24" s="175">
        <f>IF(L23="",IFERROR(SUM($F17:K17)/SUM($F10:K10),""),L17/L10)</f>
        <v>2.8569217277459016</v>
      </c>
      <c r="M24" s="175">
        <f>IF(M23="",IFERROR(SUM($F17:L17)/SUM($F10:L10),""),M17/M10)</f>
        <v>3.3282586476117828</v>
      </c>
      <c r="N24" s="175">
        <f>IF(N23="",IFERROR(SUM($F17:M17)/SUM($F10:M10),""),N17/N10)</f>
        <v>3.3282586476117828</v>
      </c>
      <c r="O24" s="175">
        <f>IF(O23="",IFERROR(SUM($F17:N17)/SUM($F10:N10),""),O17/O10)</f>
        <v>3.3282586476117828</v>
      </c>
      <c r="P24" s="175">
        <f>IF(P23="",IFERROR(SUM($F17:O17)/SUM($F10:O10),""),P17/P10)</f>
        <v>3.3282586476117828</v>
      </c>
      <c r="Q24" s="175">
        <f>IF(Q23="",IFERROR(SUM($F17:P17)/SUM($F10:P10),""),Q17/Q10)</f>
        <v>3.3282586476117832</v>
      </c>
      <c r="R24" s="173">
        <f>IFERROR(R17/R10,"")</f>
        <v>3.3282586476117832</v>
      </c>
      <c r="T24" s="122" t="s">
        <v>97</v>
      </c>
      <c r="U24" s="151" t="str">
        <f>AA24</f>
        <v>Q1</v>
      </c>
      <c r="V24" s="151" t="str">
        <f t="shared" ref="V24:X24" si="19">AB24</f>
        <v>Q2</v>
      </c>
      <c r="W24" s="151" t="str">
        <f t="shared" si="19"/>
        <v>Q3</v>
      </c>
      <c r="X24" s="151" t="str">
        <f t="shared" si="19"/>
        <v>Q4</v>
      </c>
      <c r="Y24" s="127"/>
      <c r="Z24" s="122" t="s">
        <v>97</v>
      </c>
      <c r="AA24" s="151" t="s">
        <v>21</v>
      </c>
      <c r="AB24" s="151" t="s">
        <v>22</v>
      </c>
      <c r="AC24" s="151" t="s">
        <v>23</v>
      </c>
      <c r="AD24" s="123" t="s">
        <v>24</v>
      </c>
      <c r="AE24" s="137"/>
      <c r="AF24" s="137"/>
      <c r="AG24" s="6" t="s">
        <v>89</v>
      </c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</row>
    <row r="25" spans="1:83" s="69" customFormat="1" x14ac:dyDescent="0.2">
      <c r="A25" s="1"/>
      <c r="B25" s="1"/>
      <c r="C25" s="1"/>
      <c r="D25" s="1"/>
      <c r="T25" s="101" t="str">
        <f>"vs "&amp;$A$6</f>
        <v>vs 2018</v>
      </c>
      <c r="U25" s="176">
        <f t="shared" ref="U25:X26" si="20">IFERROR(U$21/U18-1,"")</f>
        <v>0.6292134831460674</v>
      </c>
      <c r="V25" s="176">
        <f t="shared" si="20"/>
        <v>0.21359223300970864</v>
      </c>
      <c r="W25" s="176">
        <f t="shared" si="20"/>
        <v>-0.5</v>
      </c>
      <c r="X25" s="136">
        <f t="shared" si="20"/>
        <v>-1</v>
      </c>
      <c r="Y25" s="137"/>
      <c r="Z25" s="101" t="str">
        <f>"vs "&amp;$A$6</f>
        <v>vs 2018</v>
      </c>
      <c r="AA25" s="176">
        <f t="shared" ref="AA25:AD26" si="21">IFERROR(AA$21/AA18-1,"")</f>
        <v>0.46360954362317952</v>
      </c>
      <c r="AB25" s="176">
        <f t="shared" si="21"/>
        <v>0.3621194796809557</v>
      </c>
      <c r="AC25" s="176">
        <f t="shared" si="21"/>
        <v>-0.58147462608043687</v>
      </c>
      <c r="AD25" s="136">
        <f t="shared" si="21"/>
        <v>-1</v>
      </c>
      <c r="AE25" s="137"/>
      <c r="AF25" s="137"/>
      <c r="AH25" s="118" t="str">
        <f>AH16</f>
        <v>Actual</v>
      </c>
      <c r="AU25" s="150">
        <f t="shared" ref="AU25:BR25" si="22">IF(AU16="",NA(),AU16)</f>
        <v>110</v>
      </c>
      <c r="AV25" s="150">
        <f t="shared" si="22"/>
        <v>78</v>
      </c>
      <c r="AW25" s="150">
        <f t="shared" si="22"/>
        <v>68</v>
      </c>
      <c r="AX25" s="150">
        <f t="shared" si="22"/>
        <v>76</v>
      </c>
      <c r="AY25" s="150">
        <f t="shared" si="22"/>
        <v>118</v>
      </c>
      <c r="AZ25" s="150">
        <f t="shared" si="22"/>
        <v>66</v>
      </c>
      <c r="BA25" s="150">
        <f t="shared" si="22"/>
        <v>92</v>
      </c>
      <c r="BB25" s="150">
        <f t="shared" si="22"/>
        <v>72</v>
      </c>
      <c r="BC25" s="150">
        <f t="shared" si="22"/>
        <v>92</v>
      </c>
      <c r="BD25" s="150">
        <f t="shared" si="22"/>
        <v>58</v>
      </c>
      <c r="BE25" s="150">
        <f t="shared" si="22"/>
        <v>86</v>
      </c>
      <c r="BF25" s="150">
        <f t="shared" si="22"/>
        <v>64</v>
      </c>
      <c r="BG25" s="150">
        <f t="shared" si="22"/>
        <v>110</v>
      </c>
      <c r="BH25" s="150">
        <f t="shared" si="22"/>
        <v>76</v>
      </c>
      <c r="BI25" s="150">
        <f t="shared" si="22"/>
        <v>104</v>
      </c>
      <c r="BJ25" s="150">
        <f t="shared" si="22"/>
        <v>74</v>
      </c>
      <c r="BK25" s="150">
        <f t="shared" si="22"/>
        <v>52</v>
      </c>
      <c r="BL25" s="150">
        <f t="shared" si="22"/>
        <v>124</v>
      </c>
      <c r="BM25" s="150">
        <f t="shared" si="22"/>
        <v>122</v>
      </c>
      <c r="BN25" s="150" t="e">
        <f t="shared" si="22"/>
        <v>#N/A</v>
      </c>
      <c r="BO25" s="150" t="e">
        <f t="shared" si="22"/>
        <v>#N/A</v>
      </c>
      <c r="BP25" s="150" t="e">
        <f t="shared" si="22"/>
        <v>#N/A</v>
      </c>
      <c r="BQ25" s="150" t="e">
        <f t="shared" si="22"/>
        <v>#N/A</v>
      </c>
      <c r="BR25" s="150" t="e">
        <f t="shared" si="22"/>
        <v>#N/A</v>
      </c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</row>
    <row r="26" spans="1:83" s="69" customForma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T26" s="101" t="str">
        <f>"vs "&amp;$A$7</f>
        <v>vs 2019</v>
      </c>
      <c r="U26" s="176">
        <f t="shared" si="20"/>
        <v>0.1328125</v>
      </c>
      <c r="V26" s="176">
        <f t="shared" si="20"/>
        <v>-3.8461538461538436E-2</v>
      </c>
      <c r="W26" s="176">
        <f t="shared" si="20"/>
        <v>-0.5234375</v>
      </c>
      <c r="X26" s="136">
        <f t="shared" si="20"/>
        <v>-1</v>
      </c>
      <c r="Y26" s="137"/>
      <c r="Z26" s="101" t="str">
        <f>"vs "&amp;$A$7</f>
        <v>vs 2019</v>
      </c>
      <c r="AA26" s="176">
        <f t="shared" si="21"/>
        <v>0.14502103594236915</v>
      </c>
      <c r="AB26" s="176">
        <f t="shared" si="21"/>
        <v>4.314166792334384E-2</v>
      </c>
      <c r="AC26" s="176">
        <f t="shared" si="21"/>
        <v>-0.59886796045531199</v>
      </c>
      <c r="AD26" s="136">
        <f t="shared" si="21"/>
        <v>-1</v>
      </c>
      <c r="AE26" s="137"/>
      <c r="AF26" s="137"/>
      <c r="AH26" s="118" t="str">
        <f>AH20</f>
        <v>Budget</v>
      </c>
      <c r="AU26" s="150" t="e">
        <f t="shared" ref="AU26:BR26" si="23">IF(AU17="",NA(),AU17)</f>
        <v>#N/A</v>
      </c>
      <c r="AV26" s="150" t="e">
        <f t="shared" si="23"/>
        <v>#N/A</v>
      </c>
      <c r="AW26" s="150" t="e">
        <f t="shared" si="23"/>
        <v>#N/A</v>
      </c>
      <c r="AX26" s="150" t="e">
        <f t="shared" si="23"/>
        <v>#N/A</v>
      </c>
      <c r="AY26" s="150" t="e">
        <f t="shared" si="23"/>
        <v>#N/A</v>
      </c>
      <c r="AZ26" s="150" t="e">
        <f t="shared" si="23"/>
        <v>#N/A</v>
      </c>
      <c r="BA26" s="150" t="e">
        <f t="shared" si="23"/>
        <v>#N/A</v>
      </c>
      <c r="BB26" s="150" t="e">
        <f t="shared" si="23"/>
        <v>#N/A</v>
      </c>
      <c r="BC26" s="150" t="e">
        <f t="shared" si="23"/>
        <v>#N/A</v>
      </c>
      <c r="BD26" s="150" t="e">
        <f t="shared" si="23"/>
        <v>#N/A</v>
      </c>
      <c r="BE26" s="150" t="e">
        <f t="shared" si="23"/>
        <v>#N/A</v>
      </c>
      <c r="BF26" s="150" t="e">
        <f t="shared" si="23"/>
        <v>#N/A</v>
      </c>
      <c r="BG26" s="150" t="e">
        <f t="shared" si="23"/>
        <v>#N/A</v>
      </c>
      <c r="BH26" s="150" t="e">
        <f t="shared" si="23"/>
        <v>#N/A</v>
      </c>
      <c r="BI26" s="150" t="e">
        <f t="shared" si="23"/>
        <v>#N/A</v>
      </c>
      <c r="BJ26" s="150" t="e">
        <f t="shared" si="23"/>
        <v>#N/A</v>
      </c>
      <c r="BK26" s="150" t="e">
        <f t="shared" si="23"/>
        <v>#N/A</v>
      </c>
      <c r="BL26" s="150" t="e">
        <f t="shared" si="23"/>
        <v>#N/A</v>
      </c>
      <c r="BM26" s="150">
        <f t="shared" si="23"/>
        <v>98.918099799999993</v>
      </c>
      <c r="BN26" s="150">
        <f t="shared" si="23"/>
        <v>93.588292800000005</v>
      </c>
      <c r="BO26" s="150">
        <f t="shared" si="23"/>
        <v>91.0063028</v>
      </c>
      <c r="BP26" s="150">
        <f t="shared" si="23"/>
        <v>81.825674599999999</v>
      </c>
      <c r="BQ26" s="150">
        <f t="shared" si="23"/>
        <v>97.164126800000005</v>
      </c>
      <c r="BR26" s="150">
        <f t="shared" si="23"/>
        <v>90.401772399999999</v>
      </c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</row>
    <row r="27" spans="1:83" s="69" customForma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T27" s="138" t="str">
        <f>"Forecast "&amp;"vs. "&amp;$A$7</f>
        <v>Forecast vs. 2019</v>
      </c>
      <c r="U27" s="177">
        <f>IFERROR(U22/U19-1,"")</f>
        <v>0.1328125</v>
      </c>
      <c r="V27" s="177">
        <f>IFERROR(V22/V19-1,"")</f>
        <v>-3.8461538461538436E-2</v>
      </c>
      <c r="W27" s="177">
        <f>IFERROR(W22/W19-1,"")</f>
        <v>0.1885268819136825</v>
      </c>
      <c r="X27" s="178">
        <f>IFERROR(X22/X19-1,"")</f>
        <v>0.36526987282364365</v>
      </c>
      <c r="Y27" s="29"/>
      <c r="Z27" s="138" t="str">
        <f>"Forecast "&amp;"vs. "&amp;$A$7</f>
        <v>Forecast vs. 2019</v>
      </c>
      <c r="AA27" s="177">
        <f>IFERROR(AA22/AA19-1,"")</f>
        <v>0.14502103594236915</v>
      </c>
      <c r="AB27" s="177">
        <f>IFERROR(AB22/AB19-1,"")</f>
        <v>4.314166792334384E-2</v>
      </c>
      <c r="AC27" s="177">
        <f>IFERROR(AC22/AC19-1,"")</f>
        <v>9.9275188822295357E-2</v>
      </c>
      <c r="AD27" s="178">
        <f>IFERROR(AD22/AD19-1,"")</f>
        <v>0.33539692451451053</v>
      </c>
      <c r="AE27" s="137"/>
      <c r="AF27" s="137"/>
      <c r="AH27" s="118" t="str">
        <f>AH18</f>
        <v>Trend 6m</v>
      </c>
      <c r="AU27" s="150" t="e">
        <f t="shared" ref="AU27:BR27" si="24">IF(AU18="",NA(),AU18)</f>
        <v>#N/A</v>
      </c>
      <c r="AV27" s="150" t="e">
        <f t="shared" si="24"/>
        <v>#N/A</v>
      </c>
      <c r="AW27" s="150" t="e">
        <f t="shared" si="24"/>
        <v>#N/A</v>
      </c>
      <c r="AX27" s="150" t="e">
        <f t="shared" si="24"/>
        <v>#N/A</v>
      </c>
      <c r="AY27" s="150" t="e">
        <f t="shared" si="24"/>
        <v>#N/A</v>
      </c>
      <c r="AZ27" s="150" t="e">
        <f t="shared" si="24"/>
        <v>#N/A</v>
      </c>
      <c r="BA27" s="150" t="e">
        <f t="shared" si="24"/>
        <v>#N/A</v>
      </c>
      <c r="BB27" s="150" t="e">
        <f t="shared" si="24"/>
        <v>#N/A</v>
      </c>
      <c r="BC27" s="150" t="e">
        <f t="shared" si="24"/>
        <v>#N/A</v>
      </c>
      <c r="BD27" s="150" t="e">
        <f t="shared" si="24"/>
        <v>#N/A</v>
      </c>
      <c r="BE27" s="150" t="e">
        <f t="shared" si="24"/>
        <v>#N/A</v>
      </c>
      <c r="BF27" s="150" t="e">
        <f t="shared" si="24"/>
        <v>#N/A</v>
      </c>
      <c r="BG27" s="150" t="e">
        <f t="shared" si="24"/>
        <v>#N/A</v>
      </c>
      <c r="BH27" s="150" t="e">
        <f t="shared" si="24"/>
        <v>#N/A</v>
      </c>
      <c r="BI27" s="150" t="e">
        <f t="shared" si="24"/>
        <v>#N/A</v>
      </c>
      <c r="BJ27" s="150" t="e">
        <f t="shared" si="24"/>
        <v>#N/A</v>
      </c>
      <c r="BK27" s="150" t="e">
        <f t="shared" si="24"/>
        <v>#N/A</v>
      </c>
      <c r="BL27" s="150" t="e">
        <f t="shared" si="24"/>
        <v>#N/A</v>
      </c>
      <c r="BM27" s="150" t="e">
        <f t="shared" si="24"/>
        <v>#N/A</v>
      </c>
      <c r="BN27" s="150">
        <f t="shared" si="24"/>
        <v>105.23636363636363</v>
      </c>
      <c r="BO27" s="150">
        <f t="shared" si="24"/>
        <v>108.2</v>
      </c>
      <c r="BP27" s="150">
        <f t="shared" si="24"/>
        <v>111.16363636363636</v>
      </c>
      <c r="BQ27" s="150">
        <f t="shared" si="24"/>
        <v>114.12727272727273</v>
      </c>
      <c r="BR27" s="150">
        <f t="shared" si="24"/>
        <v>117.09090909090909</v>
      </c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</row>
    <row r="28" spans="1:83" s="69" customForma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AE28" s="137"/>
      <c r="AF28" s="137"/>
      <c r="AG28" s="1"/>
      <c r="AH28" s="118" t="str">
        <f>AH19</f>
        <v>Trend 12m</v>
      </c>
      <c r="AI28" s="1"/>
      <c r="AJ28" s="1"/>
      <c r="AK28" s="1"/>
      <c r="AL28" s="1"/>
      <c r="AU28" s="150" t="e">
        <f t="shared" ref="AU28:BR28" si="25">IF(AU19="",NA(),AU19)</f>
        <v>#N/A</v>
      </c>
      <c r="AV28" s="150" t="e">
        <f t="shared" si="25"/>
        <v>#N/A</v>
      </c>
      <c r="AW28" s="150" t="e">
        <f t="shared" si="25"/>
        <v>#N/A</v>
      </c>
      <c r="AX28" s="150" t="e">
        <f t="shared" si="25"/>
        <v>#N/A</v>
      </c>
      <c r="AY28" s="150" t="e">
        <f t="shared" si="25"/>
        <v>#N/A</v>
      </c>
      <c r="AZ28" s="150" t="e">
        <f t="shared" si="25"/>
        <v>#N/A</v>
      </c>
      <c r="BA28" s="150" t="e">
        <f t="shared" si="25"/>
        <v>#N/A</v>
      </c>
      <c r="BB28" s="150" t="e">
        <f t="shared" si="25"/>
        <v>#N/A</v>
      </c>
      <c r="BC28" s="150" t="e">
        <f t="shared" si="25"/>
        <v>#N/A</v>
      </c>
      <c r="BD28" s="150" t="e">
        <f t="shared" si="25"/>
        <v>#N/A</v>
      </c>
      <c r="BE28" s="150" t="e">
        <f t="shared" si="25"/>
        <v>#N/A</v>
      </c>
      <c r="BF28" s="150" t="e">
        <f t="shared" si="25"/>
        <v>#N/A</v>
      </c>
      <c r="BG28" s="150" t="e">
        <f t="shared" si="25"/>
        <v>#N/A</v>
      </c>
      <c r="BH28" s="150" t="e">
        <f t="shared" si="25"/>
        <v>#N/A</v>
      </c>
      <c r="BI28" s="150" t="e">
        <f t="shared" si="25"/>
        <v>#N/A</v>
      </c>
      <c r="BJ28" s="150" t="e">
        <f t="shared" si="25"/>
        <v>#N/A</v>
      </c>
      <c r="BK28" s="150" t="e">
        <f t="shared" si="25"/>
        <v>#N/A</v>
      </c>
      <c r="BL28" s="150" t="e">
        <f t="shared" si="25"/>
        <v>#N/A</v>
      </c>
      <c r="BM28" s="150" t="e">
        <f t="shared" si="25"/>
        <v>#N/A</v>
      </c>
      <c r="BN28" s="150">
        <f t="shared" si="25"/>
        <v>96.867647058823522</v>
      </c>
      <c r="BO28" s="150">
        <f t="shared" si="25"/>
        <v>98.127450980392155</v>
      </c>
      <c r="BP28" s="150">
        <f t="shared" si="25"/>
        <v>99.387254901960773</v>
      </c>
      <c r="BQ28" s="150">
        <f t="shared" si="25"/>
        <v>100.64705882352941</v>
      </c>
      <c r="BR28" s="150">
        <f t="shared" si="25"/>
        <v>101.90686274509804</v>
      </c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</row>
    <row r="29" spans="1:83" s="69" customForma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22" t="s">
        <v>97</v>
      </c>
      <c r="U29" s="151" t="str">
        <f>AA29</f>
        <v>Q1</v>
      </c>
      <c r="V29" s="151" t="str">
        <f t="shared" ref="V29:X29" si="26">AB29</f>
        <v>Q2</v>
      </c>
      <c r="W29" s="151" t="str">
        <f t="shared" si="26"/>
        <v>Q3</v>
      </c>
      <c r="X29" s="123" t="str">
        <f t="shared" si="26"/>
        <v>Q4</v>
      </c>
      <c r="Y29" s="29"/>
      <c r="Z29" s="122" t="s">
        <v>97</v>
      </c>
      <c r="AA29" s="151" t="s">
        <v>21</v>
      </c>
      <c r="AB29" s="151" t="s">
        <v>22</v>
      </c>
      <c r="AC29" s="151" t="s">
        <v>23</v>
      </c>
      <c r="AD29" s="123" t="s">
        <v>24</v>
      </c>
      <c r="AE29" s="9"/>
      <c r="AF29" s="9"/>
      <c r="AH29" s="118" t="s">
        <v>34</v>
      </c>
      <c r="AU29" s="150" t="e">
        <f t="shared" ref="AU29:BR29" si="27">IF(AU21="",NA(),AU21)</f>
        <v>#N/A</v>
      </c>
      <c r="AV29" s="150" t="e">
        <f t="shared" si="27"/>
        <v>#N/A</v>
      </c>
      <c r="AW29" s="150" t="e">
        <f t="shared" si="27"/>
        <v>#N/A</v>
      </c>
      <c r="AX29" s="150" t="e">
        <f t="shared" si="27"/>
        <v>#N/A</v>
      </c>
      <c r="AY29" s="150" t="e">
        <f t="shared" si="27"/>
        <v>#N/A</v>
      </c>
      <c r="AZ29" s="150" t="e">
        <f t="shared" si="27"/>
        <v>#N/A</v>
      </c>
      <c r="BA29" s="150" t="e">
        <f t="shared" si="27"/>
        <v>#N/A</v>
      </c>
      <c r="BB29" s="150" t="e">
        <f t="shared" si="27"/>
        <v>#N/A</v>
      </c>
      <c r="BC29" s="150" t="e">
        <f t="shared" si="27"/>
        <v>#N/A</v>
      </c>
      <c r="BD29" s="150" t="e">
        <f t="shared" si="27"/>
        <v>#N/A</v>
      </c>
      <c r="BE29" s="150" t="e">
        <f t="shared" si="27"/>
        <v>#N/A</v>
      </c>
      <c r="BF29" s="150" t="e">
        <f t="shared" si="27"/>
        <v>#N/A</v>
      </c>
      <c r="BG29" s="150" t="e">
        <f t="shared" si="27"/>
        <v>#N/A</v>
      </c>
      <c r="BH29" s="150" t="e">
        <f t="shared" si="27"/>
        <v>#N/A</v>
      </c>
      <c r="BI29" s="150" t="e">
        <f t="shared" si="27"/>
        <v>#N/A</v>
      </c>
      <c r="BJ29" s="150" t="e">
        <f t="shared" si="27"/>
        <v>#N/A</v>
      </c>
      <c r="BK29" s="150" t="e">
        <f t="shared" si="27"/>
        <v>#N/A</v>
      </c>
      <c r="BL29" s="150" t="e">
        <f t="shared" si="27"/>
        <v>#N/A</v>
      </c>
      <c r="BM29" s="150">
        <f t="shared" si="27"/>
        <v>122</v>
      </c>
      <c r="BN29" s="150">
        <f t="shared" si="27"/>
        <v>87.182787242677961</v>
      </c>
      <c r="BO29" s="150">
        <f t="shared" si="27"/>
        <v>95.080094527224773</v>
      </c>
      <c r="BP29" s="150">
        <f t="shared" si="27"/>
        <v>96.684548547440144</v>
      </c>
      <c r="BQ29" s="150">
        <f t="shared" si="27"/>
        <v>96.684548553149241</v>
      </c>
      <c r="BR29" s="150">
        <f t="shared" si="27"/>
        <v>90.6070364467285</v>
      </c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</row>
    <row r="30" spans="1:83" s="69" customForma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T30" s="179" t="str">
        <f>T25</f>
        <v>vs 2018</v>
      </c>
      <c r="U30" s="180">
        <f t="shared" ref="U30:X31" si="28">U$21-U18</f>
        <v>112</v>
      </c>
      <c r="V30" s="180">
        <f t="shared" si="28"/>
        <v>44</v>
      </c>
      <c r="W30" s="180">
        <f t="shared" si="28"/>
        <v>-122</v>
      </c>
      <c r="X30" s="99">
        <f t="shared" si="28"/>
        <v>-246</v>
      </c>
      <c r="Z30" s="179" t="str">
        <f>Z25</f>
        <v>vs 2018</v>
      </c>
      <c r="AA30" s="180">
        <f t="shared" ref="AA30:AD31" si="29">AA$21-AA18</f>
        <v>296.52776416799998</v>
      </c>
      <c r="AB30" s="180">
        <f t="shared" si="29"/>
        <v>244.21735045500009</v>
      </c>
      <c r="AC30" s="180">
        <f t="shared" si="29"/>
        <v>-484.24723283699996</v>
      </c>
      <c r="AD30" s="99">
        <f t="shared" si="29"/>
        <v>-857.36600422799995</v>
      </c>
      <c r="AE30" s="160"/>
      <c r="AF30" s="160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</row>
    <row r="31" spans="1:83" s="69" customForma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T31" s="179" t="str">
        <f>T26</f>
        <v>vs 2019</v>
      </c>
      <c r="U31" s="180">
        <f t="shared" si="28"/>
        <v>34</v>
      </c>
      <c r="V31" s="180">
        <f t="shared" si="28"/>
        <v>-10</v>
      </c>
      <c r="W31" s="180">
        <f t="shared" si="28"/>
        <v>-134</v>
      </c>
      <c r="X31" s="99">
        <f t="shared" si="28"/>
        <v>-208</v>
      </c>
      <c r="Z31" s="179" t="str">
        <f>Z26</f>
        <v>vs 2019</v>
      </c>
      <c r="AA31" s="180">
        <f t="shared" si="29"/>
        <v>118.56479802549097</v>
      </c>
      <c r="AB31" s="180">
        <f t="shared" si="29"/>
        <v>37.992114851531369</v>
      </c>
      <c r="AC31" s="180">
        <f t="shared" si="29"/>
        <v>-520.35759747975953</v>
      </c>
      <c r="AD31" s="99">
        <f t="shared" si="29"/>
        <v>-707.76411480641332</v>
      </c>
      <c r="AE31" s="164"/>
      <c r="AF31" s="164"/>
      <c r="AH31" s="1"/>
      <c r="AI31" s="1"/>
      <c r="AJ31" s="1"/>
      <c r="AK31" s="1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</row>
    <row r="32" spans="1:83" s="69" customFormat="1" ht="16.149999999999999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18"/>
      <c r="T32" s="138" t="str">
        <f>"Forecast "&amp;"vs. "&amp;$A$7</f>
        <v>Forecast vs. 2019</v>
      </c>
      <c r="U32" s="181">
        <f>U22-U19</f>
        <v>34</v>
      </c>
      <c r="V32" s="181">
        <f t="shared" ref="V32:X32" si="30">V22-V19</f>
        <v>-10</v>
      </c>
      <c r="W32" s="181">
        <f t="shared" si="30"/>
        <v>48.262881769902719</v>
      </c>
      <c r="X32" s="114">
        <f t="shared" si="30"/>
        <v>75.976133547317886</v>
      </c>
      <c r="Y32" s="160"/>
      <c r="Z32" s="138" t="str">
        <f>"Forecast "&amp;"vs. "&amp;$A$7</f>
        <v>Forecast vs. 2019</v>
      </c>
      <c r="AA32" s="181">
        <f>AA22-AA19</f>
        <v>118.56479802549097</v>
      </c>
      <c r="AB32" s="181">
        <f t="shared" ref="AB32:AD32" si="31">AB22-AB19</f>
        <v>37.992114851531369</v>
      </c>
      <c r="AC32" s="181">
        <f t="shared" si="31"/>
        <v>86.260414909563224</v>
      </c>
      <c r="AD32" s="114">
        <f t="shared" si="31"/>
        <v>237.381907387806</v>
      </c>
      <c r="AE32" s="118"/>
      <c r="AF32" s="118"/>
      <c r="AG32" s="1"/>
      <c r="BM32" s="182"/>
      <c r="BN32" s="182"/>
      <c r="BO32" s="182"/>
      <c r="BP32" s="182"/>
      <c r="BQ32" s="182"/>
      <c r="BR32" s="182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</row>
    <row r="33" spans="1:83" s="69" customFormat="1" ht="15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AE33" s="118"/>
      <c r="AF33" s="118"/>
      <c r="AG33" s="145" t="s">
        <v>82</v>
      </c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</row>
    <row r="34" spans="1:83" s="69" customForma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T34" s="122" t="s">
        <v>88</v>
      </c>
      <c r="U34" s="151" t="str">
        <f>AA34</f>
        <v>Q1</v>
      </c>
      <c r="V34" s="151" t="str">
        <f t="shared" ref="V34:X34" si="32">AB34</f>
        <v>Q2</v>
      </c>
      <c r="W34" s="151" t="str">
        <f t="shared" si="32"/>
        <v>Q3</v>
      </c>
      <c r="X34" s="151" t="str">
        <f t="shared" si="32"/>
        <v>Q4</v>
      </c>
      <c r="Y34" s="118"/>
      <c r="Z34" s="122" t="s">
        <v>88</v>
      </c>
      <c r="AA34" s="151" t="s">
        <v>21</v>
      </c>
      <c r="AB34" s="151" t="s">
        <v>22</v>
      </c>
      <c r="AC34" s="151" t="s">
        <v>23</v>
      </c>
      <c r="AD34" s="123" t="s">
        <v>24</v>
      </c>
      <c r="AE34" s="9"/>
      <c r="AF34" s="9"/>
      <c r="AG34" s="147" t="s">
        <v>29</v>
      </c>
      <c r="AH34" s="149" t="s">
        <v>0</v>
      </c>
      <c r="AI34" s="150">
        <f>SUMIFS('Sales Data'!$E:$E,'Sales Data'!$A:$A,$E$2,'Sales Data'!$B:$B,AI$15,'Sales Data'!$C:$C,"Periodic")/1000</f>
        <v>150.41511694800002</v>
      </c>
      <c r="AJ34" s="150">
        <f>SUMIFS('Sales Data'!$E:$E,'Sales Data'!$A:$A,$E$2,'Sales Data'!$B:$B,AJ$15,'Sales Data'!$C:$C,"Periodic")/1000</f>
        <v>201.71354200799999</v>
      </c>
      <c r="AK34" s="150">
        <f>SUMIFS('Sales Data'!$E:$E,'Sales Data'!$A:$A,$E$2,'Sales Data'!$B:$B,AK$15,'Sales Data'!$C:$C,"Periodic")/1000</f>
        <v>287.478027849</v>
      </c>
      <c r="AL34" s="150">
        <f>SUMIFS('Sales Data'!$E:$E,'Sales Data'!$A:$A,$E$2,'Sales Data'!$B:$B,AL$15,'Sales Data'!$C:$C,"Periodic")/1000</f>
        <v>207.07992603299999</v>
      </c>
      <c r="AM34" s="150">
        <f>SUMIFS('Sales Data'!$E:$E,'Sales Data'!$A:$A,$E$2,'Sales Data'!$B:$B,AM$15,'Sales Data'!$C:$C,"Periodic")/1000</f>
        <v>204.97804298700001</v>
      </c>
      <c r="AN34" s="150">
        <f>SUMIFS('Sales Data'!$E:$E,'Sales Data'!$A:$A,$E$2,'Sales Data'!$B:$B,AN$15,'Sales Data'!$C:$C,"Periodic")/1000</f>
        <v>262.35300348600003</v>
      </c>
      <c r="AO34" s="150">
        <f>SUMIFS('Sales Data'!$E:$E,'Sales Data'!$A:$A,$E$2,'Sales Data'!$B:$B,AO$15,'Sales Data'!$C:$C,"Periodic")/1000</f>
        <v>361.307958912</v>
      </c>
      <c r="AP34" s="150">
        <f>SUMIFS('Sales Data'!$E:$E,'Sales Data'!$A:$A,$E$2,'Sales Data'!$B:$B,AP$15,'Sales Data'!$C:$C,"Periodic")/1000</f>
        <v>243.98099895000001</v>
      </c>
      <c r="AQ34" s="150">
        <f>SUMIFS('Sales Data'!$E:$E,'Sales Data'!$A:$A,$E$2,'Sales Data'!$B:$B,AQ$15,'Sales Data'!$C:$C,"Periodic")/1000</f>
        <v>227.50272576</v>
      </c>
      <c r="AR34" s="150">
        <f>SUMIFS('Sales Data'!$E:$E,'Sales Data'!$A:$A,$E$2,'Sales Data'!$B:$B,AR$15,'Sales Data'!$C:$C,"Periodic")/1000</f>
        <v>230.25430985699998</v>
      </c>
      <c r="AS34" s="150">
        <f>SUMIFS('Sales Data'!$E:$E,'Sales Data'!$A:$A,$E$2,'Sales Data'!$B:$B,AS$15,'Sales Data'!$C:$C,"Periodic")/1000</f>
        <v>342.65982948600004</v>
      </c>
      <c r="AT34" s="150">
        <f>SUMIFS('Sales Data'!$E:$E,'Sales Data'!$A:$A,$E$2,'Sales Data'!$B:$B,AT$15,'Sales Data'!$C:$C,"Periodic")/1000</f>
        <v>284.45186488499996</v>
      </c>
      <c r="AU34" s="150">
        <f>SUMIFS('Sales Data'!$E:$E,'Sales Data'!$A:$A,$E$2,'Sales Data'!$B:$B,AU$15,'Sales Data'!$C:$C,"Periodic")/1000</f>
        <v>331.4490467373322</v>
      </c>
      <c r="AV34" s="150">
        <f>SUMIFS('Sales Data'!$E:$E,'Sales Data'!$A:$A,$E$2,'Sales Data'!$B:$B,AV$15,'Sales Data'!$C:$C,"Periodic")/1000</f>
        <v>192.22995172811426</v>
      </c>
      <c r="AW34" s="150">
        <f>SUMIFS('Sales Data'!$E:$E,'Sales Data'!$A:$A,$E$2,'Sales Data'!$B:$B,AW$15,'Sales Data'!$C:$C,"Periodic")/1000</f>
        <v>293.89065448206242</v>
      </c>
      <c r="AX34" s="150">
        <f>SUMIFS('Sales Data'!$E:$E,'Sales Data'!$A:$A,$E$2,'Sales Data'!$B:$B,AX$15,'Sales Data'!$C:$C,"Periodic")/1000</f>
        <v>298.23460000718501</v>
      </c>
      <c r="AY34" s="150">
        <f>SUMIFS('Sales Data'!$E:$E,'Sales Data'!$A:$A,$E$2,'Sales Data'!$B:$B,AY$15,'Sales Data'!$C:$C,"Periodic")/1000</f>
        <v>370.87773730633921</v>
      </c>
      <c r="AZ34" s="150">
        <f>SUMIFS('Sales Data'!$E:$E,'Sales Data'!$A:$A,$E$2,'Sales Data'!$B:$B,AZ$15,'Sales Data'!$C:$C,"Periodic")/1000</f>
        <v>211.52387079594456</v>
      </c>
      <c r="BA34" s="150">
        <f>SUMIFS('Sales Data'!$E:$E,'Sales Data'!$A:$A,$E$2,'Sales Data'!$B:$B,BA$15,'Sales Data'!$C:$C,"Periodic")/1000</f>
        <v>330.4977830078887</v>
      </c>
      <c r="BB34" s="150">
        <f>SUMIFS('Sales Data'!$E:$E,'Sales Data'!$A:$A,$E$2,'Sales Data'!$B:$B,BB$15,'Sales Data'!$C:$C,"Periodic")/1000</f>
        <v>207.34383916267058</v>
      </c>
      <c r="BC34" s="150">
        <f>SUMIFS('Sales Data'!$E:$E,'Sales Data'!$A:$A,$E$2,'Sales Data'!$B:$B,BC$15,'Sales Data'!$C:$C,"Periodic")/1000</f>
        <v>331.0604260942003</v>
      </c>
      <c r="BD34" s="150">
        <f>SUMIFS('Sales Data'!$E:$E,'Sales Data'!$A:$A,$E$2,'Sales Data'!$B:$B,BD$15,'Sales Data'!$C:$C,"Periodic")/1000</f>
        <v>191.55252713425921</v>
      </c>
      <c r="BE34" s="150">
        <f>SUMIFS('Sales Data'!$E:$E,'Sales Data'!$A:$A,$E$2,'Sales Data'!$B:$B,BE$15,'Sales Data'!$C:$C,"Periodic")/1000</f>
        <v>319.95400557495987</v>
      </c>
      <c r="BF34" s="150">
        <f>SUMIFS('Sales Data'!$E:$E,'Sales Data'!$A:$A,$E$2,'Sales Data'!$B:$B,BF$15,'Sales Data'!$C:$C,"Periodic")/1000</f>
        <v>196.25758209719424</v>
      </c>
      <c r="BG34" s="150">
        <f>IF(OR(BG$8=1,BG$9=0),SUMIFS('Sales Data'!$E:$E,'Sales Data'!$A:$A,$E$2,'Sales Data'!$B:$B,BG$15,'Sales Data'!$C:$C,"Periodic")/1000,"")</f>
        <v>346.82725108199998</v>
      </c>
      <c r="BH34" s="150">
        <f>IF(OR(BH$8=1,BH$9=0),SUMIFS('Sales Data'!$E:$E,'Sales Data'!$A:$A,$E$2,'Sales Data'!$B:$B,BH$15,'Sales Data'!$C:$C,"Periodic")/1000,"")</f>
        <v>238.79549961599997</v>
      </c>
      <c r="BI34" s="150">
        <f>IF(OR(BI$8=1,BI$9=0),SUMIFS('Sales Data'!$E:$E,'Sales Data'!$A:$A,$E$2,'Sales Data'!$B:$B,BI$15,'Sales Data'!$C:$C,"Periodic")/1000,"")</f>
        <v>350.51170027500001</v>
      </c>
      <c r="BJ34" s="150">
        <f>IF(OR(BJ$8=1,BJ$9=0),SUMIFS('Sales Data'!$E:$E,'Sales Data'!$A:$A,$E$2,'Sales Data'!$B:$B,BJ$15,'Sales Data'!$C:$C,"Periodic")/1000,"")</f>
        <v>268.37060003700003</v>
      </c>
      <c r="BK34" s="150">
        <f>IF(OR(BK$8=1,BK$9=0),SUMIFS('Sales Data'!$E:$E,'Sales Data'!$A:$A,$E$2,'Sales Data'!$B:$B,BK$15,'Sales Data'!$C:$C,"Periodic")/1000,"")</f>
        <v>198.77341220100004</v>
      </c>
      <c r="BL34" s="150">
        <f>IF(OR(BL$8=1,BL$9=0),SUMIFS('Sales Data'!$E:$E,'Sales Data'!$A:$A,$E$2,'Sales Data'!$B:$B,BL$15,'Sales Data'!$C:$C,"Periodic")/1000,"")</f>
        <v>451.48431072299996</v>
      </c>
      <c r="BM34" s="150">
        <f>IF(OR(BM$8=1,BM$9=0),SUMIFS('Sales Data'!$E:$E,'Sales Data'!$A:$A,$E$2,'Sales Data'!$B:$B,BM$15,'Sales Data'!$C:$C,"Periodic")/1000,"")</f>
        <v>348.54445078499998</v>
      </c>
      <c r="BN34" s="150" t="str">
        <f>IF(OR(BN$8=1,BN$9=0),SUMIFS('Sales Data'!$E:$E,'Sales Data'!$A:$A,$E$2,'Sales Data'!$B:$B,BN$15,'Sales Data'!$C:$C,"Periodic")/1000,"")</f>
        <v/>
      </c>
      <c r="BO34" s="150" t="str">
        <f>IF(OR(BO$8=1,BO$9=0),SUMIFS('Sales Data'!$E:$E,'Sales Data'!$A:$A,$E$2,'Sales Data'!$B:$B,BO$15,'Sales Data'!$C:$C,"Periodic")/1000,"")</f>
        <v/>
      </c>
      <c r="BP34" s="150" t="str">
        <f>IF(OR(BP$8=1,BP$9=0),SUMIFS('Sales Data'!$E:$E,'Sales Data'!$A:$A,$E$2,'Sales Data'!$B:$B,BP$15,'Sales Data'!$C:$C,"Periodic")/1000,"")</f>
        <v/>
      </c>
      <c r="BQ34" s="150" t="str">
        <f>IF(OR(BQ$8=1,BQ$9=0),SUMIFS('Sales Data'!$E:$E,'Sales Data'!$A:$A,$E$2,'Sales Data'!$B:$B,BQ$15,'Sales Data'!$C:$C,"Periodic")/1000,"")</f>
        <v/>
      </c>
      <c r="BR34" s="150" t="str">
        <f>IF(OR(BR$8=1,BR$9=0),SUMIFS('Sales Data'!$E:$E,'Sales Data'!$A:$A,$E$2,'Sales Data'!$B:$B,BR$15,'Sales Data'!$C:$C,"Periodic")/1000,"")</f>
        <v/>
      </c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</row>
    <row r="35" spans="1:83" s="69" customFormat="1" ht="12.6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T35" s="101" t="str">
        <f>+T19</f>
        <v>2019 Actual</v>
      </c>
      <c r="U35" s="176">
        <f>IFERROR(U19/X18-1,"")</f>
        <v>4.0650406504065151E-2</v>
      </c>
      <c r="V35" s="176">
        <f t="shared" ref="V35:X36" si="33">IFERROR(V19/U19-1,"")</f>
        <v>1.5625E-2</v>
      </c>
      <c r="W35" s="176">
        <f t="shared" si="33"/>
        <v>-1.538461538461533E-2</v>
      </c>
      <c r="X35" s="136">
        <f t="shared" si="33"/>
        <v>-0.1875</v>
      </c>
      <c r="Y35" s="118"/>
      <c r="Z35" s="101" t="str">
        <f>+Z19</f>
        <v>2019 Actual</v>
      </c>
      <c r="AA35" s="176">
        <f>IFERROR(AA19/AD18-1,"")</f>
        <v>-4.6416992374598398E-2</v>
      </c>
      <c r="AB35" s="176">
        <f t="shared" ref="AB35:AD36" si="34">IFERROR(AB19/AA19-1,"")</f>
        <v>7.7139060793892877E-2</v>
      </c>
      <c r="AC35" s="176">
        <f t="shared" si="34"/>
        <v>-1.3324639319452714E-2</v>
      </c>
      <c r="AD35" s="136">
        <f t="shared" si="34"/>
        <v>-0.18545005594145703</v>
      </c>
      <c r="AE35" s="183"/>
      <c r="AF35" s="164"/>
      <c r="AG35" s="118"/>
      <c r="AH35" s="153" t="s">
        <v>1</v>
      </c>
      <c r="AI35" s="1"/>
      <c r="AJ35" s="1"/>
      <c r="AK35" s="1"/>
      <c r="AL35" s="1"/>
      <c r="BG35" s="150" t="str">
        <f>IF(OR(BG$8=1,BG$9=1),SUMIFS('Sales Data'!$D:$D,'Sales Data'!$A:$A,$E$2,'Sales Data'!$B:$B,BG$15,'Sales Data'!$C:$C,"Periodic")/1000,"")</f>
        <v/>
      </c>
      <c r="BH35" s="150" t="str">
        <f>IF(OR(BH$8=1,BH$9=1),SUMIFS('Sales Data'!$D:$D,'Sales Data'!$A:$A,$E$2,'Sales Data'!$B:$B,BH$15,'Sales Data'!$C:$C,"Periodic")/1000,"")</f>
        <v/>
      </c>
      <c r="BI35" s="150" t="str">
        <f>IF(OR(BI$8=1,BI$9=1),SUMIFS('Sales Data'!$D:$D,'Sales Data'!$A:$A,$E$2,'Sales Data'!$B:$B,BI$15,'Sales Data'!$C:$C,"Periodic")/1000,"")</f>
        <v/>
      </c>
      <c r="BJ35" s="150" t="str">
        <f>IF(OR(BJ$8=1,BJ$9=1),SUMIFS('Sales Data'!$D:$D,'Sales Data'!$A:$A,$E$2,'Sales Data'!$B:$B,BJ$15,'Sales Data'!$C:$C,"Periodic")/1000,"")</f>
        <v/>
      </c>
      <c r="BK35" s="150" t="str">
        <f>IF(OR(BK$8=1,BK$9=1),SUMIFS('Sales Data'!$D:$D,'Sales Data'!$A:$A,$E$2,'Sales Data'!$B:$B,BK$15,'Sales Data'!$C:$C,"Periodic")/1000,"")</f>
        <v/>
      </c>
      <c r="BL35" s="150" t="str">
        <f>IF(OR(BL$8=1,BL$9=1),SUMIFS('Sales Data'!$D:$D,'Sales Data'!$A:$A,$E$2,'Sales Data'!$B:$B,BL$15,'Sales Data'!$C:$C,"Periodic")/1000,"")</f>
        <v/>
      </c>
      <c r="BM35" s="150">
        <f>IF(OR(BM$8=1,BM$9=1),SUMIFS('Sales Data'!$D:$D,'Sales Data'!$A:$A,$E$2,'Sales Data'!$B:$B,BM$15,'Sales Data'!$C:$C,"Periodic")/1000,"")</f>
        <v>329.69726462469686</v>
      </c>
      <c r="BN35" s="150">
        <f>IF(OR(BN$8=1,BN$9=1),SUMIFS('Sales Data'!$D:$D,'Sales Data'!$A:$A,$E$2,'Sales Data'!$B:$B,BN$15,'Sales Data'!$C:$C,"Periodic")/1000,"")</f>
        <v>290.16686556334116</v>
      </c>
      <c r="BO35" s="150">
        <f>IF(OR(BO$8=1,BO$9=1),SUMIFS('Sales Data'!$D:$D,'Sales Data'!$A:$A,$E$2,'Sales Data'!$B:$B,BO$15,'Sales Data'!$C:$C,"Periodic")/1000,"")</f>
        <v>316.4511468259816</v>
      </c>
      <c r="BP35" s="150">
        <f>IF(OR(BP$8=1,BP$9=1),SUMIFS('Sales Data'!$D:$D,'Sales Data'!$A:$A,$E$2,'Sales Data'!$B:$B,BP$15,'Sales Data'!$C:$C,"Periodic")/1000,"")</f>
        <v>321.79118479345891</v>
      </c>
      <c r="BQ35" s="150">
        <f>IF(OR(BQ$8=1,BQ$9=1),SUMIFS('Sales Data'!$D:$D,'Sales Data'!$A:$A,$E$2,'Sales Data'!$B:$B,BQ$15,'Sales Data'!$C:$C,"Periodic")/1000,"")</f>
        <v>321.79118481246024</v>
      </c>
      <c r="BR35" s="150">
        <f>IF(OR(BR$8=1,BR$9=1),SUMIFS('Sales Data'!$D:$D,'Sales Data'!$A:$A,$E$2,'Sales Data'!$B:$B,BR$15,'Sales Data'!$C:$C,"Periodic")/1000,"")</f>
        <v>301.56365258830016</v>
      </c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</row>
    <row r="36" spans="1:83" s="69" customForma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01" t="str">
        <f>+T20</f>
        <v>2020 Budget</v>
      </c>
      <c r="U36" s="176">
        <f>IFERROR(U20/X19-1,"")</f>
        <v>0.3059229567307693</v>
      </c>
      <c r="V36" s="176">
        <f t="shared" si="33"/>
        <v>-8.7592780636380763E-4</v>
      </c>
      <c r="W36" s="176">
        <f t="shared" si="33"/>
        <v>4.4653339390700264E-2</v>
      </c>
      <c r="X36" s="136">
        <f t="shared" si="33"/>
        <v>-4.9807722296445589E-2</v>
      </c>
      <c r="Y36" s="9"/>
      <c r="Z36" s="101" t="str">
        <f>+Z20</f>
        <v>2020 Budget</v>
      </c>
      <c r="AA36" s="176">
        <f>IFERROR(AA20/AD19-1,"")</f>
        <v>0.21614697340140521</v>
      </c>
      <c r="AB36" s="176">
        <f t="shared" si="34"/>
        <v>9.1018908182678659E-2</v>
      </c>
      <c r="AC36" s="176">
        <f t="shared" si="34"/>
        <v>-2.9539216684354441E-3</v>
      </c>
      <c r="AD36" s="136">
        <f t="shared" si="34"/>
        <v>9.4313800030707551E-3</v>
      </c>
      <c r="AE36" s="164"/>
      <c r="AF36" s="164"/>
      <c r="AG36" s="118"/>
      <c r="AH36" s="156" t="s">
        <v>26</v>
      </c>
      <c r="BG36" s="159" t="str">
        <f>IF(BG$9,FORECAST(BG$12,$AP34:BF34,$AP12:BF12), "")</f>
        <v/>
      </c>
      <c r="BH36" s="159" t="str">
        <f>IF(BH$9,FORECAST(BH$12,$AP34:BG34,$AP12:BG12), "")</f>
        <v/>
      </c>
      <c r="BI36" s="159" t="str">
        <f>IF(BI$9,FORECAST(BI$12,$AP34:BH34,$AP12:BH12), "")</f>
        <v/>
      </c>
      <c r="BJ36" s="159" t="str">
        <f>IF(BJ$9,FORECAST(BJ$12,$AP34:BI34,$AP12:BI12), "")</f>
        <v/>
      </c>
      <c r="BK36" s="159" t="str">
        <f>IF(BK$9,FORECAST(BK$12,$AP34:BJ34,$AP12:BJ12), "")</f>
        <v/>
      </c>
      <c r="BL36" s="159" t="str">
        <f>IF(BL$9,FORECAST(BL$12,$AP34:BK34,$AP12:BK12), "")</f>
        <v/>
      </c>
      <c r="BM36" s="159" t="str">
        <f>IF(BM$9,FORECAST(BM$12,$AP34:BL34,$AP12:BL12), "")</f>
        <v/>
      </c>
      <c r="BN36" s="159">
        <f>IF(BN$9,FORECAST(BN$12,$AP34:BM34,$AP12:BM12), "")</f>
        <v>344.45830393412996</v>
      </c>
      <c r="BO36" s="159">
        <f>IF(BO$9,FORECAST(BO$12,$AP34:BN34,$AP12:BN12), "")</f>
        <v>352.74481268649077</v>
      </c>
      <c r="BP36" s="159">
        <f>IF(BP$9,FORECAST(BP$12,$AP34:BO34,$AP12:BO12), "")</f>
        <v>361.03132143885165</v>
      </c>
      <c r="BQ36" s="159">
        <f>IF(BQ$9,FORECAST(BQ$12,$AP34:BP34,$AP12:BP12), "")</f>
        <v>369.31783019121247</v>
      </c>
      <c r="BR36" s="159">
        <f>IF(BR$9,FORECAST(BR$12,$AP34:BQ34,$AP12:BQ12), "")</f>
        <v>377.60433894357334</v>
      </c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</row>
    <row r="37" spans="1:83" s="69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01" t="str">
        <f>+T21</f>
        <v>2020 Actual</v>
      </c>
      <c r="U37" s="176">
        <f>IF(U21&lt;&gt;0,IFERROR(U21/X19-1,""),"")</f>
        <v>0.39423076923076916</v>
      </c>
      <c r="V37" s="176">
        <f>IF(V21&lt;&gt;0,IFERROR(V21/U21-1,""),"")</f>
        <v>-0.13793103448275867</v>
      </c>
      <c r="W37" s="176">
        <f>IF(W21&lt;&gt;0,IFERROR(W21/V21-1,""),"")</f>
        <v>-0.51200000000000001</v>
      </c>
      <c r="X37" s="136" t="str">
        <f>IF(X21&lt;&gt;0,IFERROR(X21/W21-1,""),"")</f>
        <v/>
      </c>
      <c r="Y37" s="164"/>
      <c r="Z37" s="101" t="str">
        <f>+Z21</f>
        <v>2020 Actual</v>
      </c>
      <c r="AA37" s="176">
        <f>IF(AA21&lt;&gt;0,IFERROR(AA21/AD19-1,""),"")</f>
        <v>0.32266447448956947</v>
      </c>
      <c r="AB37" s="176">
        <f>IF(AB21&lt;&gt;0,IFERROR(AB21/AA21-1,""),"")</f>
        <v>-1.8700442007880791E-2</v>
      </c>
      <c r="AC37" s="176">
        <f>IF(AC21&lt;&gt;0,IFERROR(AC21/AB21-1,""),"")</f>
        <v>-0.62058164104766311</v>
      </c>
      <c r="AD37" s="136" t="str">
        <f>IF(AD21&lt;&gt;0,IFERROR(AD21/AC21-1,""),"")</f>
        <v/>
      </c>
      <c r="AE37" s="164"/>
      <c r="AF37" s="164"/>
      <c r="AG37" s="9"/>
      <c r="AH37" s="156" t="s">
        <v>90</v>
      </c>
      <c r="BG37" s="159" t="str">
        <f>IF(BG$9,FORECAST(BG$13,$AP34:BF34,$AP13:BF13), "")</f>
        <v/>
      </c>
      <c r="BH37" s="159" t="str">
        <f>IF(BH$9,FORECAST(BH$13,$AP34:BG34,$AP13:BG13), "")</f>
        <v/>
      </c>
      <c r="BI37" s="159" t="str">
        <f>IF(BI$9,FORECAST(BI$13,$AP34:BH34,$AP13:BH13), "")</f>
        <v/>
      </c>
      <c r="BJ37" s="159" t="str">
        <f>IF(BJ$9,FORECAST(BJ$13,$AP34:BI34,$AP13:BI13), "")</f>
        <v/>
      </c>
      <c r="BK37" s="159" t="str">
        <f>IF(BK$9,FORECAST(BK$13,$AP34:BJ34,$AP13:BJ13), "")</f>
        <v/>
      </c>
      <c r="BL37" s="159" t="str">
        <f>IF(BL$9,FORECAST(BL$13,$AP34:BK34,$AP13:BK13), "")</f>
        <v/>
      </c>
      <c r="BM37" s="159" t="str">
        <f>IF(BM$9,FORECAST(BM$13,$AP34:BL34,$AP13:BL13), "")</f>
        <v/>
      </c>
      <c r="BN37" s="159">
        <f>IF(BN$9,FORECAST(BN$13,$AP34:BM34,$AP13:BM13), "")</f>
        <v>312.88756023659471</v>
      </c>
      <c r="BO37" s="159">
        <f>IF(BO$9,FORECAST(BO$13,$AP34:BN34,$AP13:BN13), "")</f>
        <v>315.27049012966927</v>
      </c>
      <c r="BP37" s="159">
        <f>IF(BP$9,FORECAST(BP$13,$AP34:BO34,$AP13:BO13), "")</f>
        <v>317.65342002274377</v>
      </c>
      <c r="BQ37" s="159">
        <f>IF(BQ$9,FORECAST(BQ$13,$AP34:BP34,$AP13:BP13), "")</f>
        <v>320.03634991581833</v>
      </c>
      <c r="BR37" s="159">
        <f>IF(BR$9,FORECAST(BR$13,$AP34:BQ34,$AP13:BQ13), "")</f>
        <v>322.4192798088929</v>
      </c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</row>
    <row r="38" spans="1:83" s="69" customForma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38" t="s">
        <v>34</v>
      </c>
      <c r="U38" s="177">
        <f>IFERROR(U22/X19-1,"")</f>
        <v>0.39423076923076916</v>
      </c>
      <c r="V38" s="177">
        <f>IFERROR(V22/U22-1,"")</f>
        <v>-0.13793103448275867</v>
      </c>
      <c r="W38" s="177">
        <f>IFERROR(W22/V22-1,"")</f>
        <v>0.21705152707961095</v>
      </c>
      <c r="X38" s="178">
        <f>IFERROR(X22/W22-1,"")</f>
        <v>-6.6675067640773134E-2</v>
      </c>
      <c r="Y38" s="164"/>
      <c r="Z38" s="138" t="s">
        <v>34</v>
      </c>
      <c r="AA38" s="177">
        <f>IFERROR(AA22/AD19-1,"")</f>
        <v>0.32266447448956947</v>
      </c>
      <c r="AB38" s="177">
        <f>IFERROR(AB22/AA22-1,"")</f>
        <v>-1.8700442007880791E-2</v>
      </c>
      <c r="AC38" s="177">
        <f>IFERROR(AC22/AB22-1,"")</f>
        <v>3.9770317657485954E-2</v>
      </c>
      <c r="AD38" s="178">
        <f>IFERROR(AD22/AC22-1,"")</f>
        <v>-1.0486635903608987E-2</v>
      </c>
      <c r="AE38" s="1"/>
      <c r="AF38" s="1"/>
      <c r="AG38" s="164"/>
      <c r="AH38" s="153" t="s">
        <v>1</v>
      </c>
      <c r="AI38" s="1"/>
      <c r="AJ38" s="1"/>
      <c r="AK38" s="1"/>
      <c r="BG38" s="150">
        <f>SUMIFS('Sales Data'!$D:$D,'Sales Data'!$A:$A,$E$2,'Sales Data'!$B:$B,BG$15,'Sales Data'!$C:$C,"Periodic")/1000</f>
        <v>293.6575727759772</v>
      </c>
      <c r="BH38" s="150">
        <f>SUMIFS('Sales Data'!$D:$D,'Sales Data'!$A:$A,$E$2,'Sales Data'!$B:$B,BH$15,'Sales Data'!$C:$C,"Periodic")/1000</f>
        <v>265.52396073966685</v>
      </c>
      <c r="BI38" s="150">
        <f>SUMIFS('Sales Data'!$D:$D,'Sales Data'!$A:$A,$E$2,'Sales Data'!$B:$B,BI$15,'Sales Data'!$C:$C,"Periodic")/1000</f>
        <v>301.56365258830016</v>
      </c>
      <c r="BJ38" s="150">
        <f>SUMIFS('Sales Data'!$D:$D,'Sales Data'!$A:$A,$E$2,'Sales Data'!$B:$B,BJ$15,'Sales Data'!$C:$C,"Periodic")/1000</f>
        <v>314.80977038710188</v>
      </c>
      <c r="BK38" s="150">
        <f>SUMIFS('Sales Data'!$D:$D,'Sales Data'!$A:$A,$E$2,'Sales Data'!$B:$B,BK$15,'Sales Data'!$C:$C,"Periodic")/1000</f>
        <v>313.88510500013734</v>
      </c>
      <c r="BL38" s="150">
        <f>SUMIFS('Sales Data'!$D:$D,'Sales Data'!$A:$A,$E$2,'Sales Data'!$B:$B,BL$15,'Sales Data'!$C:$C,"Periodic")/1000</f>
        <v>310.39439777938253</v>
      </c>
      <c r="BM38" s="150">
        <f>SUMIFS('Sales Data'!$D:$D,'Sales Data'!$A:$A,$E$2,'Sales Data'!$B:$B,BM$15,'Sales Data'!$C:$C,"Periodic")/1000</f>
        <v>329.69726462469686</v>
      </c>
      <c r="BN38" s="150">
        <f>SUMIFS('Sales Data'!$D:$D,'Sales Data'!$A:$A,$E$2,'Sales Data'!$B:$B,BN$15,'Sales Data'!$C:$C,"Periodic")/1000</f>
        <v>290.16686556334116</v>
      </c>
      <c r="BO38" s="150">
        <f>SUMIFS('Sales Data'!$D:$D,'Sales Data'!$A:$A,$E$2,'Sales Data'!$B:$B,BO$15,'Sales Data'!$C:$C,"Periodic")/1000</f>
        <v>316.4511468259816</v>
      </c>
      <c r="BP38" s="150">
        <f>SUMIFS('Sales Data'!$D:$D,'Sales Data'!$A:$A,$E$2,'Sales Data'!$B:$B,BP$15,'Sales Data'!$C:$C,"Periodic")/1000</f>
        <v>321.79118479345891</v>
      </c>
      <c r="BQ38" s="150">
        <f>SUMIFS('Sales Data'!$D:$D,'Sales Data'!$A:$A,$E$2,'Sales Data'!$B:$B,BQ$15,'Sales Data'!$C:$C,"Periodic")/1000</f>
        <v>321.79118481246024</v>
      </c>
      <c r="BR38" s="150">
        <f>SUMIFS('Sales Data'!$D:$D,'Sales Data'!$A:$A,$E$2,'Sales Data'!$B:$B,BR$15,'Sales Data'!$C:$C,"Periodic")/1000</f>
        <v>301.56365258830016</v>
      </c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</row>
    <row r="39" spans="1:83" s="69" customFormat="1" x14ac:dyDescent="0.2">
      <c r="A39" s="1"/>
      <c r="B39" s="1"/>
      <c r="C39" s="1"/>
      <c r="D39" s="1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"/>
      <c r="Y39" s="1"/>
      <c r="Z39" s="1"/>
      <c r="AA39" s="1"/>
      <c r="AB39" s="1"/>
      <c r="AC39" s="1"/>
      <c r="AD39" s="1"/>
      <c r="AE39" s="1"/>
      <c r="AF39" s="1"/>
      <c r="AG39" s="118"/>
      <c r="AH39" s="153" t="s">
        <v>34</v>
      </c>
      <c r="AI39" s="1"/>
      <c r="AJ39" s="1"/>
      <c r="AK39" s="1"/>
      <c r="BG39" s="150" t="str">
        <f t="shared" ref="BG39:BR39" si="35">IF(OR(BG$8=1,BG$9=1),F17,"")</f>
        <v/>
      </c>
      <c r="BH39" s="150" t="str">
        <f t="shared" si="35"/>
        <v/>
      </c>
      <c r="BI39" s="150" t="str">
        <f t="shared" si="35"/>
        <v/>
      </c>
      <c r="BJ39" s="150" t="str">
        <f t="shared" si="35"/>
        <v/>
      </c>
      <c r="BK39" s="150" t="str">
        <f t="shared" si="35"/>
        <v/>
      </c>
      <c r="BL39" s="150" t="str">
        <f t="shared" si="35"/>
        <v/>
      </c>
      <c r="BM39" s="150">
        <f t="shared" si="35"/>
        <v>348.54445078499998</v>
      </c>
      <c r="BN39" s="150">
        <f t="shared" si="35"/>
        <v>290.16686556334116</v>
      </c>
      <c r="BO39" s="150">
        <f t="shared" si="35"/>
        <v>316.4511468259816</v>
      </c>
      <c r="BP39" s="150">
        <f t="shared" si="35"/>
        <v>321.79118479345891</v>
      </c>
      <c r="BQ39" s="150">
        <f t="shared" si="35"/>
        <v>321.79118481246024</v>
      </c>
      <c r="BR39" s="150">
        <f t="shared" si="35"/>
        <v>301.56365258830016</v>
      </c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</row>
    <row r="40" spans="1:83" s="69" customForma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"/>
      <c r="AF40" s="1"/>
      <c r="AG40" s="118"/>
      <c r="AH40" s="171" t="s">
        <v>26</v>
      </c>
      <c r="AI40" s="1"/>
      <c r="AJ40" s="1"/>
      <c r="AK40" s="1"/>
      <c r="BG40" s="159">
        <f t="shared" ref="BG40:BR40" si="36">IF(BG36="",BG38,BG36)</f>
        <v>293.6575727759772</v>
      </c>
      <c r="BH40" s="159">
        <f t="shared" si="36"/>
        <v>265.52396073966685</v>
      </c>
      <c r="BI40" s="159">
        <f t="shared" si="36"/>
        <v>301.56365258830016</v>
      </c>
      <c r="BJ40" s="159">
        <f t="shared" si="36"/>
        <v>314.80977038710188</v>
      </c>
      <c r="BK40" s="159">
        <f t="shared" si="36"/>
        <v>313.88510500013734</v>
      </c>
      <c r="BL40" s="159">
        <f t="shared" si="36"/>
        <v>310.39439777938253</v>
      </c>
      <c r="BM40" s="159">
        <f t="shared" si="36"/>
        <v>329.69726462469686</v>
      </c>
      <c r="BN40" s="159">
        <f t="shared" si="36"/>
        <v>344.45830393412996</v>
      </c>
      <c r="BO40" s="159">
        <f t="shared" si="36"/>
        <v>352.74481268649077</v>
      </c>
      <c r="BP40" s="159">
        <f t="shared" si="36"/>
        <v>361.03132143885165</v>
      </c>
      <c r="BQ40" s="159">
        <f t="shared" si="36"/>
        <v>369.31783019121247</v>
      </c>
      <c r="BR40" s="159">
        <f t="shared" si="36"/>
        <v>377.60433894357334</v>
      </c>
      <c r="BS40" s="174">
        <f>SUM(BG40:BR40)</f>
        <v>3934.6883310895209</v>
      </c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</row>
    <row r="41" spans="1:83" s="69" customFormat="1" x14ac:dyDescent="0.2">
      <c r="A41" s="127"/>
      <c r="B41" s="12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27"/>
      <c r="Y41" s="1"/>
      <c r="Z41" s="1"/>
      <c r="AA41" s="1"/>
      <c r="AB41" s="1"/>
      <c r="AC41" s="1"/>
      <c r="AD41" s="1"/>
      <c r="AE41" s="1"/>
      <c r="AF41" s="1"/>
      <c r="AG41" s="6" t="s">
        <v>30</v>
      </c>
      <c r="AH41" s="171" t="s">
        <v>90</v>
      </c>
      <c r="AI41" s="1"/>
      <c r="AJ41" s="1"/>
      <c r="AK41" s="1"/>
      <c r="BG41" s="159">
        <f t="shared" ref="BG41:BR41" si="37">IF(BG37="",BG38,BG37)</f>
        <v>293.6575727759772</v>
      </c>
      <c r="BH41" s="159">
        <f t="shared" si="37"/>
        <v>265.52396073966685</v>
      </c>
      <c r="BI41" s="159">
        <f t="shared" si="37"/>
        <v>301.56365258830016</v>
      </c>
      <c r="BJ41" s="159">
        <f t="shared" si="37"/>
        <v>314.80977038710188</v>
      </c>
      <c r="BK41" s="159">
        <f t="shared" si="37"/>
        <v>313.88510500013734</v>
      </c>
      <c r="BL41" s="159">
        <f t="shared" si="37"/>
        <v>310.39439777938253</v>
      </c>
      <c r="BM41" s="159">
        <f t="shared" si="37"/>
        <v>329.69726462469686</v>
      </c>
      <c r="BN41" s="159">
        <f t="shared" si="37"/>
        <v>312.88756023659471</v>
      </c>
      <c r="BO41" s="159">
        <f t="shared" si="37"/>
        <v>315.27049012966927</v>
      </c>
      <c r="BP41" s="159">
        <f t="shared" si="37"/>
        <v>317.65342002274377</v>
      </c>
      <c r="BQ41" s="159">
        <f t="shared" si="37"/>
        <v>320.03634991581833</v>
      </c>
      <c r="BR41" s="159">
        <f t="shared" si="37"/>
        <v>322.4192798088929</v>
      </c>
      <c r="BS41" s="174">
        <f>SUM(BG41:BR41)</f>
        <v>3717.7988240089821</v>
      </c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</row>
    <row r="42" spans="1:83" s="69" customForma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27"/>
      <c r="Y42" s="1"/>
      <c r="Z42" s="1"/>
      <c r="AA42" s="1"/>
      <c r="AB42" s="1"/>
      <c r="AC42" s="1"/>
      <c r="AD42" s="1"/>
      <c r="AE42" s="1"/>
      <c r="AF42" s="1"/>
      <c r="AG42" s="164"/>
      <c r="AI42" s="1"/>
      <c r="AJ42" s="1"/>
      <c r="AK42" s="1"/>
      <c r="AL42" s="1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</row>
    <row r="43" spans="1:83" s="69" customFormat="1" x14ac:dyDescent="0.2">
      <c r="A43" s="1"/>
      <c r="B43" s="1"/>
      <c r="C43" s="127"/>
      <c r="D43" s="12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27"/>
      <c r="Y43" s="1"/>
      <c r="Z43" s="1"/>
      <c r="AA43" s="1"/>
      <c r="AB43" s="1"/>
      <c r="AC43" s="1"/>
      <c r="AD43" s="1"/>
      <c r="AE43" s="1"/>
      <c r="AF43" s="1"/>
      <c r="AG43" s="6" t="s">
        <v>89</v>
      </c>
      <c r="AH43" s="118" t="str">
        <f>AH34</f>
        <v>Actual</v>
      </c>
      <c r="AI43" s="1"/>
      <c r="AJ43" s="1"/>
      <c r="AK43" s="1"/>
      <c r="AL43" s="1"/>
      <c r="AU43" s="150">
        <f t="shared" ref="AU43:BR43" si="38">IF(AU34="",NA(),AU34)</f>
        <v>331.4490467373322</v>
      </c>
      <c r="AV43" s="150">
        <f t="shared" si="38"/>
        <v>192.22995172811426</v>
      </c>
      <c r="AW43" s="150">
        <f t="shared" si="38"/>
        <v>293.89065448206242</v>
      </c>
      <c r="AX43" s="150">
        <f t="shared" si="38"/>
        <v>298.23460000718501</v>
      </c>
      <c r="AY43" s="150">
        <f t="shared" si="38"/>
        <v>370.87773730633921</v>
      </c>
      <c r="AZ43" s="150">
        <f t="shared" si="38"/>
        <v>211.52387079594456</v>
      </c>
      <c r="BA43" s="150">
        <f t="shared" si="38"/>
        <v>330.4977830078887</v>
      </c>
      <c r="BB43" s="150">
        <f t="shared" si="38"/>
        <v>207.34383916267058</v>
      </c>
      <c r="BC43" s="150">
        <f t="shared" si="38"/>
        <v>331.0604260942003</v>
      </c>
      <c r="BD43" s="150">
        <f t="shared" si="38"/>
        <v>191.55252713425921</v>
      </c>
      <c r="BE43" s="150">
        <f t="shared" si="38"/>
        <v>319.95400557495987</v>
      </c>
      <c r="BF43" s="150">
        <f t="shared" si="38"/>
        <v>196.25758209719424</v>
      </c>
      <c r="BG43" s="150">
        <f t="shared" si="38"/>
        <v>346.82725108199998</v>
      </c>
      <c r="BH43" s="150">
        <f t="shared" si="38"/>
        <v>238.79549961599997</v>
      </c>
      <c r="BI43" s="150">
        <f t="shared" si="38"/>
        <v>350.51170027500001</v>
      </c>
      <c r="BJ43" s="150">
        <f t="shared" si="38"/>
        <v>268.37060003700003</v>
      </c>
      <c r="BK43" s="150">
        <f t="shared" si="38"/>
        <v>198.77341220100004</v>
      </c>
      <c r="BL43" s="150">
        <f t="shared" si="38"/>
        <v>451.48431072299996</v>
      </c>
      <c r="BM43" s="150">
        <f t="shared" si="38"/>
        <v>348.54445078499998</v>
      </c>
      <c r="BN43" s="150" t="e">
        <f t="shared" si="38"/>
        <v>#N/A</v>
      </c>
      <c r="BO43" s="150" t="e">
        <f t="shared" si="38"/>
        <v>#N/A</v>
      </c>
      <c r="BP43" s="150" t="e">
        <f t="shared" si="38"/>
        <v>#N/A</v>
      </c>
      <c r="BQ43" s="150" t="e">
        <f t="shared" si="38"/>
        <v>#N/A</v>
      </c>
      <c r="BR43" s="150" t="e">
        <f t="shared" si="38"/>
        <v>#N/A</v>
      </c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</row>
    <row r="44" spans="1:83" s="127" customFormat="1" ht="13.1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U44" s="69"/>
      <c r="V44" s="69"/>
      <c r="W44" s="69"/>
      <c r="X44" s="69"/>
      <c r="Y44" s="1"/>
      <c r="Z44" s="1"/>
      <c r="AA44" s="1"/>
      <c r="AB44" s="1"/>
      <c r="AC44" s="1"/>
      <c r="AD44" s="1"/>
      <c r="AG44" s="69"/>
      <c r="AH44" s="118" t="str">
        <f>AH38</f>
        <v>Budget</v>
      </c>
      <c r="AI44" s="1"/>
      <c r="AJ44" s="1"/>
      <c r="AK44" s="1"/>
      <c r="AL44" s="1"/>
      <c r="AM44" s="69"/>
      <c r="AN44" s="69"/>
      <c r="AO44" s="69"/>
      <c r="AP44" s="69"/>
      <c r="AQ44" s="69"/>
      <c r="AR44" s="69"/>
      <c r="AS44" s="69"/>
      <c r="AT44" s="69"/>
      <c r="AU44" s="150" t="e">
        <f t="shared" ref="AU44:BR44" si="39">IF(AU35="",NA(),AU35)</f>
        <v>#N/A</v>
      </c>
      <c r="AV44" s="150" t="e">
        <f t="shared" si="39"/>
        <v>#N/A</v>
      </c>
      <c r="AW44" s="150" t="e">
        <f t="shared" si="39"/>
        <v>#N/A</v>
      </c>
      <c r="AX44" s="150" t="e">
        <f t="shared" si="39"/>
        <v>#N/A</v>
      </c>
      <c r="AY44" s="150" t="e">
        <f t="shared" si="39"/>
        <v>#N/A</v>
      </c>
      <c r="AZ44" s="150" t="e">
        <f t="shared" si="39"/>
        <v>#N/A</v>
      </c>
      <c r="BA44" s="150" t="e">
        <f t="shared" si="39"/>
        <v>#N/A</v>
      </c>
      <c r="BB44" s="150" t="e">
        <f t="shared" si="39"/>
        <v>#N/A</v>
      </c>
      <c r="BC44" s="150" t="e">
        <f t="shared" si="39"/>
        <v>#N/A</v>
      </c>
      <c r="BD44" s="150" t="e">
        <f t="shared" si="39"/>
        <v>#N/A</v>
      </c>
      <c r="BE44" s="150" t="e">
        <f t="shared" si="39"/>
        <v>#N/A</v>
      </c>
      <c r="BF44" s="150" t="e">
        <f t="shared" si="39"/>
        <v>#N/A</v>
      </c>
      <c r="BG44" s="150" t="e">
        <f t="shared" si="39"/>
        <v>#N/A</v>
      </c>
      <c r="BH44" s="150" t="e">
        <f t="shared" si="39"/>
        <v>#N/A</v>
      </c>
      <c r="BI44" s="150" t="e">
        <f t="shared" si="39"/>
        <v>#N/A</v>
      </c>
      <c r="BJ44" s="150" t="e">
        <f t="shared" si="39"/>
        <v>#N/A</v>
      </c>
      <c r="BK44" s="150" t="e">
        <f t="shared" si="39"/>
        <v>#N/A</v>
      </c>
      <c r="BL44" s="150" t="e">
        <f t="shared" si="39"/>
        <v>#N/A</v>
      </c>
      <c r="BM44" s="150">
        <f t="shared" si="39"/>
        <v>329.69726462469686</v>
      </c>
      <c r="BN44" s="150">
        <f t="shared" si="39"/>
        <v>290.16686556334116</v>
      </c>
      <c r="BO44" s="150">
        <f t="shared" si="39"/>
        <v>316.4511468259816</v>
      </c>
      <c r="BP44" s="150">
        <f t="shared" si="39"/>
        <v>321.79118479345891</v>
      </c>
      <c r="BQ44" s="150">
        <f t="shared" si="39"/>
        <v>321.79118481246024</v>
      </c>
      <c r="BR44" s="150">
        <f t="shared" si="39"/>
        <v>301.56365258830016</v>
      </c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</row>
    <row r="45" spans="1:83" s="69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Y45" s="1"/>
      <c r="Z45" s="1"/>
      <c r="AA45" s="1"/>
      <c r="AB45" s="1"/>
      <c r="AC45" s="1"/>
      <c r="AD45" s="1"/>
      <c r="AE45" s="1"/>
      <c r="AF45" s="1"/>
      <c r="AH45" s="118" t="str">
        <f>AH36</f>
        <v>Trend 6m</v>
      </c>
      <c r="AI45" s="1"/>
      <c r="AJ45" s="1"/>
      <c r="AK45" s="1"/>
      <c r="AL45" s="1"/>
      <c r="AU45" s="150" t="e">
        <f t="shared" ref="AU45:BR45" si="40">IF(AU36="",NA(),AU36)</f>
        <v>#N/A</v>
      </c>
      <c r="AV45" s="150" t="e">
        <f t="shared" si="40"/>
        <v>#N/A</v>
      </c>
      <c r="AW45" s="150" t="e">
        <f t="shared" si="40"/>
        <v>#N/A</v>
      </c>
      <c r="AX45" s="150" t="e">
        <f t="shared" si="40"/>
        <v>#N/A</v>
      </c>
      <c r="AY45" s="150" t="e">
        <f t="shared" si="40"/>
        <v>#N/A</v>
      </c>
      <c r="AZ45" s="150" t="e">
        <f t="shared" si="40"/>
        <v>#N/A</v>
      </c>
      <c r="BA45" s="150" t="e">
        <f t="shared" si="40"/>
        <v>#N/A</v>
      </c>
      <c r="BB45" s="150" t="e">
        <f t="shared" si="40"/>
        <v>#N/A</v>
      </c>
      <c r="BC45" s="150" t="e">
        <f t="shared" si="40"/>
        <v>#N/A</v>
      </c>
      <c r="BD45" s="150" t="e">
        <f t="shared" si="40"/>
        <v>#N/A</v>
      </c>
      <c r="BE45" s="150" t="e">
        <f t="shared" si="40"/>
        <v>#N/A</v>
      </c>
      <c r="BF45" s="150" t="e">
        <f t="shared" si="40"/>
        <v>#N/A</v>
      </c>
      <c r="BG45" s="150" t="e">
        <f t="shared" si="40"/>
        <v>#N/A</v>
      </c>
      <c r="BH45" s="150" t="e">
        <f t="shared" si="40"/>
        <v>#N/A</v>
      </c>
      <c r="BI45" s="150" t="e">
        <f t="shared" si="40"/>
        <v>#N/A</v>
      </c>
      <c r="BJ45" s="150" t="e">
        <f t="shared" si="40"/>
        <v>#N/A</v>
      </c>
      <c r="BK45" s="150" t="e">
        <f t="shared" si="40"/>
        <v>#N/A</v>
      </c>
      <c r="BL45" s="150" t="e">
        <f t="shared" si="40"/>
        <v>#N/A</v>
      </c>
      <c r="BM45" s="150" t="e">
        <f t="shared" si="40"/>
        <v>#N/A</v>
      </c>
      <c r="BN45" s="150">
        <f t="shared" si="40"/>
        <v>344.45830393412996</v>
      </c>
      <c r="BO45" s="150">
        <f t="shared" si="40"/>
        <v>352.74481268649077</v>
      </c>
      <c r="BP45" s="150">
        <f t="shared" si="40"/>
        <v>361.03132143885165</v>
      </c>
      <c r="BQ45" s="150">
        <f t="shared" si="40"/>
        <v>369.31783019121247</v>
      </c>
      <c r="BR45" s="150">
        <f t="shared" si="40"/>
        <v>377.60433894357334</v>
      </c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</row>
    <row r="46" spans="1:83" s="69" customForma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Y46" s="1"/>
      <c r="Z46" s="1"/>
      <c r="AA46" s="1"/>
      <c r="AB46" s="1"/>
      <c r="AC46" s="1"/>
      <c r="AD46" s="1"/>
      <c r="AE46" s="1"/>
      <c r="AF46" s="1"/>
      <c r="AH46" s="118" t="str">
        <f>AH37</f>
        <v>Trend 12m</v>
      </c>
      <c r="AI46" s="1"/>
      <c r="AJ46" s="1"/>
      <c r="AK46" s="1"/>
      <c r="AL46" s="1"/>
      <c r="AU46" s="150" t="e">
        <f t="shared" ref="AU46:BR46" si="41">IF(AU37="",NA(),AU37)</f>
        <v>#N/A</v>
      </c>
      <c r="AV46" s="150" t="e">
        <f t="shared" si="41"/>
        <v>#N/A</v>
      </c>
      <c r="AW46" s="150" t="e">
        <f t="shared" si="41"/>
        <v>#N/A</v>
      </c>
      <c r="AX46" s="150" t="e">
        <f t="shared" si="41"/>
        <v>#N/A</v>
      </c>
      <c r="AY46" s="150" t="e">
        <f t="shared" si="41"/>
        <v>#N/A</v>
      </c>
      <c r="AZ46" s="150" t="e">
        <f t="shared" si="41"/>
        <v>#N/A</v>
      </c>
      <c r="BA46" s="150" t="e">
        <f t="shared" si="41"/>
        <v>#N/A</v>
      </c>
      <c r="BB46" s="150" t="e">
        <f t="shared" si="41"/>
        <v>#N/A</v>
      </c>
      <c r="BC46" s="150" t="e">
        <f t="shared" si="41"/>
        <v>#N/A</v>
      </c>
      <c r="BD46" s="150" t="e">
        <f t="shared" si="41"/>
        <v>#N/A</v>
      </c>
      <c r="BE46" s="150" t="e">
        <f t="shared" si="41"/>
        <v>#N/A</v>
      </c>
      <c r="BF46" s="150" t="e">
        <f t="shared" si="41"/>
        <v>#N/A</v>
      </c>
      <c r="BG46" s="150" t="e">
        <f t="shared" si="41"/>
        <v>#N/A</v>
      </c>
      <c r="BH46" s="150" t="e">
        <f t="shared" si="41"/>
        <v>#N/A</v>
      </c>
      <c r="BI46" s="150" t="e">
        <f t="shared" si="41"/>
        <v>#N/A</v>
      </c>
      <c r="BJ46" s="150" t="e">
        <f t="shared" si="41"/>
        <v>#N/A</v>
      </c>
      <c r="BK46" s="150" t="e">
        <f t="shared" si="41"/>
        <v>#N/A</v>
      </c>
      <c r="BL46" s="150" t="e">
        <f t="shared" si="41"/>
        <v>#N/A</v>
      </c>
      <c r="BM46" s="150" t="e">
        <f t="shared" si="41"/>
        <v>#N/A</v>
      </c>
      <c r="BN46" s="150">
        <f t="shared" si="41"/>
        <v>312.88756023659471</v>
      </c>
      <c r="BO46" s="150">
        <f t="shared" si="41"/>
        <v>315.27049012966927</v>
      </c>
      <c r="BP46" s="150">
        <f t="shared" si="41"/>
        <v>317.65342002274377</v>
      </c>
      <c r="BQ46" s="150">
        <f t="shared" si="41"/>
        <v>320.03634991581833</v>
      </c>
      <c r="BR46" s="150">
        <f t="shared" si="41"/>
        <v>322.4192798088929</v>
      </c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</row>
    <row r="47" spans="1:83" s="69" customForma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Y47" s="1"/>
      <c r="Z47" s="1"/>
      <c r="AA47" s="1"/>
      <c r="AB47" s="1"/>
      <c r="AC47" s="1"/>
      <c r="AD47" s="1"/>
      <c r="AE47" s="1"/>
      <c r="AF47" s="1"/>
      <c r="AG47" s="1"/>
      <c r="AH47" s="118" t="s">
        <v>34</v>
      </c>
      <c r="AI47" s="1"/>
      <c r="AJ47" s="1"/>
      <c r="AK47" s="1"/>
      <c r="AL47" s="146"/>
      <c r="AM47" s="1"/>
      <c r="AN47" s="1"/>
      <c r="AO47" s="1"/>
      <c r="AP47" s="1"/>
      <c r="AQ47" s="1"/>
      <c r="AR47" s="1"/>
      <c r="AS47" s="1"/>
      <c r="AT47" s="1"/>
      <c r="AU47" s="150" t="e">
        <f>IF(AU39="",NA(),AU39)</f>
        <v>#N/A</v>
      </c>
      <c r="AV47" s="150" t="e">
        <f t="shared" ref="AV47:BR47" si="42">IF(AV39="",NA(),AV39)</f>
        <v>#N/A</v>
      </c>
      <c r="AW47" s="150" t="e">
        <f t="shared" si="42"/>
        <v>#N/A</v>
      </c>
      <c r="AX47" s="150" t="e">
        <f t="shared" si="42"/>
        <v>#N/A</v>
      </c>
      <c r="AY47" s="150" t="e">
        <f t="shared" si="42"/>
        <v>#N/A</v>
      </c>
      <c r="AZ47" s="150" t="e">
        <f t="shared" si="42"/>
        <v>#N/A</v>
      </c>
      <c r="BA47" s="150" t="e">
        <f t="shared" si="42"/>
        <v>#N/A</v>
      </c>
      <c r="BB47" s="150" t="e">
        <f t="shared" si="42"/>
        <v>#N/A</v>
      </c>
      <c r="BC47" s="150" t="e">
        <f t="shared" si="42"/>
        <v>#N/A</v>
      </c>
      <c r="BD47" s="150" t="e">
        <f t="shared" si="42"/>
        <v>#N/A</v>
      </c>
      <c r="BE47" s="150" t="e">
        <f t="shared" si="42"/>
        <v>#N/A</v>
      </c>
      <c r="BF47" s="150" t="e">
        <f t="shared" si="42"/>
        <v>#N/A</v>
      </c>
      <c r="BG47" s="150" t="e">
        <f t="shared" si="42"/>
        <v>#N/A</v>
      </c>
      <c r="BH47" s="150" t="e">
        <f t="shared" si="42"/>
        <v>#N/A</v>
      </c>
      <c r="BI47" s="150" t="e">
        <f t="shared" si="42"/>
        <v>#N/A</v>
      </c>
      <c r="BJ47" s="150" t="e">
        <f t="shared" si="42"/>
        <v>#N/A</v>
      </c>
      <c r="BK47" s="150" t="e">
        <f t="shared" si="42"/>
        <v>#N/A</v>
      </c>
      <c r="BL47" s="150" t="e">
        <f t="shared" si="42"/>
        <v>#N/A</v>
      </c>
      <c r="BM47" s="150">
        <f t="shared" si="42"/>
        <v>348.54445078499998</v>
      </c>
      <c r="BN47" s="150">
        <f t="shared" si="42"/>
        <v>290.16686556334116</v>
      </c>
      <c r="BO47" s="150">
        <f t="shared" si="42"/>
        <v>316.4511468259816</v>
      </c>
      <c r="BP47" s="150">
        <f t="shared" si="42"/>
        <v>321.79118479345891</v>
      </c>
      <c r="BQ47" s="150">
        <f t="shared" si="42"/>
        <v>321.79118481246024</v>
      </c>
      <c r="BR47" s="150">
        <f t="shared" si="42"/>
        <v>301.56365258830016</v>
      </c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</row>
    <row r="48" spans="1:83" s="69" customForma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Y48" s="1"/>
      <c r="Z48" s="1"/>
      <c r="AA48" s="1"/>
      <c r="AB48" s="1"/>
      <c r="AC48" s="1"/>
      <c r="AD48" s="1"/>
      <c r="AE48" s="1"/>
      <c r="AF48" s="1"/>
      <c r="AH48" s="1"/>
      <c r="AI48" s="1"/>
      <c r="BW48" s="1"/>
      <c r="BX48" s="1"/>
      <c r="BY48" s="1"/>
      <c r="BZ48" s="1"/>
      <c r="CA48" s="1"/>
    </row>
    <row r="49" spans="1:79" s="69" customForma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Y49" s="1"/>
      <c r="Z49" s="1"/>
      <c r="AA49" s="1"/>
      <c r="AB49" s="1"/>
      <c r="AC49" s="1"/>
      <c r="AD49" s="1"/>
      <c r="AE49" s="1"/>
      <c r="AF49" s="1"/>
      <c r="AH49" s="1"/>
      <c r="AI49" s="1"/>
      <c r="BW49" s="1"/>
      <c r="BX49" s="1"/>
      <c r="BY49" s="1"/>
      <c r="BZ49" s="1"/>
      <c r="CA49" s="1"/>
    </row>
    <row r="50" spans="1:79" s="69" customForma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BW50" s="1"/>
      <c r="BX50" s="1"/>
      <c r="BY50" s="1"/>
      <c r="BZ50" s="1"/>
      <c r="CA50" s="1"/>
    </row>
    <row r="51" spans="1:79" s="69" customForma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BW51" s="1"/>
      <c r="BX51" s="1"/>
      <c r="BY51" s="1"/>
      <c r="BZ51" s="1"/>
      <c r="CA51" s="1"/>
    </row>
    <row r="52" spans="1:79" s="69" customForma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BW52" s="1"/>
      <c r="BX52" s="1"/>
      <c r="BY52" s="1"/>
      <c r="BZ52" s="1"/>
      <c r="CA52" s="1"/>
    </row>
    <row r="53" spans="1:79" s="69" customForma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BW53" s="1"/>
      <c r="BX53" s="1"/>
      <c r="BY53" s="1"/>
      <c r="BZ53" s="1"/>
      <c r="CA53" s="1"/>
    </row>
    <row r="54" spans="1:79" s="69" customForma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BW54" s="1"/>
      <c r="BX54" s="1"/>
      <c r="BY54" s="1"/>
      <c r="BZ54" s="1"/>
      <c r="CA54" s="1"/>
    </row>
    <row r="55" spans="1:79" s="69" customForma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BW55" s="1"/>
      <c r="BX55" s="1"/>
      <c r="BY55" s="1"/>
      <c r="BZ55" s="1"/>
      <c r="CA55" s="1"/>
    </row>
    <row r="56" spans="1:79" s="69" customForma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BW56" s="1"/>
      <c r="BX56" s="1"/>
      <c r="BY56" s="1"/>
      <c r="BZ56" s="1"/>
      <c r="CA56" s="1"/>
    </row>
    <row r="57" spans="1:79" s="69" customForma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BW57" s="1"/>
      <c r="BX57" s="1"/>
      <c r="BY57" s="1"/>
      <c r="BZ57" s="1"/>
      <c r="CA57" s="1"/>
    </row>
    <row r="58" spans="1:79" s="69" customForma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BW58" s="1"/>
      <c r="BX58" s="1"/>
      <c r="BY58" s="1"/>
      <c r="BZ58" s="1"/>
      <c r="CA58" s="1"/>
    </row>
    <row r="59" spans="1:79" x14ac:dyDescent="0.2">
      <c r="T59" s="69"/>
      <c r="U59" s="69"/>
      <c r="V59" s="69"/>
      <c r="W59" s="69"/>
      <c r="X59" s="69"/>
      <c r="AJ59" s="69"/>
    </row>
    <row r="60" spans="1:79" s="69" customForma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BW60" s="1"/>
      <c r="BX60" s="1"/>
      <c r="BY60" s="1"/>
      <c r="BZ60" s="1"/>
      <c r="CA60" s="1"/>
    </row>
    <row r="61" spans="1:79" s="69" customForma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BW61" s="1"/>
      <c r="BX61" s="1"/>
      <c r="BY61" s="1"/>
      <c r="BZ61" s="1"/>
      <c r="CA61" s="1"/>
    </row>
    <row r="62" spans="1:79" s="69" customForma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BW62" s="1"/>
      <c r="BX62" s="1"/>
      <c r="BY62" s="1"/>
      <c r="BZ62" s="1"/>
      <c r="CA62" s="1"/>
    </row>
    <row r="63" spans="1:79" s="69" customForma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BW63" s="1"/>
      <c r="BX63" s="1"/>
      <c r="BY63" s="1"/>
      <c r="BZ63" s="1"/>
      <c r="CA63" s="1"/>
    </row>
    <row r="64" spans="1:79" s="69" customForma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BW64" s="1"/>
      <c r="BX64" s="1"/>
      <c r="BY64" s="1"/>
      <c r="BZ64" s="1"/>
      <c r="CA64" s="1"/>
    </row>
    <row r="65" spans="1:79" s="69" customForma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BW65" s="1"/>
      <c r="BX65" s="1"/>
      <c r="BY65" s="1"/>
      <c r="BZ65" s="1"/>
      <c r="CA65" s="1"/>
    </row>
    <row r="66" spans="1:79" s="69" customForma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BW66" s="1"/>
      <c r="BX66" s="1"/>
      <c r="BY66" s="1"/>
      <c r="BZ66" s="1"/>
      <c r="CA66" s="1"/>
    </row>
    <row r="67" spans="1:79" s="69" customForma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BW67" s="1"/>
      <c r="BX67" s="1"/>
      <c r="BY67" s="1"/>
      <c r="BZ67" s="1"/>
      <c r="CA67" s="1"/>
    </row>
    <row r="68" spans="1:79" s="69" customForma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BW68" s="1"/>
      <c r="BX68" s="1"/>
      <c r="BY68" s="1"/>
      <c r="BZ68" s="1"/>
      <c r="CA68" s="1"/>
    </row>
    <row r="69" spans="1:79" s="69" customForma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BW69" s="1"/>
      <c r="BX69" s="1"/>
      <c r="BY69" s="1"/>
      <c r="BZ69" s="1"/>
      <c r="CA69" s="1"/>
    </row>
    <row r="70" spans="1:79" s="69" customForma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BW70" s="1"/>
      <c r="BX70" s="1"/>
      <c r="BY70" s="1"/>
      <c r="BZ70" s="1"/>
      <c r="CA70" s="1"/>
    </row>
    <row r="71" spans="1:79" s="69" customForma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BW71" s="1"/>
      <c r="BX71" s="1"/>
      <c r="BY71" s="1"/>
      <c r="BZ71" s="1"/>
      <c r="CA71" s="1"/>
    </row>
    <row r="72" spans="1:79" s="69" customForma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BW72" s="1"/>
      <c r="BX72" s="1"/>
      <c r="BY72" s="1"/>
      <c r="BZ72" s="1"/>
      <c r="CA72" s="1"/>
    </row>
    <row r="73" spans="1:79" s="69" customForma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BW73" s="1"/>
      <c r="BX73" s="1"/>
      <c r="BY73" s="1"/>
      <c r="BZ73" s="1"/>
      <c r="CA73" s="1"/>
    </row>
    <row r="74" spans="1:79" s="69" customForma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BW74" s="1"/>
      <c r="BX74" s="1"/>
      <c r="BY74" s="1"/>
      <c r="BZ74" s="1"/>
      <c r="CA74" s="1"/>
    </row>
    <row r="75" spans="1:79" s="69" customForma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BW75" s="1"/>
      <c r="BX75" s="1"/>
      <c r="BY75" s="1"/>
      <c r="BZ75" s="1"/>
      <c r="CA75" s="1"/>
    </row>
    <row r="76" spans="1:79" s="69" customForma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BW76" s="1"/>
      <c r="BX76" s="1"/>
      <c r="BY76" s="1"/>
      <c r="BZ76" s="1"/>
      <c r="CA76" s="1"/>
    </row>
    <row r="77" spans="1:79" s="69" customForma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BW77" s="1"/>
      <c r="BX77" s="1"/>
      <c r="BY77" s="1"/>
      <c r="BZ77" s="1"/>
      <c r="CA77" s="1"/>
    </row>
    <row r="78" spans="1:79" s="69" customForma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BW78" s="1"/>
      <c r="BX78" s="1"/>
      <c r="BY78" s="1"/>
      <c r="BZ78" s="1"/>
      <c r="CA78" s="1"/>
    </row>
    <row r="79" spans="1:79" s="69" customForma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BW79" s="1"/>
      <c r="BX79" s="1"/>
      <c r="BY79" s="1"/>
      <c r="BZ79" s="1"/>
      <c r="CA79" s="1"/>
    </row>
    <row r="80" spans="1:79" s="69" customForma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BW80" s="1"/>
      <c r="BX80" s="1"/>
      <c r="BY80" s="1"/>
      <c r="BZ80" s="1"/>
      <c r="CA80" s="1"/>
    </row>
    <row r="81" spans="1:79" s="69" customForma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BW81" s="1"/>
      <c r="BX81" s="1"/>
      <c r="BY81" s="1"/>
      <c r="BZ81" s="1"/>
      <c r="CA81" s="1"/>
    </row>
    <row r="82" spans="1:79" s="69" customForma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BW82" s="1"/>
      <c r="BX82" s="1"/>
      <c r="BY82" s="1"/>
      <c r="BZ82" s="1"/>
      <c r="CA82" s="1"/>
    </row>
    <row r="83" spans="1:79" s="69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BW83" s="1"/>
      <c r="BX83" s="1"/>
      <c r="BY83" s="1"/>
      <c r="BZ83" s="1"/>
      <c r="CA83" s="1"/>
    </row>
    <row r="84" spans="1:79" s="69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BW84" s="1"/>
      <c r="BX84" s="1"/>
      <c r="BY84" s="1"/>
      <c r="BZ84" s="1"/>
      <c r="CA84" s="1"/>
    </row>
    <row r="85" spans="1:79" s="69" customForma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BW85" s="1"/>
      <c r="BX85" s="1"/>
      <c r="BY85" s="1"/>
      <c r="BZ85" s="1"/>
      <c r="CA85" s="1"/>
    </row>
    <row r="86" spans="1:79" s="69" customForma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BW86" s="1"/>
      <c r="BX86" s="1"/>
      <c r="BY86" s="1"/>
      <c r="BZ86" s="1"/>
      <c r="CA86" s="1"/>
    </row>
    <row r="87" spans="1:79" s="69" customForma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BW87" s="1"/>
      <c r="BX87" s="1"/>
      <c r="BY87" s="1"/>
      <c r="BZ87" s="1"/>
      <c r="CA87" s="1"/>
    </row>
    <row r="88" spans="1:79" x14ac:dyDescent="0.2">
      <c r="AJ88" s="69"/>
    </row>
    <row r="89" spans="1:79" s="69" customForma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BW89" s="1"/>
      <c r="BX89" s="1"/>
      <c r="BY89" s="1"/>
      <c r="BZ89" s="1"/>
      <c r="CA89" s="1"/>
    </row>
    <row r="90" spans="1:79" s="69" customForma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BW90" s="1"/>
      <c r="BX90" s="1"/>
      <c r="BY90" s="1"/>
      <c r="BZ90" s="1"/>
      <c r="CA90" s="1"/>
    </row>
    <row r="91" spans="1:79" s="69" customForma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BW91" s="1"/>
      <c r="BX91" s="1"/>
      <c r="BY91" s="1"/>
      <c r="BZ91" s="1"/>
      <c r="CA91" s="1"/>
    </row>
    <row r="92" spans="1:79" s="69" customForma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BW92" s="1"/>
      <c r="BX92" s="1"/>
      <c r="BY92" s="1"/>
      <c r="BZ92" s="1"/>
      <c r="CA92" s="1"/>
    </row>
    <row r="93" spans="1:79" s="69" customForma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BW93" s="1"/>
      <c r="BX93" s="1"/>
      <c r="BY93" s="1"/>
      <c r="BZ93" s="1"/>
      <c r="CA93" s="1"/>
    </row>
    <row r="94" spans="1:79" s="69" customForma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BW94" s="1"/>
      <c r="BX94" s="1"/>
      <c r="BY94" s="1"/>
      <c r="BZ94" s="1"/>
      <c r="CA94" s="1"/>
    </row>
    <row r="95" spans="1:79" s="69" customForma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BW95" s="1"/>
      <c r="BX95" s="1"/>
      <c r="BY95" s="1"/>
      <c r="BZ95" s="1"/>
      <c r="CA95" s="1"/>
    </row>
    <row r="96" spans="1:79" s="69" customForma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BW96" s="1"/>
      <c r="BX96" s="1"/>
      <c r="BY96" s="1"/>
      <c r="BZ96" s="1"/>
      <c r="CA96" s="1"/>
    </row>
    <row r="97" spans="1:79" s="69" customForma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BW97" s="1"/>
      <c r="BX97" s="1"/>
      <c r="BY97" s="1"/>
      <c r="BZ97" s="1"/>
      <c r="CA97" s="1"/>
    </row>
    <row r="98" spans="1:79" s="69" customForma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BW98" s="1"/>
      <c r="BX98" s="1"/>
      <c r="BY98" s="1"/>
      <c r="BZ98" s="1"/>
      <c r="CA98" s="1"/>
    </row>
    <row r="99" spans="1:79" s="69" customForma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BW99" s="1"/>
      <c r="BX99" s="1"/>
      <c r="BY99" s="1"/>
      <c r="BZ99" s="1"/>
      <c r="CA99" s="1"/>
    </row>
    <row r="100" spans="1:79" s="69" customForma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BW100" s="1"/>
      <c r="BX100" s="1"/>
      <c r="BY100" s="1"/>
      <c r="BZ100" s="1"/>
      <c r="CA100" s="1"/>
    </row>
    <row r="101" spans="1:79" s="69" customForma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BW101" s="1"/>
      <c r="BX101" s="1"/>
      <c r="BY101" s="1"/>
      <c r="BZ101" s="1"/>
      <c r="CA101" s="1"/>
    </row>
    <row r="102" spans="1:79" s="69" customForma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BW102" s="1"/>
      <c r="BX102" s="1"/>
      <c r="BY102" s="1"/>
      <c r="BZ102" s="1"/>
      <c r="CA102" s="1"/>
    </row>
    <row r="103" spans="1:79" s="69" customForma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BW103" s="1"/>
      <c r="BX103" s="1"/>
      <c r="BY103" s="1"/>
      <c r="BZ103" s="1"/>
      <c r="CA103" s="1"/>
    </row>
    <row r="104" spans="1:79" s="69" customForma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BW104" s="1"/>
      <c r="BX104" s="1"/>
      <c r="BY104" s="1"/>
      <c r="BZ104" s="1"/>
      <c r="CA104" s="1"/>
    </row>
    <row r="105" spans="1:79" s="69" customForma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BW105" s="1"/>
      <c r="BX105" s="1"/>
      <c r="BY105" s="1"/>
      <c r="BZ105" s="1"/>
      <c r="CA105" s="1"/>
    </row>
    <row r="106" spans="1:79" s="69" customForma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BW106" s="1"/>
      <c r="BX106" s="1"/>
      <c r="BY106" s="1"/>
      <c r="BZ106" s="1"/>
      <c r="CA106" s="1"/>
    </row>
    <row r="107" spans="1:79" s="69" customForma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BW107" s="1"/>
      <c r="BX107" s="1"/>
      <c r="BY107" s="1"/>
      <c r="BZ107" s="1"/>
      <c r="CA107" s="1"/>
    </row>
    <row r="108" spans="1:79" s="69" customForma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84"/>
      <c r="AK108" s="185"/>
      <c r="AL108" s="118"/>
      <c r="AM108" s="186"/>
      <c r="AN108" s="187"/>
      <c r="AP108" s="188"/>
      <c r="AR108" s="188"/>
      <c r="AT108" s="188"/>
      <c r="AV108" s="188"/>
      <c r="AX108" s="188"/>
      <c r="AZ108" s="188"/>
      <c r="BB108" s="188"/>
      <c r="BD108" s="188"/>
      <c r="BF108" s="188"/>
      <c r="BH108" s="188"/>
      <c r="BJ108" s="188"/>
      <c r="BW108" s="1"/>
      <c r="BX108" s="1"/>
      <c r="BY108" s="1"/>
      <c r="BZ108" s="1"/>
      <c r="CA108" s="1"/>
    </row>
    <row r="109" spans="1:79" s="69" customForma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BW109" s="1"/>
      <c r="BX109" s="1"/>
      <c r="BY109" s="1"/>
      <c r="BZ109" s="1"/>
      <c r="CA109" s="1"/>
    </row>
    <row r="110" spans="1:79" s="69" customForma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BW110" s="1"/>
      <c r="BX110" s="1"/>
      <c r="BY110" s="1"/>
      <c r="BZ110" s="1"/>
      <c r="CA110" s="1"/>
    </row>
    <row r="111" spans="1:79" s="69" customForma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BW111" s="1"/>
      <c r="BX111" s="1"/>
      <c r="BY111" s="1"/>
      <c r="BZ111" s="1"/>
      <c r="CA111" s="1"/>
    </row>
    <row r="112" spans="1:79" s="69" customForma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BW112" s="1"/>
      <c r="BX112" s="1"/>
      <c r="BY112" s="1"/>
      <c r="BZ112" s="1"/>
      <c r="CA112" s="1"/>
    </row>
    <row r="113" spans="1:79" s="69" customForma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BW113" s="1"/>
      <c r="BX113" s="1"/>
      <c r="BY113" s="1"/>
      <c r="BZ113" s="1"/>
      <c r="CA113" s="1"/>
    </row>
    <row r="114" spans="1:79" s="69" customForma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BW114" s="1"/>
      <c r="BX114" s="1"/>
      <c r="BY114" s="1"/>
      <c r="BZ114" s="1"/>
      <c r="CA114" s="1"/>
    </row>
    <row r="115" spans="1:79" s="69" customForma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BW115" s="1"/>
      <c r="BX115" s="1"/>
      <c r="BY115" s="1"/>
      <c r="BZ115" s="1"/>
      <c r="CA115" s="1"/>
    </row>
    <row r="116" spans="1:79" s="69" customForma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BW116" s="1"/>
      <c r="BX116" s="1"/>
      <c r="BY116" s="1"/>
      <c r="BZ116" s="1"/>
      <c r="CA116" s="1"/>
    </row>
  </sheetData>
  <conditionalFormatting sqref="S6:S11">
    <cfRule type="cellIs" dxfId="107" priority="61" operator="lessThan">
      <formula>0</formula>
    </cfRule>
    <cfRule type="cellIs" dxfId="106" priority="62" operator="greaterThan">
      <formula>0</formula>
    </cfRule>
  </conditionalFormatting>
  <conditionalFormatting sqref="U25:X27">
    <cfRule type="cellIs" dxfId="105" priority="26" operator="greaterThan">
      <formula>0</formula>
    </cfRule>
    <cfRule type="cellIs" dxfId="104" priority="25" operator="lessThan">
      <formula>0</formula>
    </cfRule>
  </conditionalFormatting>
  <conditionalFormatting sqref="U30:X32">
    <cfRule type="cellIs" dxfId="103" priority="17" operator="lessThan">
      <formula>0</formula>
    </cfRule>
    <cfRule type="cellIs" dxfId="102" priority="18" operator="greaterThan">
      <formula>0</formula>
    </cfRule>
  </conditionalFormatting>
  <conditionalFormatting sqref="U35:X38">
    <cfRule type="cellIs" dxfId="101" priority="37" operator="lessThan">
      <formula>0</formula>
    </cfRule>
    <cfRule type="cellIs" dxfId="100" priority="38" operator="greaterThan">
      <formula>0</formula>
    </cfRule>
  </conditionalFormatting>
  <conditionalFormatting sqref="V13:W13">
    <cfRule type="cellIs" dxfId="99" priority="35" operator="lessThan">
      <formula>0</formula>
    </cfRule>
  </conditionalFormatting>
  <conditionalFormatting sqref="V13:X13">
    <cfRule type="cellIs" dxfId="98" priority="34" operator="greaterThan">
      <formula>0</formula>
    </cfRule>
  </conditionalFormatting>
  <conditionalFormatting sqref="W14 AC14">
    <cfRule type="expression" dxfId="97" priority="75">
      <formula>#REF!&gt;#REF!</formula>
    </cfRule>
  </conditionalFormatting>
  <conditionalFormatting sqref="X6:X9 T10:U10">
    <cfRule type="cellIs" dxfId="96" priority="49" operator="lessThan">
      <formula>0</formula>
    </cfRule>
    <cfRule type="cellIs" dxfId="95" priority="50" operator="greaterThan">
      <formula>0</formula>
    </cfRule>
  </conditionalFormatting>
  <conditionalFormatting sqref="X13:X14">
    <cfRule type="cellIs" dxfId="94" priority="31" operator="lessThan">
      <formula>0</formula>
    </cfRule>
  </conditionalFormatting>
  <conditionalFormatting sqref="X14">
    <cfRule type="cellIs" dxfId="93" priority="32" operator="greaterThan">
      <formula>0</formula>
    </cfRule>
  </conditionalFormatting>
  <conditionalFormatting sqref="AA25:AD27">
    <cfRule type="cellIs" dxfId="92" priority="1" operator="lessThan">
      <formula>0</formula>
    </cfRule>
    <cfRule type="cellIs" dxfId="91" priority="2" operator="greaterThan">
      <formula>0</formula>
    </cfRule>
  </conditionalFormatting>
  <conditionalFormatting sqref="AA30:AD32">
    <cfRule type="cellIs" dxfId="90" priority="7" operator="lessThan">
      <formula>0</formula>
    </cfRule>
    <cfRule type="cellIs" dxfId="89" priority="8" operator="greaterThan">
      <formula>0</formula>
    </cfRule>
  </conditionalFormatting>
  <conditionalFormatting sqref="AA35:AD38">
    <cfRule type="cellIs" dxfId="88" priority="63" operator="lessThan">
      <formula>0</formula>
    </cfRule>
    <cfRule type="cellIs" dxfId="87" priority="64" operator="greaterThan">
      <formula>0</formula>
    </cfRule>
  </conditionalFormatting>
  <conditionalFormatting sqref="AB13:AD13">
    <cfRule type="cellIs" dxfId="86" priority="57" operator="lessThan">
      <formula>0</formula>
    </cfRule>
    <cfRule type="cellIs" dxfId="85" priority="58" operator="greaterThan">
      <formula>0</formula>
    </cfRule>
  </conditionalFormatting>
  <conditionalFormatting sqref="AD6:AD9 Z10:AA10">
    <cfRule type="cellIs" dxfId="84" priority="73" operator="lessThan">
      <formula>0</formula>
    </cfRule>
    <cfRule type="cellIs" dxfId="83" priority="74" operator="greaterThan">
      <formula>0</formula>
    </cfRule>
  </conditionalFormatting>
  <conditionalFormatting sqref="AD14">
    <cfRule type="cellIs" dxfId="82" priority="55" operator="lessThan">
      <formula>0</formula>
    </cfRule>
    <cfRule type="cellIs" dxfId="81" priority="56" operator="greaterThan">
      <formula>0</formula>
    </cfRule>
  </conditionalFormatting>
  <pageMargins left="0.7" right="0.7" top="0.75" bottom="0.75" header="0.3" footer="0.3"/>
  <pageSetup orientation="portrait" verticalDpi="300" r:id="rId1"/>
  <ignoredErrors>
    <ignoredError sqref="F8:R8 F15:R15" formula="1"/>
  </ignoredErrors>
  <drawing r:id="rId2"/>
  <legacyDrawing r:id="rId3"/>
  <controls>
    <mc:AlternateContent xmlns:mc="http://schemas.openxmlformats.org/markup-compatibility/2006">
      <mc:Choice Requires="x14">
        <control shapeId="575489" r:id="rId4" name="FPMExcelClientSheetOptionstb1">
          <controlPr defaultSize="0" autoLine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575489" r:id="rId4" name="FPMExcelClientSheetOptionstb1"/>
      </mc:Fallback>
    </mc:AlternateContent>
    <mc:AlternateContent xmlns:mc="http://schemas.openxmlformats.org/markup-compatibility/2006">
      <mc:Choice Requires="x14">
        <control shapeId="575490" r:id="rId6" name="ConnectionDescriptorsInfotb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304800</xdr:colOff>
                <xdr:row>0</xdr:row>
                <xdr:rowOff>0</xdr:rowOff>
              </to>
            </anchor>
          </controlPr>
        </control>
      </mc:Choice>
      <mc:Fallback>
        <control shapeId="575490" r:id="rId6" name="ConnectionDescriptorsInfotb1"/>
      </mc:Fallback>
    </mc:AlternateContent>
    <mc:AlternateContent xmlns:mc="http://schemas.openxmlformats.org/markup-compatibility/2006">
      <mc:Choice Requires="x14">
        <control shapeId="575491" r:id="rId8" name="MultipleReportManagerInfotb1">
          <controlPr defaultSize="0" autoLine="0" autoPict="0" r:id="rId9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304800</xdr:colOff>
                <xdr:row>0</xdr:row>
                <xdr:rowOff>0</xdr:rowOff>
              </to>
            </anchor>
          </controlPr>
        </control>
      </mc:Choice>
      <mc:Fallback>
        <control shapeId="575491" r:id="rId8" name="MultipleReportManagerInfotb1"/>
      </mc:Fallback>
    </mc:AlternateContent>
    <mc:AlternateContent xmlns:mc="http://schemas.openxmlformats.org/markup-compatibility/2006">
      <mc:Choice Requires="x14">
        <control shapeId="575492" r:id="rId10" name="AnalyzerDynReport000tb1">
          <controlPr defaultSize="0" autoLine="0" autoPict="0" r:id="rId11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304800</xdr:colOff>
                <xdr:row>0</xdr:row>
                <xdr:rowOff>0</xdr:rowOff>
              </to>
            </anchor>
          </controlPr>
        </control>
      </mc:Choice>
      <mc:Fallback>
        <control shapeId="575492" r:id="rId10" name="AnalyzerDynReport000tb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74BF84-65E1-4718-8144-C6B22D6B541E}">
          <x14:formula1>
            <xm:f>Mapping!$A$2:$A$19</xm:f>
          </x14:formula1>
          <xm:sqref>E2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2A28-38B6-469C-9E2E-B31411086929}">
  <sheetPr codeName="Sheet94">
    <tabColor rgb="FF50B47F"/>
  </sheetPr>
  <dimension ref="A1:CE116"/>
  <sheetViews>
    <sheetView showGridLines="0" topLeftCell="D1" zoomScaleNormal="100" workbookViewId="0">
      <selection activeCell="E2" sqref="E2"/>
    </sheetView>
  </sheetViews>
  <sheetFormatPr defaultColWidth="8.7109375" defaultRowHeight="12.75" outlineLevelCol="1" x14ac:dyDescent="0.2"/>
  <cols>
    <col min="1" max="1" width="26.42578125" style="1" hidden="1" customWidth="1" outlineLevel="1"/>
    <col min="2" max="2" width="19.140625" style="1" hidden="1" customWidth="1" outlineLevel="1"/>
    <col min="3" max="3" width="8.7109375" style="1" hidden="1" customWidth="1" outlineLevel="1"/>
    <col min="4" max="4" width="2.7109375" style="1" customWidth="1" collapsed="1"/>
    <col min="5" max="5" width="28.85546875" style="1" customWidth="1"/>
    <col min="6" max="17" width="11.7109375" style="1" customWidth="1"/>
    <col min="18" max="18" width="10.28515625" style="1" customWidth="1"/>
    <col min="19" max="19" width="2.28515625" style="1" customWidth="1"/>
    <col min="20" max="20" width="19" style="1" customWidth="1"/>
    <col min="21" max="24" width="8.7109375" style="1" customWidth="1"/>
    <col min="25" max="25" width="3" style="1" customWidth="1"/>
    <col min="26" max="26" width="19" style="1" customWidth="1"/>
    <col min="27" max="27" width="11" style="1" customWidth="1"/>
    <col min="28" max="30" width="8.7109375" style="1" customWidth="1"/>
    <col min="31" max="32" width="12.7109375" style="1" customWidth="1"/>
    <col min="33" max="33" width="28.42578125" style="1" hidden="1" customWidth="1" outlineLevel="1"/>
    <col min="34" max="34" width="15.5703125" style="1" hidden="1" customWidth="1" outlineLevel="1"/>
    <col min="35" max="35" width="9.85546875" style="1" hidden="1" customWidth="1" outlineLevel="1"/>
    <col min="36" max="36" width="9.42578125" style="1" hidden="1" customWidth="1" outlineLevel="1"/>
    <col min="37" max="37" width="10.140625" style="69" hidden="1" customWidth="1" outlineLevel="1"/>
    <col min="38" max="38" width="9.85546875" style="69" hidden="1" customWidth="1" outlineLevel="1"/>
    <col min="39" max="39" width="10.140625" style="69" hidden="1" customWidth="1" outlineLevel="1"/>
    <col min="40" max="41" width="9.42578125" style="69" hidden="1" customWidth="1" outlineLevel="1"/>
    <col min="42" max="42" width="10.140625" style="69" hidden="1" customWidth="1" outlineLevel="1"/>
    <col min="43" max="43" width="9.85546875" style="69" hidden="1" customWidth="1" outlineLevel="1"/>
    <col min="44" max="44" width="10.140625" style="69" hidden="1" customWidth="1" outlineLevel="1"/>
    <col min="45" max="46" width="9.85546875" style="69" hidden="1" customWidth="1" outlineLevel="1"/>
    <col min="47" max="47" width="11.28515625" style="69" hidden="1" customWidth="1" outlineLevel="1"/>
    <col min="48" max="48" width="9.42578125" style="69" hidden="1" customWidth="1" outlineLevel="1"/>
    <col min="49" max="49" width="10.140625" style="69" hidden="1" customWidth="1" outlineLevel="1"/>
    <col min="50" max="50" width="9.85546875" style="69" hidden="1" customWidth="1" outlineLevel="1"/>
    <col min="51" max="51" width="10.140625" style="69" hidden="1" customWidth="1" outlineLevel="1"/>
    <col min="52" max="52" width="9.42578125" style="69" hidden="1" customWidth="1" outlineLevel="1"/>
    <col min="53" max="53" width="9.140625" style="69" hidden="1" customWidth="1" outlineLevel="1"/>
    <col min="54" max="54" width="9.85546875" style="69" hidden="1" customWidth="1" outlineLevel="1"/>
    <col min="55" max="56" width="9.42578125" style="69" hidden="1" customWidth="1" outlineLevel="1"/>
    <col min="57" max="57" width="9.85546875" style="69" hidden="1" customWidth="1" outlineLevel="1"/>
    <col min="58" max="58" width="18.140625" style="69" hidden="1" customWidth="1" outlineLevel="1"/>
    <col min="59" max="59" width="17.7109375" style="69" hidden="1" customWidth="1" outlineLevel="1"/>
    <col min="60" max="71" width="10.7109375" style="69" hidden="1" customWidth="1" outlineLevel="1"/>
    <col min="72" max="72" width="17.42578125" style="69" customWidth="1" collapsed="1"/>
    <col min="73" max="73" width="12.7109375" style="69" customWidth="1"/>
    <col min="74" max="74" width="15.42578125" style="69" customWidth="1"/>
    <col min="75" max="208" width="9.7109375" style="1" customWidth="1"/>
    <col min="209" max="16384" width="8.7109375" style="1"/>
  </cols>
  <sheetData>
    <row r="1" spans="1:83" x14ac:dyDescent="0.2">
      <c r="J1" s="67"/>
      <c r="U1" s="29"/>
      <c r="AG1" s="68"/>
      <c r="AH1" s="68"/>
      <c r="AI1" s="68"/>
      <c r="AJ1" s="69"/>
      <c r="BW1" s="69"/>
      <c r="BX1" s="70"/>
      <c r="BY1" s="70"/>
      <c r="BZ1" s="70"/>
      <c r="CA1" s="70"/>
    </row>
    <row r="2" spans="1:83" ht="16.899999999999999" customHeight="1" x14ac:dyDescent="0.2">
      <c r="E2" s="71" t="s">
        <v>96</v>
      </c>
      <c r="I2" s="67"/>
      <c r="J2" s="67"/>
      <c r="K2" s="67"/>
      <c r="L2" s="67"/>
      <c r="M2" s="67"/>
      <c r="N2" s="72"/>
      <c r="O2" s="72"/>
      <c r="P2" s="67"/>
      <c r="Q2" s="67"/>
      <c r="R2" s="73"/>
      <c r="S2" s="74"/>
      <c r="AG2" s="68"/>
      <c r="AH2" s="68"/>
      <c r="AI2" s="68"/>
      <c r="AJ2" s="69"/>
    </row>
    <row r="3" spans="1:83" ht="10.15" customHeight="1" x14ac:dyDescent="0.35">
      <c r="E3" s="75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6"/>
      <c r="S3" s="74"/>
      <c r="AG3" s="68"/>
      <c r="AH3" s="68"/>
      <c r="AI3" s="68"/>
      <c r="AJ3" s="69"/>
    </row>
    <row r="4" spans="1:83" ht="17.25" customHeight="1" x14ac:dyDescent="0.25">
      <c r="E4" s="77"/>
      <c r="T4" s="78" t="s">
        <v>54</v>
      </c>
      <c r="Z4" s="78" t="s">
        <v>98</v>
      </c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BF4" s="6" t="s">
        <v>85</v>
      </c>
      <c r="BG4" s="6" t="s">
        <v>84</v>
      </c>
    </row>
    <row r="5" spans="1:83" ht="15.75" x14ac:dyDescent="0.25">
      <c r="E5" s="71" t="s">
        <v>54</v>
      </c>
      <c r="F5" s="79" t="str">
        <f>Mapping!$D$2</f>
        <v>Jan</v>
      </c>
      <c r="G5" s="79" t="str">
        <f>Mapping!$D$3</f>
        <v>Feb</v>
      </c>
      <c r="H5" s="79" t="str">
        <f>Mapping!$D$4</f>
        <v>Mar</v>
      </c>
      <c r="I5" s="79" t="str">
        <f>Mapping!$D$5</f>
        <v>Apr</v>
      </c>
      <c r="J5" s="79" t="str">
        <f>Mapping!$D$6</f>
        <v>May</v>
      </c>
      <c r="K5" s="79" t="str">
        <f>Mapping!$D$7</f>
        <v>Jun</v>
      </c>
      <c r="L5" s="79" t="str">
        <f>Mapping!$D$8</f>
        <v>Jul</v>
      </c>
      <c r="M5" s="79" t="str">
        <f>Mapping!$D$9</f>
        <v>Aug</v>
      </c>
      <c r="N5" s="79" t="str">
        <f>Mapping!$D$10</f>
        <v>Sep</v>
      </c>
      <c r="O5" s="79" t="str">
        <f>Mapping!$D$11</f>
        <v>Oct</v>
      </c>
      <c r="P5" s="79" t="str">
        <f>Mapping!$D$12</f>
        <v>Nov</v>
      </c>
      <c r="Q5" s="79" t="str">
        <f>Mapping!$D$13</f>
        <v>Dec</v>
      </c>
      <c r="R5" s="80" t="s">
        <v>14</v>
      </c>
      <c r="S5" s="81"/>
      <c r="T5" s="82" t="str">
        <f>Z5</f>
        <v>Forecast based on:</v>
      </c>
      <c r="U5" s="83"/>
      <c r="V5" s="84"/>
      <c r="W5" s="85" t="str">
        <f>AC5</f>
        <v>FY</v>
      </c>
      <c r="X5" s="85" t="str">
        <f>AD5</f>
        <v>vs. LO</v>
      </c>
      <c r="Y5" s="68"/>
      <c r="Z5" s="82" t="s">
        <v>19</v>
      </c>
      <c r="AA5" s="83"/>
      <c r="AB5" s="84"/>
      <c r="AC5" s="85" t="s">
        <v>14</v>
      </c>
      <c r="AD5" s="86" t="s">
        <v>20</v>
      </c>
      <c r="AE5" s="68"/>
      <c r="AF5" s="68"/>
      <c r="AG5" s="87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BF5" s="88">
        <f>Summary!$D$3</f>
        <v>7</v>
      </c>
      <c r="BG5" s="88">
        <f>BF5-1</f>
        <v>6</v>
      </c>
    </row>
    <row r="6" spans="1:83" ht="15" x14ac:dyDescent="0.25">
      <c r="A6" s="89">
        <f>Summary!$C$2-2</f>
        <v>2018</v>
      </c>
      <c r="B6" s="90" t="str">
        <f>Mapping!$B$2</f>
        <v>Actual</v>
      </c>
      <c r="E6" s="91" t="str">
        <f>A6&amp;" "&amp;B6</f>
        <v>2018 Actual</v>
      </c>
      <c r="F6" s="92">
        <f>SUMIFS('Units sold'!$E:$E,'Units sold'!$A:$A,$E$2,'Units sold'!$B:$B,F$5&amp;" "&amp;$A6,'Units sold'!$C:$C,"Periodic")</f>
        <v>188</v>
      </c>
      <c r="G6" s="92">
        <f>SUMIFS('Units sold'!$E:$E,'Units sold'!$A:$A,$E$2,'Units sold'!$B:$B,G$5&amp;" "&amp;$A6,'Units sold'!$C:$C,"Periodic")</f>
        <v>224</v>
      </c>
      <c r="H6" s="92">
        <f>SUMIFS('Units sold'!$E:$E,'Units sold'!$A:$A,$E$2,'Units sold'!$B:$B,H$5&amp;" "&amp;$A6,'Units sold'!$C:$C,"Periodic")</f>
        <v>328</v>
      </c>
      <c r="I6" s="92">
        <f>SUMIFS('Units sold'!$E:$E,'Units sold'!$A:$A,$E$2,'Units sold'!$B:$B,I$5&amp;" "&amp;$A6,'Units sold'!$C:$C,"Periodic")</f>
        <v>268</v>
      </c>
      <c r="J6" s="92">
        <f>SUMIFS('Units sold'!$E:$E,'Units sold'!$A:$A,$E$2,'Units sold'!$B:$B,J$5&amp;" "&amp;$A6,'Units sold'!$C:$C,"Periodic")</f>
        <v>340</v>
      </c>
      <c r="K6" s="92">
        <f>SUMIFS('Units sold'!$E:$E,'Units sold'!$A:$A,$E$2,'Units sold'!$B:$B,K$5&amp;" "&amp;$A6,'Units sold'!$C:$C,"Periodic")</f>
        <v>256</v>
      </c>
      <c r="L6" s="92">
        <f>SUMIFS('Units sold'!$E:$E,'Units sold'!$A:$A,$E$2,'Units sold'!$B:$B,L$5&amp;" "&amp;$A6,'Units sold'!$C:$C,"Periodic")</f>
        <v>256</v>
      </c>
      <c r="M6" s="92">
        <f>SUMIFS('Units sold'!$E:$E,'Units sold'!$A:$A,$E$2,'Units sold'!$B:$B,M$5&amp;" "&amp;$A6,'Units sold'!$C:$C,"Periodic")</f>
        <v>274</v>
      </c>
      <c r="N6" s="92">
        <f>SUMIFS('Units sold'!$E:$E,'Units sold'!$A:$A,$E$2,'Units sold'!$B:$B,N$5&amp;" "&amp;$A6,'Units sold'!$C:$C,"Periodic")</f>
        <v>340</v>
      </c>
      <c r="O6" s="92">
        <f>SUMIFS('Units sold'!$E:$E,'Units sold'!$A:$A,$E$2,'Units sold'!$B:$B,O$5&amp;" "&amp;$A6,'Units sold'!$C:$C,"Periodic")</f>
        <v>354</v>
      </c>
      <c r="P6" s="92">
        <f>SUMIFS('Units sold'!$E:$E,'Units sold'!$A:$A,$E$2,'Units sold'!$B:$B,P$5&amp;" "&amp;$A6,'Units sold'!$C:$C,"Periodic")</f>
        <v>382</v>
      </c>
      <c r="Q6" s="92">
        <f>SUMIFS('Units sold'!$E:$E,'Units sold'!$A:$A,$E$2,'Units sold'!$B:$B,Q$5&amp;" "&amp;$A6,'Units sold'!$C:$C,"Periodic")</f>
        <v>410</v>
      </c>
      <c r="R6" s="93">
        <f t="shared" ref="R6" si="0">SUM(F6:Q6)</f>
        <v>3620</v>
      </c>
      <c r="S6" s="94"/>
      <c r="T6" s="95" t="str">
        <f t="shared" ref="T6:T9" si="1">Z6</f>
        <v>3-month Rolling Rate</v>
      </c>
      <c r="U6" s="96"/>
      <c r="V6" s="97"/>
      <c r="W6" s="98">
        <f>(SUM(AR8:AT8)/3*Summary!$E$3)+R9</f>
        <v>2696</v>
      </c>
      <c r="X6" s="99">
        <f>$W$6-$R$8</f>
        <v>-4070.6540285999999</v>
      </c>
      <c r="Y6" s="68"/>
      <c r="Z6" s="95" t="s">
        <v>129</v>
      </c>
      <c r="AA6" s="96"/>
      <c r="AB6" s="97"/>
      <c r="AC6" s="98">
        <f>(SUM(AR9:AT9)/3*Summary!$E$3)+R16</f>
        <v>2793.6431690430004</v>
      </c>
      <c r="AD6" s="99">
        <f>$AC$6-$R$15</f>
        <v>-3143.6961788392114</v>
      </c>
      <c r="AE6" s="27"/>
      <c r="AF6" s="68"/>
      <c r="AG6" s="87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BF6" s="6" t="s">
        <v>27</v>
      </c>
      <c r="BG6" s="100">
        <v>1</v>
      </c>
      <c r="BH6" s="100">
        <v>2</v>
      </c>
      <c r="BI6" s="100">
        <v>3</v>
      </c>
      <c r="BJ6" s="100">
        <v>4</v>
      </c>
      <c r="BK6" s="100">
        <v>5</v>
      </c>
      <c r="BL6" s="100">
        <v>6</v>
      </c>
      <c r="BM6" s="100">
        <v>7</v>
      </c>
      <c r="BN6" s="100">
        <v>8</v>
      </c>
      <c r="BO6" s="100">
        <v>9</v>
      </c>
      <c r="BP6" s="100">
        <v>10</v>
      </c>
      <c r="BQ6" s="100">
        <v>11</v>
      </c>
      <c r="BR6" s="100">
        <v>12</v>
      </c>
    </row>
    <row r="7" spans="1:83" ht="15" x14ac:dyDescent="0.25">
      <c r="A7" s="89">
        <f>Summary!$C$2-1</f>
        <v>2019</v>
      </c>
      <c r="B7" s="90" t="str">
        <f>Mapping!$B$2</f>
        <v>Actual</v>
      </c>
      <c r="E7" s="91" t="str">
        <f>A7&amp;" "&amp;B7</f>
        <v>2019 Actual</v>
      </c>
      <c r="F7" s="92">
        <f>SUMIFS('Units sold'!$E:$E,'Units sold'!$A:$A,$E$2,'Units sold'!$B:$B,F$5&amp;" "&amp;$A7,'Units sold'!$C:$C,"Periodic")</f>
        <v>376</v>
      </c>
      <c r="G7" s="92">
        <f>SUMIFS('Units sold'!$E:$E,'Units sold'!$A:$A,$E$2,'Units sold'!$B:$B,G$5&amp;" "&amp;$A7,'Units sold'!$C:$C,"Periodic")</f>
        <v>324</v>
      </c>
      <c r="H7" s="92">
        <f>SUMIFS('Units sold'!$E:$E,'Units sold'!$A:$A,$E$2,'Units sold'!$B:$B,H$5&amp;" "&amp;$A7,'Units sold'!$C:$C,"Periodic")</f>
        <v>312</v>
      </c>
      <c r="I7" s="92">
        <f>SUMIFS('Units sold'!$E:$E,'Units sold'!$A:$A,$E$2,'Units sold'!$B:$B,I$5&amp;" "&amp;$A7,'Units sold'!$C:$C,"Periodic")</f>
        <v>406</v>
      </c>
      <c r="J7" s="92">
        <f>SUMIFS('Units sold'!$E:$E,'Units sold'!$A:$A,$E$2,'Units sold'!$B:$B,J$5&amp;" "&amp;$A7,'Units sold'!$C:$C,"Periodic")</f>
        <v>358</v>
      </c>
      <c r="K7" s="92">
        <f>SUMIFS('Units sold'!$E:$E,'Units sold'!$A:$A,$E$2,'Units sold'!$B:$B,K$5&amp;" "&amp;$A7,'Units sold'!$C:$C,"Periodic")</f>
        <v>456</v>
      </c>
      <c r="L7" s="92">
        <f>SUMIFS('Units sold'!$E:$E,'Units sold'!$A:$A,$E$2,'Units sold'!$B:$B,L$5&amp;" "&amp;$A7,'Units sold'!$C:$C,"Periodic")</f>
        <v>392</v>
      </c>
      <c r="M7" s="92">
        <f>SUMIFS('Units sold'!$E:$E,'Units sold'!$A:$A,$E$2,'Units sold'!$B:$B,M$5&amp;" "&amp;$A7,'Units sold'!$C:$C,"Periodic")</f>
        <v>412</v>
      </c>
      <c r="N7" s="92">
        <f>SUMIFS('Units sold'!$E:$E,'Units sold'!$A:$A,$E$2,'Units sold'!$B:$B,N$5&amp;" "&amp;$A7,'Units sold'!$C:$C,"Periodic")</f>
        <v>412</v>
      </c>
      <c r="O7" s="92">
        <f>SUMIFS('Units sold'!$E:$E,'Units sold'!$A:$A,$E$2,'Units sold'!$B:$B,O$5&amp;" "&amp;$A7,'Units sold'!$C:$C,"Periodic")</f>
        <v>516</v>
      </c>
      <c r="P7" s="92">
        <f>SUMIFS('Units sold'!$E:$E,'Units sold'!$A:$A,$E$2,'Units sold'!$B:$B,P$5&amp;" "&amp;$A7,'Units sold'!$C:$C,"Periodic")</f>
        <v>548</v>
      </c>
      <c r="Q7" s="92">
        <f>SUMIFS('Units sold'!$E:$E,'Units sold'!$A:$A,$E$2,'Units sold'!$B:$B,Q$5&amp;" "&amp;$A7,'Units sold'!$C:$C,"Periodic")</f>
        <v>366</v>
      </c>
      <c r="R7" s="93">
        <f t="shared" ref="R7:R10" si="2">SUM(F7:Q7)</f>
        <v>4878</v>
      </c>
      <c r="S7" s="94"/>
      <c r="T7" s="101" t="str">
        <f t="shared" si="1"/>
        <v>2020 Trend 6 months</v>
      </c>
      <c r="V7" s="102"/>
      <c r="W7" s="103">
        <f>BS22</f>
        <v>5511.1429747090906</v>
      </c>
      <c r="X7" s="99">
        <f>$W$7-$R$8</f>
        <v>-1255.5110538909094</v>
      </c>
      <c r="Y7" s="68"/>
      <c r="Z7" s="101" t="str">
        <f>A9&amp;" Trend 6 months"</f>
        <v>2020 Trend 6 months</v>
      </c>
      <c r="AB7" s="102"/>
      <c r="AC7" s="103">
        <f>BS40</f>
        <v>5012.0887949635235</v>
      </c>
      <c r="AD7" s="99">
        <f>$AC$7-$R$15</f>
        <v>-925.2505529186883</v>
      </c>
      <c r="AE7" s="68"/>
      <c r="AF7" s="68"/>
      <c r="AG7" s="27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</row>
    <row r="8" spans="1:83" ht="15" x14ac:dyDescent="0.25">
      <c r="A8" s="89">
        <f>Summary!$C$2</f>
        <v>2020</v>
      </c>
      <c r="B8" s="90" t="str">
        <f>Mapping!$B$3</f>
        <v>Budget</v>
      </c>
      <c r="E8" s="105" t="str">
        <f>A8&amp;" "&amp;B8</f>
        <v>2020 Budget</v>
      </c>
      <c r="F8" s="106">
        <f>SUMIFS('Units sold'!$D:$D,'Units sold'!$A:$A,$E$2,'Units sold'!$B:$B,F$5&amp;" "&amp;$A8,'Units sold'!$C:$C,"Periodic")</f>
        <v>520.49613280000005</v>
      </c>
      <c r="G8" s="106">
        <f>SUMIFS('Units sold'!$D:$D,'Units sold'!$A:$A,$E$2,'Units sold'!$B:$B,G$5&amp;" "&amp;$A8,'Units sold'!$C:$C,"Periodic")</f>
        <v>484.69531219999999</v>
      </c>
      <c r="H8" s="106">
        <f>SUMIFS('Units sold'!$D:$D,'Units sold'!$A:$A,$E$2,'Units sold'!$B:$B,H$5&amp;" "&amp;$A8,'Units sold'!$C:$C,"Periodic")</f>
        <v>461.69057980000002</v>
      </c>
      <c r="I8" s="106">
        <f>SUMIFS('Units sold'!$D:$D,'Units sold'!$A:$A,$E$2,'Units sold'!$B:$B,I$5&amp;" "&amp;$A8,'Units sold'!$C:$C,"Periodic")</f>
        <v>599.5068035999999</v>
      </c>
      <c r="J8" s="106">
        <f>SUMIFS('Units sold'!$D:$D,'Units sold'!$A:$A,$E$2,'Units sold'!$B:$B,J$5&amp;" "&amp;$A8,'Units sold'!$C:$C,"Periodic")</f>
        <v>534.14345460000004</v>
      </c>
      <c r="K8" s="106">
        <f>SUMIFS('Units sold'!$D:$D,'Units sold'!$A:$A,$E$2,'Units sold'!$B:$B,K$5&amp;" "&amp;$A8,'Units sold'!$C:$C,"Periodic")</f>
        <v>619.13610599999993</v>
      </c>
      <c r="L8" s="106">
        <f>SUMIFS('Units sold'!$D:$D,'Units sold'!$A:$A,$E$2,'Units sold'!$B:$B,L$5&amp;" "&amp;$A8,'Units sold'!$C:$C,"Periodic")</f>
        <v>586.56549480000001</v>
      </c>
      <c r="M8" s="106">
        <f>SUMIFS('Units sold'!$D:$D,'Units sold'!$A:$A,$E$2,'Units sold'!$B:$B,M$5&amp;" "&amp;$A8,'Units sold'!$C:$C,"Periodic")</f>
        <v>610.84170900000004</v>
      </c>
      <c r="N8" s="106">
        <f>SUMIFS('Units sold'!$D:$D,'Units sold'!$A:$A,$E$2,'Units sold'!$B:$B,N$5&amp;" "&amp;$A8,'Units sold'!$C:$C,"Periodic")</f>
        <v>549.23390259999996</v>
      </c>
      <c r="O8" s="106">
        <f>SUMIFS('Units sold'!$D:$D,'Units sold'!$A:$A,$E$2,'Units sold'!$B:$B,O$5&amp;" "&amp;$A8,'Units sold'!$C:$C,"Periodic")</f>
        <v>592.85767999999996</v>
      </c>
      <c r="P8" s="106">
        <f>SUMIFS('Units sold'!$D:$D,'Units sold'!$A:$A,$E$2,'Units sold'!$B:$B,P$5&amp;" "&amp;$A8,'Units sold'!$C:$C,"Periodic")</f>
        <v>632.45291420000001</v>
      </c>
      <c r="Q8" s="106">
        <f>SUMIFS('Units sold'!$D:$D,'Units sold'!$A:$A,$E$2,'Units sold'!$B:$B,Q$5&amp;" "&amp;$A8,'Units sold'!$C:$C,"Periodic")</f>
        <v>575.03393899999992</v>
      </c>
      <c r="R8" s="107">
        <f t="shared" si="2"/>
        <v>6766.6540285999999</v>
      </c>
      <c r="S8" s="94"/>
      <c r="T8" s="101" t="str">
        <f t="shared" si="1"/>
        <v>2020 Trend 12 months</v>
      </c>
      <c r="V8" s="102"/>
      <c r="W8" s="103">
        <f>BS23</f>
        <v>5836.0868249764717</v>
      </c>
      <c r="X8" s="99">
        <f>$W$8-$R$8</f>
        <v>-930.56720362352826</v>
      </c>
      <c r="Y8" s="68"/>
      <c r="Z8" s="101" t="str">
        <f>A9&amp;" Trend 12 months"</f>
        <v>2020 Trend 12 months</v>
      </c>
      <c r="AB8" s="102"/>
      <c r="AC8" s="103">
        <f>BS41</f>
        <v>5398.6511037336304</v>
      </c>
      <c r="AD8" s="99">
        <f>$AC$8-$R$15</f>
        <v>-538.68824414858136</v>
      </c>
      <c r="AE8" s="68"/>
      <c r="AF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BF8" s="6" t="s">
        <v>28</v>
      </c>
      <c r="BG8" s="11">
        <f t="shared" ref="BG8:BL8" si="3">IF($BF$5=BG6,1,0)</f>
        <v>0</v>
      </c>
      <c r="BH8" s="11">
        <f t="shared" si="3"/>
        <v>0</v>
      </c>
      <c r="BI8" s="11">
        <f t="shared" si="3"/>
        <v>0</v>
      </c>
      <c r="BJ8" s="11">
        <f t="shared" si="3"/>
        <v>0</v>
      </c>
      <c r="BK8" s="11">
        <f t="shared" si="3"/>
        <v>0</v>
      </c>
      <c r="BL8" s="11">
        <f t="shared" si="3"/>
        <v>0</v>
      </c>
      <c r="BM8" s="11">
        <f>IF($BF$5=BM6,1,0)</f>
        <v>1</v>
      </c>
      <c r="BN8" s="11">
        <f t="shared" ref="BN8:BR8" si="4">IF($BF$5=BN6,1,0)</f>
        <v>0</v>
      </c>
      <c r="BO8" s="11">
        <f t="shared" si="4"/>
        <v>0</v>
      </c>
      <c r="BP8" s="11">
        <f t="shared" si="4"/>
        <v>0</v>
      </c>
      <c r="BQ8" s="11">
        <f t="shared" si="4"/>
        <v>0</v>
      </c>
      <c r="BR8" s="11">
        <f t="shared" si="4"/>
        <v>0</v>
      </c>
    </row>
    <row r="9" spans="1:83" ht="15" x14ac:dyDescent="0.25">
      <c r="A9" s="89">
        <f>Summary!$C$2</f>
        <v>2020</v>
      </c>
      <c r="B9" s="90" t="str">
        <f>Mapping!$B$2</f>
        <v>Actual</v>
      </c>
      <c r="E9" s="91" t="str">
        <f>A9&amp;" "&amp;B9</f>
        <v>2020 Actual</v>
      </c>
      <c r="F9" s="108">
        <f>SUMIFS('Units sold'!$E:$E,'Units sold'!$A:$A,$E$2,'Units sold'!$B:$B,F$5&amp;" "&amp;$A9,'Units sold'!$C:$C,"Periodic")</f>
        <v>396</v>
      </c>
      <c r="G9" s="108">
        <f>SUMIFS('Units sold'!$E:$E,'Units sold'!$A:$A,$E$2,'Units sold'!$B:$B,G$5&amp;" "&amp;$A9,'Units sold'!$C:$C,"Periodic")</f>
        <v>356</v>
      </c>
      <c r="H9" s="108">
        <f>SUMIFS('Units sold'!$E:$E,'Units sold'!$A:$A,$E$2,'Units sold'!$B:$B,H$5&amp;" "&amp;$A9,'Units sold'!$C:$C,"Periodic")</f>
        <v>414</v>
      </c>
      <c r="I9" s="108">
        <f>SUMIFS('Units sold'!$E:$E,'Units sold'!$A:$A,$E$2,'Units sold'!$B:$B,I$5&amp;" "&amp;$A9,'Units sold'!$C:$C,"Periodic")</f>
        <v>326</v>
      </c>
      <c r="J9" s="108">
        <f>SUMIFS('Units sold'!$E:$E,'Units sold'!$A:$A,$E$2,'Units sold'!$B:$B,J$5&amp;" "&amp;$A9,'Units sold'!$C:$C,"Periodic")</f>
        <v>366</v>
      </c>
      <c r="K9" s="108">
        <f>SUMIFS('Units sold'!$E:$E,'Units sold'!$A:$A,$E$2,'Units sold'!$B:$B,K$5&amp;" "&amp;$A9,'Units sold'!$C:$C,"Periodic")</f>
        <v>442</v>
      </c>
      <c r="L9" s="108">
        <f>SUMIFS('Units sold'!$E:$E,'Units sold'!$A:$A,$E$2,'Units sold'!$B:$B,L$5&amp;" "&amp;$A9,'Units sold'!$C:$C,"Periodic")</f>
        <v>396</v>
      </c>
      <c r="M9" s="108">
        <f>SUMIFS('Units sold'!$E:$E,'Units sold'!$A:$A,$E$2,'Units sold'!$B:$B,M$5&amp;" "&amp;$A9,'Units sold'!$C:$C,"Periodic")</f>
        <v>0</v>
      </c>
      <c r="N9" s="108">
        <f>SUMIFS('Units sold'!$E:$E,'Units sold'!$A:$A,$E$2,'Units sold'!$B:$B,N$5&amp;" "&amp;$A9,'Units sold'!$C:$C,"Periodic")</f>
        <v>0</v>
      </c>
      <c r="O9" s="108">
        <f>SUMIFS('Units sold'!$E:$E,'Units sold'!$A:$A,$E$2,'Units sold'!$B:$B,O$5&amp;" "&amp;$A9,'Units sold'!$C:$C,"Periodic")</f>
        <v>0</v>
      </c>
      <c r="P9" s="108">
        <f>SUMIFS('Units sold'!$E:$E,'Units sold'!$A:$A,$E$2,'Units sold'!$B:$B,P$5&amp;" "&amp;$A9,'Units sold'!$C:$C,"Periodic")</f>
        <v>0</v>
      </c>
      <c r="Q9" s="108">
        <f>SUMIFS('Units sold'!$E:$E,'Units sold'!$A:$A,$E$2,'Units sold'!$B:$B,Q$5&amp;" "&amp;$A9,'Units sold'!$C:$C,"Periodic")</f>
        <v>0</v>
      </c>
      <c r="R9" s="109">
        <f t="shared" si="2"/>
        <v>2696</v>
      </c>
      <c r="S9" s="94"/>
      <c r="T9" s="110" t="str">
        <f t="shared" si="1"/>
        <v>Prior Year exit rate (Q4 x 4)</v>
      </c>
      <c r="U9" s="111"/>
      <c r="V9" s="112"/>
      <c r="W9" s="113">
        <f>SUM($O$7:$Q$7)*4</f>
        <v>5720</v>
      </c>
      <c r="X9" s="114">
        <f>$W$9-$R$8</f>
        <v>-1046.6540285999999</v>
      </c>
      <c r="Y9" s="68"/>
      <c r="Z9" s="110" t="s">
        <v>130</v>
      </c>
      <c r="AA9" s="111"/>
      <c r="AB9" s="112"/>
      <c r="AC9" s="113">
        <f>SUM($O$14:$Q$14)*4</f>
        <v>6865.5195910876173</v>
      </c>
      <c r="AD9" s="114">
        <f>$AC$9-$R$15</f>
        <v>928.18024320540553</v>
      </c>
      <c r="AE9" s="87"/>
      <c r="AF9" s="87"/>
      <c r="AG9" s="115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BF9" s="6" t="s">
        <v>28</v>
      </c>
      <c r="BG9" s="100">
        <f>SUM($BG8:BG8)</f>
        <v>0</v>
      </c>
      <c r="BH9" s="11">
        <f>SUM($BG8:BG8)</f>
        <v>0</v>
      </c>
      <c r="BI9" s="11">
        <f>SUM($BG8:BH8)</f>
        <v>0</v>
      </c>
      <c r="BJ9" s="11">
        <f>SUM($BG8:BI8)</f>
        <v>0</v>
      </c>
      <c r="BK9" s="11">
        <f>SUM($BG8:BJ8)</f>
        <v>0</v>
      </c>
      <c r="BL9" s="11">
        <f>SUM($BG8:BK8)</f>
        <v>0</v>
      </c>
      <c r="BM9" s="11">
        <f>SUM($BG8:BL8)</f>
        <v>0</v>
      </c>
      <c r="BN9" s="11">
        <f>SUM($BG8:BM8)</f>
        <v>1</v>
      </c>
      <c r="BO9" s="11">
        <f>SUM($BG8:BN8)</f>
        <v>1</v>
      </c>
      <c r="BP9" s="11">
        <f>SUM($BG8:BO8)</f>
        <v>1</v>
      </c>
      <c r="BQ9" s="11">
        <f>SUM($BG8:BP8)</f>
        <v>1</v>
      </c>
      <c r="BR9" s="11">
        <f>SUM($BG8:BQ8)</f>
        <v>1</v>
      </c>
    </row>
    <row r="10" spans="1:83" x14ac:dyDescent="0.2">
      <c r="E10" s="91" t="s">
        <v>34</v>
      </c>
      <c r="F10" s="116">
        <f t="shared" ref="F10:Q10" si="5">IF(F9=0,F17/F24,F9)</f>
        <v>396</v>
      </c>
      <c r="G10" s="116">
        <f t="shared" si="5"/>
        <v>356</v>
      </c>
      <c r="H10" s="116">
        <f t="shared" si="5"/>
        <v>414</v>
      </c>
      <c r="I10" s="116">
        <f t="shared" si="5"/>
        <v>326</v>
      </c>
      <c r="J10" s="116">
        <f t="shared" si="5"/>
        <v>366</v>
      </c>
      <c r="K10" s="116">
        <f t="shared" si="5"/>
        <v>442</v>
      </c>
      <c r="L10" s="116">
        <f t="shared" si="5"/>
        <v>396</v>
      </c>
      <c r="M10" s="116">
        <f t="shared" si="5"/>
        <v>474.78993781315012</v>
      </c>
      <c r="N10" s="116">
        <f t="shared" si="5"/>
        <v>440.2548767517489</v>
      </c>
      <c r="O10" s="116">
        <f t="shared" si="5"/>
        <v>483.35155950942055</v>
      </c>
      <c r="P10" s="116">
        <f t="shared" si="5"/>
        <v>498.20863972765102</v>
      </c>
      <c r="Q10" s="116">
        <f t="shared" si="5"/>
        <v>441.09293205801731</v>
      </c>
      <c r="R10" s="109">
        <f t="shared" si="2"/>
        <v>5033.6979458599872</v>
      </c>
      <c r="S10" s="94"/>
      <c r="T10" s="94"/>
      <c r="U10" s="94"/>
      <c r="V10" s="117"/>
      <c r="W10" s="68"/>
      <c r="X10" s="68"/>
      <c r="Y10" s="68"/>
      <c r="Z10" s="94"/>
      <c r="AA10" s="94"/>
      <c r="AB10" s="117"/>
      <c r="AC10" s="68"/>
      <c r="AD10" s="68"/>
      <c r="AE10" s="87"/>
      <c r="AF10" s="87"/>
      <c r="AG10" s="118"/>
      <c r="AH10" s="118"/>
      <c r="AI10" s="118"/>
      <c r="AJ10" s="118"/>
      <c r="AK10" s="118"/>
      <c r="AL10" s="1"/>
      <c r="BG10" s="119">
        <v>1</v>
      </c>
      <c r="BH10" s="119">
        <v>2</v>
      </c>
      <c r="BI10" s="119">
        <v>3</v>
      </c>
      <c r="BJ10" s="119">
        <v>4</v>
      </c>
      <c r="BK10" s="119">
        <v>5</v>
      </c>
      <c r="BL10" s="119">
        <v>6</v>
      </c>
      <c r="BM10" s="119">
        <v>7</v>
      </c>
      <c r="BN10" s="119">
        <v>8</v>
      </c>
      <c r="BO10" s="119">
        <v>9</v>
      </c>
      <c r="BP10" s="119">
        <v>10</v>
      </c>
      <c r="BQ10" s="119">
        <v>11</v>
      </c>
      <c r="BR10" s="119">
        <v>12</v>
      </c>
    </row>
    <row r="11" spans="1:83" ht="15.75" x14ac:dyDescent="0.25">
      <c r="D11" s="87"/>
      <c r="E11" s="59"/>
      <c r="G11" s="120"/>
      <c r="S11" s="94"/>
      <c r="AE11" s="87"/>
      <c r="AF11" s="87"/>
      <c r="AG11" s="118"/>
      <c r="AH11" s="118"/>
      <c r="AI11" s="118"/>
      <c r="AJ11" s="118"/>
      <c r="AK11" s="118"/>
      <c r="AL11" s="1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</row>
    <row r="12" spans="1:83" ht="15.75" x14ac:dyDescent="0.25">
      <c r="E12" s="121" t="s">
        <v>98</v>
      </c>
      <c r="F12" s="79" t="str">
        <f>F$5</f>
        <v>Jan</v>
      </c>
      <c r="G12" s="79" t="str">
        <f t="shared" ref="G12:Q12" si="6">G$5</f>
        <v>Feb</v>
      </c>
      <c r="H12" s="79" t="str">
        <f t="shared" si="6"/>
        <v>Mar</v>
      </c>
      <c r="I12" s="79" t="str">
        <f t="shared" si="6"/>
        <v>Apr</v>
      </c>
      <c r="J12" s="79" t="str">
        <f t="shared" si="6"/>
        <v>May</v>
      </c>
      <c r="K12" s="79" t="str">
        <f t="shared" si="6"/>
        <v>Jun</v>
      </c>
      <c r="L12" s="79" t="str">
        <f t="shared" si="6"/>
        <v>Jul</v>
      </c>
      <c r="M12" s="79" t="str">
        <f t="shared" si="6"/>
        <v>Aug</v>
      </c>
      <c r="N12" s="79" t="str">
        <f t="shared" si="6"/>
        <v>Sep</v>
      </c>
      <c r="O12" s="79" t="str">
        <f t="shared" si="6"/>
        <v>Oct</v>
      </c>
      <c r="P12" s="79" t="str">
        <f t="shared" si="6"/>
        <v>Nov</v>
      </c>
      <c r="Q12" s="79" t="str">
        <f t="shared" si="6"/>
        <v>Dec</v>
      </c>
      <c r="R12" s="80" t="s">
        <v>14</v>
      </c>
      <c r="T12" s="122" t="s">
        <v>86</v>
      </c>
      <c r="U12" s="123"/>
      <c r="V12" s="124" t="str">
        <f>AB12</f>
        <v>YTD</v>
      </c>
      <c r="W12" s="123" t="str">
        <f>AC12</f>
        <v>YTG</v>
      </c>
      <c r="X12" s="123" t="str">
        <f>AD12</f>
        <v>Delta</v>
      </c>
      <c r="Y12" s="125"/>
      <c r="Z12" s="122" t="s">
        <v>86</v>
      </c>
      <c r="AA12" s="123"/>
      <c r="AB12" s="124" t="s">
        <v>15</v>
      </c>
      <c r="AC12" s="123" t="s">
        <v>16</v>
      </c>
      <c r="AD12" s="123" t="s">
        <v>33</v>
      </c>
      <c r="AE12" s="87"/>
      <c r="AF12" s="126"/>
      <c r="AG12" s="127"/>
      <c r="AH12" s="128" t="s">
        <v>25</v>
      </c>
      <c r="AI12" s="69"/>
      <c r="AJ12" s="69"/>
      <c r="BC12" s="11">
        <f t="shared" ref="BC12:BR12" si="7">BB12+1</f>
        <v>1</v>
      </c>
      <c r="BD12" s="11">
        <f t="shared" si="7"/>
        <v>2</v>
      </c>
      <c r="BE12" s="11">
        <f t="shared" si="7"/>
        <v>3</v>
      </c>
      <c r="BF12" s="11">
        <f t="shared" si="7"/>
        <v>4</v>
      </c>
      <c r="BG12" s="11">
        <f t="shared" si="7"/>
        <v>5</v>
      </c>
      <c r="BH12" s="11">
        <f t="shared" si="7"/>
        <v>6</v>
      </c>
      <c r="BI12" s="11">
        <f t="shared" si="7"/>
        <v>7</v>
      </c>
      <c r="BJ12" s="11">
        <f t="shared" si="7"/>
        <v>8</v>
      </c>
      <c r="BK12" s="11">
        <f t="shared" si="7"/>
        <v>9</v>
      </c>
      <c r="BL12" s="11">
        <f t="shared" si="7"/>
        <v>10</v>
      </c>
      <c r="BM12" s="11">
        <f t="shared" si="7"/>
        <v>11</v>
      </c>
      <c r="BN12" s="11">
        <f t="shared" si="7"/>
        <v>12</v>
      </c>
      <c r="BO12" s="11">
        <f t="shared" si="7"/>
        <v>13</v>
      </c>
      <c r="BP12" s="11">
        <f t="shared" si="7"/>
        <v>14</v>
      </c>
      <c r="BQ12" s="11">
        <f t="shared" si="7"/>
        <v>15</v>
      </c>
      <c r="BR12" s="11">
        <f t="shared" si="7"/>
        <v>16</v>
      </c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</row>
    <row r="13" spans="1:83" ht="13.5" customHeight="1" x14ac:dyDescent="0.25">
      <c r="A13" s="89">
        <f>Summary!$C$2-2</f>
        <v>2018</v>
      </c>
      <c r="B13" s="90" t="str">
        <f>Mapping!$B$2</f>
        <v>Actual</v>
      </c>
      <c r="E13" s="91" t="str">
        <f>A13&amp;" "&amp;B13</f>
        <v>2018 Actual</v>
      </c>
      <c r="F13" s="129">
        <f>SUMIFS('Sales Data'!$E:$E,'Sales Data'!$A:$A,$E$2,'Sales Data'!$B:$B,F$12&amp;" "&amp;$A13,'Sales Data'!$C:$C,"Periodic")/1000</f>
        <v>278.68442176500002</v>
      </c>
      <c r="G13" s="129">
        <f>SUMIFS('Sales Data'!$E:$E,'Sales Data'!$A:$A,$E$2,'Sales Data'!$B:$B,G$12&amp;" "&amp;$A13,'Sales Data'!$C:$C,"Periodic")/1000</f>
        <v>312.65155760399995</v>
      </c>
      <c r="H13" s="129">
        <f>SUMIFS('Sales Data'!$E:$E,'Sales Data'!$A:$A,$E$2,'Sales Data'!$B:$B,H$12&amp;" "&amp;$A13,'Sales Data'!$C:$C,"Periodic")/1000</f>
        <v>477.07184643600004</v>
      </c>
      <c r="I13" s="129">
        <f>SUMIFS('Sales Data'!$E:$E,'Sales Data'!$A:$A,$E$2,'Sales Data'!$B:$B,I$12&amp;" "&amp;$A13,'Sales Data'!$C:$C,"Periodic")/1000</f>
        <v>334.04348919</v>
      </c>
      <c r="J13" s="129">
        <f>SUMIFS('Sales Data'!$E:$E,'Sales Data'!$A:$A,$E$2,'Sales Data'!$B:$B,J$12&amp;" "&amp;$A13,'Sales Data'!$C:$C,"Periodic")/1000</f>
        <v>496.15917594900003</v>
      </c>
      <c r="K13" s="129">
        <f>SUMIFS('Sales Data'!$E:$E,'Sales Data'!$A:$A,$E$2,'Sales Data'!$B:$B,K$12&amp;" "&amp;$A13,'Sales Data'!$C:$C,"Periodic")/1000</f>
        <v>351.99729018600004</v>
      </c>
      <c r="L13" s="129">
        <f>SUMIFS('Sales Data'!$E:$E,'Sales Data'!$A:$A,$E$2,'Sales Data'!$B:$B,L$12&amp;" "&amp;$A13,'Sales Data'!$C:$C,"Periodic")/1000</f>
        <v>329.62864345500003</v>
      </c>
      <c r="M13" s="129">
        <f>SUMIFS('Sales Data'!$E:$E,'Sales Data'!$A:$A,$E$2,'Sales Data'!$B:$B,M$12&amp;" "&amp;$A13,'Sales Data'!$C:$C,"Periodic")/1000</f>
        <v>346.77263069399999</v>
      </c>
      <c r="N13" s="129">
        <f>SUMIFS('Sales Data'!$E:$E,'Sales Data'!$A:$A,$E$2,'Sales Data'!$B:$B,N$12&amp;" "&amp;$A13,'Sales Data'!$C:$C,"Periodic")/1000</f>
        <v>541.34475562200009</v>
      </c>
      <c r="O13" s="129">
        <f>SUMIFS('Sales Data'!$E:$E,'Sales Data'!$A:$A,$E$2,'Sales Data'!$B:$B,O$12&amp;" "&amp;$A13,'Sales Data'!$C:$C,"Periodic")/1000</f>
        <v>383.15245202400001</v>
      </c>
      <c r="P13" s="129">
        <f>SUMIFS('Sales Data'!$E:$E,'Sales Data'!$A:$A,$E$2,'Sales Data'!$B:$B,P$12&amp;" "&amp;$A13,'Sales Data'!$C:$C,"Periodic")/1000</f>
        <v>535.60089151199998</v>
      </c>
      <c r="Q13" s="129">
        <f>SUMIFS('Sales Data'!$E:$E,'Sales Data'!$A:$A,$E$2,'Sales Data'!$B:$B,Q$12&amp;" "&amp;$A13,'Sales Data'!$C:$C,"Periodic")/1000</f>
        <v>358.29915631799997</v>
      </c>
      <c r="R13" s="93">
        <f t="shared" ref="R13" si="8">SUM(F13:Q13)</f>
        <v>4745.406310755</v>
      </c>
      <c r="T13" s="101" t="str">
        <f>Z13</f>
        <v>GR%</v>
      </c>
      <c r="U13" s="130"/>
      <c r="V13" s="131">
        <f ca="1">IFERROR(($R$9/SUM(OFFSET(E7,,1,1,Summary!$D$3))-1),"")</f>
        <v>2.7439024390243816E-2</v>
      </c>
      <c r="W13" s="132">
        <f ca="1">((R8-R9)/(R7-SUM(OFFSET(E7,0,1,1,Summary!$D$3))))-1</f>
        <v>0.80596895678793246</v>
      </c>
      <c r="X13" s="133">
        <f ca="1">IFERROR(W13-V13,"")</f>
        <v>0.77852993239768864</v>
      </c>
      <c r="Y13" s="125"/>
      <c r="Z13" s="134" t="s">
        <v>17</v>
      </c>
      <c r="AA13" s="135"/>
      <c r="AB13" s="131">
        <f ca="1">IFERROR(R16/SUM(OFFSET(E14,0,1,1,Summary!$D$3))-1,"")</f>
        <v>-0.15146710646867056</v>
      </c>
      <c r="AC13" s="133">
        <f ca="1">IFERROR((R15-R16)/(R14-SUM(OFFSET(E14,0,1,1,Summary!$D$3)))-1,"")</f>
        <v>0.18677700725565471</v>
      </c>
      <c r="AD13" s="136">
        <f ca="1">IFERROR(AC13-AB13,"")</f>
        <v>0.33824411372432528</v>
      </c>
      <c r="AE13" s="87"/>
      <c r="AF13" s="87"/>
      <c r="AG13" s="137"/>
      <c r="AH13" s="128" t="s">
        <v>91</v>
      </c>
      <c r="AI13" s="69"/>
      <c r="AJ13" s="69"/>
      <c r="AW13" s="11">
        <f t="shared" ref="AW13:BR13" si="9">AV13+1</f>
        <v>1</v>
      </c>
      <c r="AX13" s="11">
        <f t="shared" si="9"/>
        <v>2</v>
      </c>
      <c r="AY13" s="11">
        <f t="shared" si="9"/>
        <v>3</v>
      </c>
      <c r="AZ13" s="11">
        <f t="shared" si="9"/>
        <v>4</v>
      </c>
      <c r="BA13" s="11">
        <f t="shared" si="9"/>
        <v>5</v>
      </c>
      <c r="BB13" s="11">
        <f t="shared" si="9"/>
        <v>6</v>
      </c>
      <c r="BC13" s="11">
        <f t="shared" si="9"/>
        <v>7</v>
      </c>
      <c r="BD13" s="11">
        <f t="shared" si="9"/>
        <v>8</v>
      </c>
      <c r="BE13" s="11">
        <f t="shared" si="9"/>
        <v>9</v>
      </c>
      <c r="BF13" s="11">
        <f t="shared" si="9"/>
        <v>10</v>
      </c>
      <c r="BG13" s="11">
        <f t="shared" si="9"/>
        <v>11</v>
      </c>
      <c r="BH13" s="11">
        <f t="shared" si="9"/>
        <v>12</v>
      </c>
      <c r="BI13" s="11">
        <f t="shared" si="9"/>
        <v>13</v>
      </c>
      <c r="BJ13" s="11">
        <f t="shared" si="9"/>
        <v>14</v>
      </c>
      <c r="BK13" s="11">
        <f t="shared" si="9"/>
        <v>15</v>
      </c>
      <c r="BL13" s="11">
        <f t="shared" si="9"/>
        <v>16</v>
      </c>
      <c r="BM13" s="11">
        <f t="shared" si="9"/>
        <v>17</v>
      </c>
      <c r="BN13" s="11">
        <f t="shared" si="9"/>
        <v>18</v>
      </c>
      <c r="BO13" s="11">
        <f t="shared" si="9"/>
        <v>19</v>
      </c>
      <c r="BP13" s="11">
        <f t="shared" si="9"/>
        <v>20</v>
      </c>
      <c r="BQ13" s="11">
        <f t="shared" si="9"/>
        <v>21</v>
      </c>
      <c r="BR13" s="11">
        <f t="shared" si="9"/>
        <v>22</v>
      </c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</row>
    <row r="14" spans="1:83" ht="13.5" customHeight="1" x14ac:dyDescent="0.2">
      <c r="A14" s="89">
        <f>Summary!$C$2-1</f>
        <v>2019</v>
      </c>
      <c r="B14" s="90" t="str">
        <f>Mapping!$B$2</f>
        <v>Actual</v>
      </c>
      <c r="E14" s="91" t="str">
        <f>A14&amp;" "&amp;B14</f>
        <v>2019 Actual</v>
      </c>
      <c r="F14" s="129">
        <f>SUMIFS('Sales Data'!$E:$E,'Sales Data'!$A:$A,$E$2,'Sales Data'!$B:$B,F$12&amp;" "&amp;$A14,'Sales Data'!$C:$C,"Periodic")/1000</f>
        <v>450.49034758227958</v>
      </c>
      <c r="G14" s="129">
        <f>SUMIFS('Sales Data'!$E:$E,'Sales Data'!$A:$A,$E$2,'Sales Data'!$B:$B,G$12&amp;" "&amp;$A14,'Sales Data'!$C:$C,"Periodic")/1000</f>
        <v>418.08676739741873</v>
      </c>
      <c r="H14" s="129">
        <f>SUMIFS('Sales Data'!$E:$E,'Sales Data'!$A:$A,$E$2,'Sales Data'!$B:$B,H$12&amp;" "&amp;$A14,'Sales Data'!$C:$C,"Periodic")/1000</f>
        <v>363.19782962765345</v>
      </c>
      <c r="I14" s="129">
        <f>SUMIFS('Sales Data'!$E:$E,'Sales Data'!$A:$A,$E$2,'Sales Data'!$B:$B,I$12&amp;" "&amp;$A14,'Sales Data'!$C:$C,"Periodic")/1000</f>
        <v>589.79345417409127</v>
      </c>
      <c r="J14" s="129">
        <f>SUMIFS('Sales Data'!$E:$E,'Sales Data'!$A:$A,$E$2,'Sales Data'!$B:$B,J$12&amp;" "&amp;$A14,'Sales Data'!$C:$C,"Periodic")/1000</f>
        <v>473.90503862800011</v>
      </c>
      <c r="K14" s="129">
        <f>SUMIFS('Sales Data'!$E:$E,'Sales Data'!$A:$A,$E$2,'Sales Data'!$B:$B,K$12&amp;" "&amp;$A14,'Sales Data'!$C:$C,"Periodic")/1000</f>
        <v>550.86070067254582</v>
      </c>
      <c r="L14" s="129">
        <f>SUMIFS('Sales Data'!$E:$E,'Sales Data'!$A:$A,$E$2,'Sales Data'!$B:$B,L$12&amp;" "&amp;$A14,'Sales Data'!$C:$C,"Periodic")/1000</f>
        <v>445.98745644892921</v>
      </c>
      <c r="M14" s="129">
        <f>SUMIFS('Sales Data'!$E:$E,'Sales Data'!$A:$A,$E$2,'Sales Data'!$B:$B,M$12&amp;" "&amp;$A14,'Sales Data'!$C:$C,"Periodic")/1000</f>
        <v>508.46155316924569</v>
      </c>
      <c r="N14" s="129">
        <f>SUMIFS('Sales Data'!$E:$E,'Sales Data'!$A:$A,$E$2,'Sales Data'!$B:$B,N$12&amp;" "&amp;$A14,'Sales Data'!$C:$C,"Periodic")/1000</f>
        <v>424.09441453268971</v>
      </c>
      <c r="O14" s="129">
        <f>SUMIFS('Sales Data'!$E:$E,'Sales Data'!$A:$A,$E$2,'Sales Data'!$B:$B,O$12&amp;" "&amp;$A14,'Sales Data'!$C:$C,"Periodic")/1000</f>
        <v>633.17249457973378</v>
      </c>
      <c r="P14" s="129">
        <f>SUMIFS('Sales Data'!$E:$E,'Sales Data'!$A:$A,$E$2,'Sales Data'!$B:$B,P$12&amp;" "&amp;$A14,'Sales Data'!$C:$C,"Periodic")/1000</f>
        <v>700.03736602136826</v>
      </c>
      <c r="Q14" s="129">
        <f>SUMIFS('Sales Data'!$E:$E,'Sales Data'!$A:$A,$E$2,'Sales Data'!$B:$B,Q$12&amp;" "&amp;$A14,'Sales Data'!$C:$C,"Periodic")/1000</f>
        <v>383.17003717080217</v>
      </c>
      <c r="R14" s="93">
        <f t="shared" ref="R14:R17" si="10">SUM(F14:Q14)</f>
        <v>5941.2574600047583</v>
      </c>
      <c r="T14" s="138" t="s">
        <v>87</v>
      </c>
      <c r="U14" s="139"/>
      <c r="V14" s="140">
        <f>IFERROR(R9/Summary!$D$3,"")</f>
        <v>385.14285714285717</v>
      </c>
      <c r="W14" s="141">
        <f>IFERROR((R8-R9)/Summary!$E$3,"")</f>
        <v>814.13080572000001</v>
      </c>
      <c r="X14" s="142">
        <f>IFERROR(W14-V14,"")</f>
        <v>428.98794857714284</v>
      </c>
      <c r="Y14" s="68"/>
      <c r="Z14" s="143" t="s">
        <v>18</v>
      </c>
      <c r="AA14" s="141"/>
      <c r="AB14" s="140">
        <f>R16/Summary!$D$3</f>
        <v>399.09188129185719</v>
      </c>
      <c r="AC14" s="141">
        <f>IFERROR((R15-R16)/Summary!$E$3,"")</f>
        <v>628.73923576784227</v>
      </c>
      <c r="AD14" s="144">
        <f>IFERROR(AC14-AB14,"")</f>
        <v>229.64735447598508</v>
      </c>
      <c r="AE14" s="27"/>
      <c r="AF14" s="27"/>
      <c r="AG14" s="145" t="s">
        <v>54</v>
      </c>
      <c r="AH14" s="146"/>
      <c r="AI14" s="69"/>
      <c r="AJ14" s="69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</row>
    <row r="15" spans="1:83" ht="13.5" customHeight="1" x14ac:dyDescent="0.2">
      <c r="A15" s="89">
        <f>Summary!$C$2</f>
        <v>2020</v>
      </c>
      <c r="B15" s="90" t="str">
        <f>Mapping!$B$3</f>
        <v>Budget</v>
      </c>
      <c r="E15" s="105" t="str">
        <f>A15&amp;" "&amp;B15</f>
        <v>2020 Budget</v>
      </c>
      <c r="F15" s="106">
        <f>SUMIFS('Sales Data'!$D:$D,'Sales Data'!$A:$A,$E$2,'Sales Data'!$B:$B,F$12&amp;" "&amp;$A15,'Sales Data'!$C:$C,"Periodic")/1000</f>
        <v>510.53315585713494</v>
      </c>
      <c r="G15" s="106">
        <f>SUMIFS('Sales Data'!$D:$D,'Sales Data'!$A:$A,$E$2,'Sales Data'!$B:$B,G$12&amp;" "&amp;$A15,'Sales Data'!$C:$C,"Periodic")/1000</f>
        <v>512.81952569877456</v>
      </c>
      <c r="H15" s="106">
        <f>SUMIFS('Sales Data'!$D:$D,'Sales Data'!$A:$A,$E$2,'Sales Data'!$B:$B,H$12&amp;" "&amp;$A15,'Sales Data'!$C:$C,"Periodic")/1000</f>
        <v>480.2391672672897</v>
      </c>
      <c r="I15" s="106">
        <f>SUMIFS('Sales Data'!$D:$D,'Sales Data'!$A:$A,$E$2,'Sales Data'!$B:$B,I$12&amp;" "&amp;$A15,'Sales Data'!$C:$C,"Periodic")/1000</f>
        <v>523.32731507337894</v>
      </c>
      <c r="J15" s="106">
        <f>SUMIFS('Sales Data'!$D:$D,'Sales Data'!$A:$A,$E$2,'Sales Data'!$B:$B,J$12&amp;" "&amp;$A15,'Sales Data'!$C:$C,"Periodic")/1000</f>
        <v>510.74623835263452</v>
      </c>
      <c r="K15" s="106">
        <f>SUMIFS('Sales Data'!$D:$D,'Sales Data'!$A:$A,$E$2,'Sales Data'!$B:$B,K$12&amp;" "&amp;$A15,'Sales Data'!$C:$C,"Periodic")/1000</f>
        <v>526.30209818941967</v>
      </c>
      <c r="L15" s="106">
        <f>SUMIFS('Sales Data'!$D:$D,'Sales Data'!$A:$A,$E$2,'Sales Data'!$B:$B,L$12&amp;" "&amp;$A15,'Sales Data'!$C:$C,"Periodic")/1000</f>
        <v>451.00764205129218</v>
      </c>
      <c r="M15" s="106">
        <f>SUMIFS('Sales Data'!$D:$D,'Sales Data'!$A:$A,$E$2,'Sales Data'!$B:$B,M$12&amp;" "&amp;$A15,'Sales Data'!$C:$C,"Periodic")/1000</f>
        <v>491.98578134349322</v>
      </c>
      <c r="N15" s="106">
        <f>SUMIFS('Sales Data'!$D:$D,'Sales Data'!$A:$A,$E$2,'Sales Data'!$B:$B,N$12&amp;" "&amp;$A15,'Sales Data'!$C:$C,"Periodic")/1000</f>
        <v>456.19993660066439</v>
      </c>
      <c r="O15" s="106">
        <f>SUMIFS('Sales Data'!$D:$D,'Sales Data'!$A:$A,$E$2,'Sales Data'!$B:$B,O$12&amp;" "&amp;$A15,'Sales Data'!$C:$C,"Periodic")/1000</f>
        <v>500.8574860792931</v>
      </c>
      <c r="P15" s="106">
        <f>SUMIFS('Sales Data'!$D:$D,'Sales Data'!$A:$A,$E$2,'Sales Data'!$B:$B,P$12&amp;" "&amp;$A15,'Sales Data'!$C:$C,"Periodic")/1000</f>
        <v>516.25265694857467</v>
      </c>
      <c r="Q15" s="106">
        <f>SUMIFS('Sales Data'!$D:$D,'Sales Data'!$A:$A,$E$2,'Sales Data'!$B:$B,Q$12&amp;" "&amp;$A15,'Sales Data'!$C:$C,"Periodic")/1000</f>
        <v>457.06834442026269</v>
      </c>
      <c r="R15" s="107">
        <f t="shared" si="10"/>
        <v>5937.3393478822118</v>
      </c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G15" s="147" t="s">
        <v>29</v>
      </c>
      <c r="AI15" s="128" t="str">
        <f>'Bridges for Trends'!Y4</f>
        <v>Jan 2018</v>
      </c>
      <c r="AJ15" s="128" t="str">
        <f>'Bridges for Trends'!X4</f>
        <v>Feb 2018</v>
      </c>
      <c r="AK15" s="128" t="str">
        <f>'Bridges for Trends'!W4</f>
        <v>Mar 2018</v>
      </c>
      <c r="AL15" s="128" t="str">
        <f>'Bridges for Trends'!V4</f>
        <v>Apr 2018</v>
      </c>
      <c r="AM15" s="128" t="str">
        <f>'Bridges for Trends'!U4</f>
        <v>May 2018</v>
      </c>
      <c r="AN15" s="128" t="str">
        <f>'Bridges for Trends'!T4</f>
        <v>Jun 2018</v>
      </c>
      <c r="AO15" s="128" t="str">
        <f>'Bridges for Trends'!S4</f>
        <v>Jul 2018</v>
      </c>
      <c r="AP15" s="128" t="str">
        <f>'Bridges for Trends'!R4</f>
        <v>Aug 2018</v>
      </c>
      <c r="AQ15" s="128" t="str">
        <f>'Bridges for Trends'!Q4</f>
        <v>Sep 2018</v>
      </c>
      <c r="AR15" s="128" t="str">
        <f>'Bridges for Trends'!P4</f>
        <v>Oct 2018</v>
      </c>
      <c r="AS15" s="128" t="str">
        <f>'Bridges for Trends'!O4</f>
        <v>Nov 2018</v>
      </c>
      <c r="AT15" s="128" t="str">
        <f>'Bridges for Trends'!N4</f>
        <v>Dec 2018</v>
      </c>
      <c r="AU15" s="128" t="str">
        <f>'Bridges for Trends'!M4</f>
        <v>Jan 2019</v>
      </c>
      <c r="AV15" s="128" t="str">
        <f>'Bridges for Trends'!L4</f>
        <v>Feb 2019</v>
      </c>
      <c r="AW15" s="128" t="str">
        <f>'Bridges for Trends'!K4</f>
        <v>Mar 2019</v>
      </c>
      <c r="AX15" s="128" t="str">
        <f>'Bridges for Trends'!J4</f>
        <v>Apr 2019</v>
      </c>
      <c r="AY15" s="128" t="str">
        <f>'Bridges for Trends'!I4</f>
        <v>May 2019</v>
      </c>
      <c r="AZ15" s="128" t="str">
        <f>'Bridges for Trends'!H4</f>
        <v>Jun 2019</v>
      </c>
      <c r="BA15" s="128" t="str">
        <f>'Bridges for Trends'!G4</f>
        <v>Jul 2019</v>
      </c>
      <c r="BB15" s="128" t="str">
        <f>'Bridges for Trends'!F4</f>
        <v>Aug 2019</v>
      </c>
      <c r="BC15" s="128" t="str">
        <f>'Bridges for Trends'!E4</f>
        <v>Sep 2019</v>
      </c>
      <c r="BD15" s="128" t="str">
        <f>'Bridges for Trends'!D4</f>
        <v>Oct 2019</v>
      </c>
      <c r="BE15" s="128" t="str">
        <f>'Bridges for Trends'!C4</f>
        <v>Nov 2019</v>
      </c>
      <c r="BF15" s="128" t="str">
        <f>'Bridges for Trends'!B4</f>
        <v>Dec 2019</v>
      </c>
      <c r="BG15" s="128" t="str">
        <f>'Bridges for Trends'!A4</f>
        <v>Jan 2020</v>
      </c>
      <c r="BH15" s="128" t="str">
        <f>'Bridges for Trends'!A5</f>
        <v>Feb 2020</v>
      </c>
      <c r="BI15" s="128" t="str">
        <f>'Bridges for Trends'!A6</f>
        <v>Mar 2020</v>
      </c>
      <c r="BJ15" s="128" t="str">
        <f>'Bridges for Trends'!A7</f>
        <v>Apr 2020</v>
      </c>
      <c r="BK15" s="128" t="str">
        <f>'Bridges for Trends'!A8</f>
        <v>May 2020</v>
      </c>
      <c r="BL15" s="128" t="str">
        <f>'Bridges for Trends'!A9</f>
        <v>Jun 2020</v>
      </c>
      <c r="BM15" s="128" t="str">
        <f>'Bridges for Trends'!A10</f>
        <v>Jul 2020</v>
      </c>
      <c r="BN15" s="128" t="str">
        <f>'Bridges for Trends'!A11</f>
        <v>Aug 2020</v>
      </c>
      <c r="BO15" s="128" t="str">
        <f>'Bridges for Trends'!A12</f>
        <v>Sep 2020</v>
      </c>
      <c r="BP15" s="128" t="str">
        <f>'Bridges for Trends'!A13</f>
        <v>Oct 2020</v>
      </c>
      <c r="BQ15" s="128" t="str">
        <f>'Bridges for Trends'!A14</f>
        <v>Nov 2020</v>
      </c>
      <c r="BR15" s="128" t="str">
        <f>'Bridges for Trends'!A15</f>
        <v>Dec 2020</v>
      </c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</row>
    <row r="16" spans="1:83" ht="13.5" customHeight="1" x14ac:dyDescent="0.2">
      <c r="A16" s="89">
        <f>Summary!$C$2</f>
        <v>2020</v>
      </c>
      <c r="B16" s="90" t="str">
        <f>Mapping!$B$2</f>
        <v>Actual</v>
      </c>
      <c r="E16" s="91" t="str">
        <f>A16&amp;" "&amp;B16</f>
        <v>2020 Actual</v>
      </c>
      <c r="F16" s="148">
        <f>SUMIFS('Sales Data'!$E:$E,'Sales Data'!$A:$A,$E$2,'Sales Data'!$B:$B,F$12&amp;" "&amp;$A16,'Sales Data'!$C:$C,"Periodic")/1000</f>
        <v>448.48043121900002</v>
      </c>
      <c r="G16" s="148">
        <f>SUMIFS('Sales Data'!$E:$E,'Sales Data'!$A:$A,$E$2,'Sales Data'!$B:$B,G$12&amp;" "&amp;$A16,'Sales Data'!$C:$C,"Periodic")/1000</f>
        <v>404.02749370800007</v>
      </c>
      <c r="H16" s="148">
        <f>SUMIFS('Sales Data'!$E:$E,'Sales Data'!$A:$A,$E$2,'Sales Data'!$B:$B,H$12&amp;" "&amp;$A16,'Sales Data'!$C:$C,"Periodic")/1000</f>
        <v>362.43555380999999</v>
      </c>
      <c r="I16" s="148">
        <f>SUMIFS('Sales Data'!$E:$E,'Sales Data'!$A:$A,$E$2,'Sales Data'!$B:$B,I$12&amp;" "&amp;$A16,'Sales Data'!$C:$C,"Periodic")/1000</f>
        <v>309.66281012400003</v>
      </c>
      <c r="J16" s="148">
        <f>SUMIFS('Sales Data'!$E:$E,'Sales Data'!$A:$A,$E$2,'Sales Data'!$B:$B,J$12&amp;" "&amp;$A16,'Sales Data'!$C:$C,"Periodic")/1000</f>
        <v>462.26029832099994</v>
      </c>
      <c r="K16" s="148">
        <f>SUMIFS('Sales Data'!$E:$E,'Sales Data'!$A:$A,$E$2,'Sales Data'!$B:$B,K$12&amp;" "&amp;$A16,'Sales Data'!$C:$C,"Periodic")/1000</f>
        <v>484.914631101</v>
      </c>
      <c r="L16" s="148">
        <f>SUMIFS('Sales Data'!$E:$E,'Sales Data'!$A:$A,$E$2,'Sales Data'!$B:$B,L$12&amp;" "&amp;$A16,'Sales Data'!$C:$C,"Periodic")/1000</f>
        <v>321.86195075999996</v>
      </c>
      <c r="M16" s="148">
        <f>SUMIFS('Sales Data'!$E:$E,'Sales Data'!$A:$A,$E$2,'Sales Data'!$B:$B,M$12&amp;" "&amp;$A16,'Sales Data'!$C:$C,"Periodic")/1000</f>
        <v>0</v>
      </c>
      <c r="N16" s="148">
        <f>SUMIFS('Sales Data'!$E:$E,'Sales Data'!$A:$A,$E$2,'Sales Data'!$B:$B,N$12&amp;" "&amp;$A16,'Sales Data'!$C:$C,"Periodic")/1000</f>
        <v>0</v>
      </c>
      <c r="O16" s="148">
        <f>SUMIFS('Sales Data'!$E:$E,'Sales Data'!$A:$A,$E$2,'Sales Data'!$B:$B,O$12&amp;" "&amp;$A16,'Sales Data'!$C:$C,"Periodic")/1000</f>
        <v>0</v>
      </c>
      <c r="P16" s="148">
        <f>SUMIFS('Sales Data'!$E:$E,'Sales Data'!$A:$A,$E$2,'Sales Data'!$B:$B,P$12&amp;" "&amp;$A16,'Sales Data'!$C:$C,"Periodic")/1000</f>
        <v>0</v>
      </c>
      <c r="Q16" s="148">
        <f>SUMIFS('Sales Data'!$E:$E,'Sales Data'!$A:$A,$E$2,'Sales Data'!$B:$B,Q$12&amp;" "&amp;$A16,'Sales Data'!$C:$C,"Periodic")/1000</f>
        <v>0</v>
      </c>
      <c r="R16" s="109">
        <f t="shared" si="10"/>
        <v>2793.6431690430004</v>
      </c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115"/>
      <c r="AF16" s="115"/>
      <c r="AG16" s="118"/>
      <c r="AH16" s="149" t="s">
        <v>0</v>
      </c>
      <c r="AI16" s="150">
        <f>SUMIFS('Units sold'!$E:$E,'Units sold'!$A:$A,$E$2,'Units sold'!$B:$B,AI$15,'Units sold'!$C:$C,"Periodic")</f>
        <v>188</v>
      </c>
      <c r="AJ16" s="150">
        <f>SUMIFS('Units sold'!$E:$E,'Units sold'!$A:$A,$E$2,'Units sold'!$B:$B,AJ$15,'Units sold'!$C:$C,"Periodic")</f>
        <v>224</v>
      </c>
      <c r="AK16" s="150">
        <f>SUMIFS('Units sold'!$E:$E,'Units sold'!$A:$A,$E$2,'Units sold'!$B:$B,AK$15,'Units sold'!$C:$C,"Periodic")</f>
        <v>328</v>
      </c>
      <c r="AL16" s="150">
        <f>SUMIFS('Units sold'!$E:$E,'Units sold'!$A:$A,$E$2,'Units sold'!$B:$B,AL$15,'Units sold'!$C:$C,"Periodic")</f>
        <v>268</v>
      </c>
      <c r="AM16" s="150">
        <f>SUMIFS('Units sold'!$E:$E,'Units sold'!$A:$A,$E$2,'Units sold'!$B:$B,AM$15,'Units sold'!$C:$C,"Periodic")</f>
        <v>340</v>
      </c>
      <c r="AN16" s="150">
        <f>SUMIFS('Units sold'!$E:$E,'Units sold'!$A:$A,$E$2,'Units sold'!$B:$B,AN$15,'Units sold'!$C:$C,"Periodic")</f>
        <v>256</v>
      </c>
      <c r="AO16" s="150">
        <f>SUMIFS('Units sold'!$E:$E,'Units sold'!$A:$A,$E$2,'Units sold'!$B:$B,AO$15,'Units sold'!$C:$C,"Periodic")</f>
        <v>256</v>
      </c>
      <c r="AP16" s="150">
        <f>SUMIFS('Units sold'!$E:$E,'Units sold'!$A:$A,$E$2,'Units sold'!$B:$B,AP$15,'Units sold'!$C:$C,"Periodic")</f>
        <v>274</v>
      </c>
      <c r="AQ16" s="150">
        <f>SUMIFS('Units sold'!$E:$E,'Units sold'!$A:$A,$E$2,'Units sold'!$B:$B,AQ$15,'Units sold'!$C:$C,"Periodic")</f>
        <v>340</v>
      </c>
      <c r="AR16" s="150">
        <f>SUMIFS('Units sold'!$E:$E,'Units sold'!$A:$A,$E$2,'Units sold'!$B:$B,AR$15,'Units sold'!$C:$C,"Periodic")</f>
        <v>354</v>
      </c>
      <c r="AS16" s="150">
        <f>SUMIFS('Units sold'!$E:$E,'Units sold'!$A:$A,$E$2,'Units sold'!$B:$B,AS$15,'Units sold'!$C:$C,"Periodic")</f>
        <v>382</v>
      </c>
      <c r="AT16" s="150">
        <f>SUMIFS('Units sold'!$E:$E,'Units sold'!$A:$A,$E$2,'Units sold'!$B:$B,AT$15,'Units sold'!$C:$C,"Periodic")</f>
        <v>410</v>
      </c>
      <c r="AU16" s="150">
        <f>SUMIFS('Units sold'!$E:$E,'Units sold'!$A:$A,$E$2,'Units sold'!$B:$B,AU$15,'Units sold'!$C:$C,"Periodic")</f>
        <v>376</v>
      </c>
      <c r="AV16" s="150">
        <f>SUMIFS('Units sold'!$E:$E,'Units sold'!$A:$A,$E$2,'Units sold'!$B:$B,AV$15,'Units sold'!$C:$C,"Periodic")</f>
        <v>324</v>
      </c>
      <c r="AW16" s="150">
        <f>SUMIFS('Units sold'!$E:$E,'Units sold'!$A:$A,$E$2,'Units sold'!$B:$B,AW$15,'Units sold'!$C:$C,"Periodic")</f>
        <v>312</v>
      </c>
      <c r="AX16" s="150">
        <f>SUMIFS('Units sold'!$E:$E,'Units sold'!$A:$A,$E$2,'Units sold'!$B:$B,AX$15,'Units sold'!$C:$C,"Periodic")</f>
        <v>406</v>
      </c>
      <c r="AY16" s="150">
        <f>SUMIFS('Units sold'!$E:$E,'Units sold'!$A:$A,$E$2,'Units sold'!$B:$B,AY$15,'Units sold'!$C:$C,"Periodic")</f>
        <v>358</v>
      </c>
      <c r="AZ16" s="150">
        <f>SUMIFS('Units sold'!$E:$E,'Units sold'!$A:$A,$E$2,'Units sold'!$B:$B,AZ$15,'Units sold'!$C:$C,"Periodic")</f>
        <v>456</v>
      </c>
      <c r="BA16" s="150">
        <f>SUMIFS('Units sold'!$E:$E,'Units sold'!$A:$A,$E$2,'Units sold'!$B:$B,BA$15,'Units sold'!$C:$C,"Periodic")</f>
        <v>392</v>
      </c>
      <c r="BB16" s="150">
        <f>SUMIFS('Units sold'!$E:$E,'Units sold'!$A:$A,$E$2,'Units sold'!$B:$B,BB$15,'Units sold'!$C:$C,"Periodic")</f>
        <v>412</v>
      </c>
      <c r="BC16" s="150">
        <f>SUMIFS('Units sold'!$E:$E,'Units sold'!$A:$A,$E$2,'Units sold'!$B:$B,BC$15,'Units sold'!$C:$C,"Periodic")</f>
        <v>412</v>
      </c>
      <c r="BD16" s="150">
        <f>SUMIFS('Units sold'!$E:$E,'Units sold'!$A:$A,$E$2,'Units sold'!$B:$B,BD$15,'Units sold'!$C:$C,"Periodic")</f>
        <v>516</v>
      </c>
      <c r="BE16" s="150">
        <f>SUMIFS('Units sold'!$E:$E,'Units sold'!$A:$A,$E$2,'Units sold'!$B:$B,BE$15,'Units sold'!$C:$C,"Periodic")</f>
        <v>548</v>
      </c>
      <c r="BF16" s="150">
        <f>SUMIFS('Units sold'!$E:$E,'Units sold'!$A:$A,$E$2,'Units sold'!$B:$B,BF$15,'Units sold'!$C:$C,"Periodic")</f>
        <v>366</v>
      </c>
      <c r="BG16" s="150">
        <f>IF(OR(BG$8=1,BG$9=0),SUMIFS('Units sold'!$E:$E,'Units sold'!$A:$A,$E$2,'Units sold'!$B:$B,BG$15,'Units sold'!$C:$C,"Periodic"),"")</f>
        <v>396</v>
      </c>
      <c r="BH16" s="150">
        <f>IF(OR(BH$8=1,BH$9=0),SUMIFS('Units sold'!$E:$E,'Units sold'!$A:$A,$E$2,'Units sold'!$B:$B,BH$15,'Units sold'!$C:$C,"Periodic"),"")</f>
        <v>356</v>
      </c>
      <c r="BI16" s="150">
        <f>IF(OR(BI$8=1,BI$9=0),SUMIFS('Units sold'!$E:$E,'Units sold'!$A:$A,$E$2,'Units sold'!$B:$B,BI$15,'Units sold'!$C:$C,"Periodic"),"")</f>
        <v>414</v>
      </c>
      <c r="BJ16" s="150">
        <f>IF(OR(BJ$8=1,BJ$9=0),SUMIFS('Units sold'!$E:$E,'Units sold'!$A:$A,$E$2,'Units sold'!$B:$B,BJ$15,'Units sold'!$C:$C,"Periodic"),"")</f>
        <v>326</v>
      </c>
      <c r="BK16" s="150">
        <f>IF(OR(BK$8=1,BK$9=0),SUMIFS('Units sold'!$E:$E,'Units sold'!$A:$A,$E$2,'Units sold'!$B:$B,BK$15,'Units sold'!$C:$C,"Periodic"),"")</f>
        <v>366</v>
      </c>
      <c r="BL16" s="150">
        <f>IF(OR(BL$8=1,BL$9=0),SUMIFS('Units sold'!$E:$E,'Units sold'!$A:$A,$E$2,'Units sold'!$B:$B,BL$15,'Units sold'!$C:$C,"Periodic"),"")</f>
        <v>442</v>
      </c>
      <c r="BM16" s="150">
        <f>IF(OR(BM$8=1,BM$9=0),SUMIFS('Units sold'!$E:$E,'Units sold'!$A:$A,$E$2,'Units sold'!$B:$B,BM$15,'Units sold'!$C:$C,"Periodic"),"")</f>
        <v>396</v>
      </c>
      <c r="BN16" s="150" t="str">
        <f>IF(OR(BN$8=1,BN$9=0),SUMIFS('Units sold'!$E:$E,'Units sold'!$A:$A,$E$2,'Units sold'!$B:$B,BN$15,'Units sold'!$C:$C,"Periodic"),"")</f>
        <v/>
      </c>
      <c r="BO16" s="150" t="str">
        <f>IF(OR(BO$8=1,BO$9=0),SUMIFS('Units sold'!$E:$E,'Units sold'!$A:$A,$E$2,'Units sold'!$B:$B,BO$15,'Units sold'!$C:$C,"Periodic"),"")</f>
        <v/>
      </c>
      <c r="BP16" s="150" t="str">
        <f>IF(OR(BP$8=1,BP$9=0),SUMIFS('Units sold'!$E:$E,'Units sold'!$A:$A,$E$2,'Units sold'!$B:$B,BP$15,'Units sold'!$C:$C,"Periodic"),"")</f>
        <v/>
      </c>
      <c r="BQ16" s="150" t="str">
        <f>IF(OR(BQ$8=1,BQ$9=0),SUMIFS('Units sold'!$E:$E,'Units sold'!$A:$A,$E$2,'Units sold'!$B:$B,BQ$15,'Units sold'!$C:$C,"Periodic"),"")</f>
        <v/>
      </c>
      <c r="BR16" s="150" t="str">
        <f>IF(OR(BR$8=1,BR$9=0),SUMIFS('Units sold'!$E:$E,'Units sold'!$A:$A,$E$2,'Units sold'!$B:$B,BR$15,'Units sold'!$C:$C,"Periodic"),"")</f>
        <v/>
      </c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</row>
    <row r="17" spans="1:83" s="69" customFormat="1" x14ac:dyDescent="0.2">
      <c r="A17" s="1"/>
      <c r="B17" s="1"/>
      <c r="C17" s="1"/>
      <c r="D17" s="1"/>
      <c r="E17" s="91" t="s">
        <v>34</v>
      </c>
      <c r="F17" s="148">
        <f t="shared" ref="F17:Q17" si="11">IF(F16&lt;&gt;0,F16,F15)</f>
        <v>448.48043121900002</v>
      </c>
      <c r="G17" s="148">
        <f t="shared" si="11"/>
        <v>404.02749370800007</v>
      </c>
      <c r="H17" s="148">
        <f t="shared" si="11"/>
        <v>362.43555380999999</v>
      </c>
      <c r="I17" s="148">
        <f t="shared" si="11"/>
        <v>309.66281012400003</v>
      </c>
      <c r="J17" s="148">
        <f t="shared" si="11"/>
        <v>462.26029832099994</v>
      </c>
      <c r="K17" s="148">
        <f t="shared" si="11"/>
        <v>484.914631101</v>
      </c>
      <c r="L17" s="148">
        <f t="shared" si="11"/>
        <v>321.86195075999996</v>
      </c>
      <c r="M17" s="148">
        <f t="shared" si="11"/>
        <v>491.98578134349322</v>
      </c>
      <c r="N17" s="148">
        <f t="shared" si="11"/>
        <v>456.19993660066439</v>
      </c>
      <c r="O17" s="148">
        <f t="shared" si="11"/>
        <v>500.8574860792931</v>
      </c>
      <c r="P17" s="148">
        <f t="shared" si="11"/>
        <v>516.25265694857467</v>
      </c>
      <c r="Q17" s="148">
        <f t="shared" si="11"/>
        <v>457.06834442026269</v>
      </c>
      <c r="R17" s="109">
        <f t="shared" si="10"/>
        <v>5216.0073744352876</v>
      </c>
      <c r="T17" s="122" t="s">
        <v>54</v>
      </c>
      <c r="U17" s="151" t="str">
        <f>AA17</f>
        <v>Q1</v>
      </c>
      <c r="V17" s="151" t="str">
        <f t="shared" ref="V17:X17" si="12">AB17</f>
        <v>Q2</v>
      </c>
      <c r="W17" s="151" t="str">
        <f t="shared" si="12"/>
        <v>Q3</v>
      </c>
      <c r="X17" s="123" t="str">
        <f t="shared" si="12"/>
        <v>Q4</v>
      </c>
      <c r="Y17" s="68"/>
      <c r="Z17" s="122" t="s">
        <v>82</v>
      </c>
      <c r="AA17" s="151" t="s">
        <v>21</v>
      </c>
      <c r="AB17" s="151" t="s">
        <v>22</v>
      </c>
      <c r="AC17" s="151" t="s">
        <v>23</v>
      </c>
      <c r="AD17" s="123" t="s">
        <v>24</v>
      </c>
      <c r="AE17" s="152"/>
      <c r="AF17" s="152"/>
      <c r="AG17" s="118"/>
      <c r="AH17" s="153" t="s">
        <v>1</v>
      </c>
      <c r="BG17" s="150" t="str">
        <f>IF(OR(BG$8=1,BG$9=1),SUMIFS('Units sold'!$D:$D,'Units sold'!$A:$A,$E$2,'Units sold'!$B:$B,BG$15,'Units sold'!$C:$C,"Periodic"),"")</f>
        <v/>
      </c>
      <c r="BH17" s="150" t="str">
        <f>IF(OR(BH$8=1,BH$9=1),SUMIFS('Units sold'!$D:$D,'Units sold'!$A:$A,$E$2,'Units sold'!$B:$B,BH$15,'Units sold'!$C:$C,"Periodic"),"")</f>
        <v/>
      </c>
      <c r="BI17" s="150" t="str">
        <f>IF(OR(BI$8=1,BI$9=1),SUMIFS('Units sold'!$D:$D,'Units sold'!$A:$A,$E$2,'Units sold'!$B:$B,BI$15,'Units sold'!$C:$C,"Periodic"),"")</f>
        <v/>
      </c>
      <c r="BJ17" s="150" t="str">
        <f>IF(OR(BJ$8=1,BJ$9=1),SUMIFS('Units sold'!$D:$D,'Units sold'!$A:$A,$E$2,'Units sold'!$B:$B,BJ$15,'Units sold'!$C:$C,"Periodic"),"")</f>
        <v/>
      </c>
      <c r="BK17" s="150" t="str">
        <f>IF(OR(BK$8=1,BK$9=1),SUMIFS('Units sold'!$D:$D,'Units sold'!$A:$A,$E$2,'Units sold'!$B:$B,BK$15,'Units sold'!$C:$C,"Periodic"),"")</f>
        <v/>
      </c>
      <c r="BL17" s="150" t="str">
        <f>IF(OR(BL$8=1,BL$9=1),SUMIFS('Units sold'!$D:$D,'Units sold'!$A:$A,$E$2,'Units sold'!$B:$B,BL$15,'Units sold'!$C:$C,"Periodic"),"")</f>
        <v/>
      </c>
      <c r="BM17" s="150">
        <f>IF(OR(BM$8=1,BM$9=1),SUMIFS('Units sold'!$D:$D,'Units sold'!$A:$A,$E$2,'Units sold'!$B:$B,BM$15,'Units sold'!$C:$C,"Periodic"),"")</f>
        <v>586.56549480000001</v>
      </c>
      <c r="BN17" s="150">
        <f>IF(OR(BN$8=1,BN$9=1),SUMIFS('Units sold'!$D:$D,'Units sold'!$A:$A,$E$2,'Units sold'!$B:$B,BN$15,'Units sold'!$C:$C,"Periodic"),"")</f>
        <v>610.84170900000004</v>
      </c>
      <c r="BO17" s="150">
        <f>IF(OR(BO$8=1,BO$9=1),SUMIFS('Units sold'!$D:$D,'Units sold'!$A:$A,$E$2,'Units sold'!$B:$B,BO$15,'Units sold'!$C:$C,"Periodic"),"")</f>
        <v>549.23390259999996</v>
      </c>
      <c r="BP17" s="150">
        <f>IF(OR(BP$8=1,BP$9=1),SUMIFS('Units sold'!$D:$D,'Units sold'!$A:$A,$E$2,'Units sold'!$B:$B,BP$15,'Units sold'!$C:$C,"Periodic"),"")</f>
        <v>592.85767999999996</v>
      </c>
      <c r="BQ17" s="150">
        <f>IF(OR(BQ$8=1,BQ$9=1),SUMIFS('Units sold'!$D:$D,'Units sold'!$A:$A,$E$2,'Units sold'!$B:$B,BQ$15,'Units sold'!$C:$C,"Periodic"),"")</f>
        <v>632.45291420000001</v>
      </c>
      <c r="BR17" s="150">
        <f>IF(OR(BR$8=1,BR$9=1),SUMIFS('Units sold'!$D:$D,'Units sold'!$A:$A,$E$2,'Units sold'!$B:$B,BR$15,'Units sold'!$C:$C,"Periodic"),"")</f>
        <v>575.03393899999992</v>
      </c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</row>
    <row r="18" spans="1:83" s="69" customFormat="1" x14ac:dyDescent="0.2">
      <c r="A18" s="1"/>
      <c r="B18" s="1"/>
      <c r="C18" s="1"/>
      <c r="D18" s="1"/>
      <c r="E18" s="118"/>
      <c r="T18" s="95" t="str">
        <f>E6</f>
        <v>2018 Actual</v>
      </c>
      <c r="U18" s="154">
        <f>SUM(F6:H6)</f>
        <v>740</v>
      </c>
      <c r="V18" s="154">
        <f>SUM(I6:K6)</f>
        <v>864</v>
      </c>
      <c r="W18" s="154">
        <f>SUM(L6:N6)</f>
        <v>870</v>
      </c>
      <c r="X18" s="155">
        <f>SUM(O6:Q6)</f>
        <v>1146</v>
      </c>
      <c r="Y18" s="152"/>
      <c r="Z18" s="95" t="str">
        <f>+E13</f>
        <v>2018 Actual</v>
      </c>
      <c r="AA18" s="154">
        <f>SUM(F13:H13)</f>
        <v>1068.4078258049999</v>
      </c>
      <c r="AB18" s="154">
        <f>SUM(I13:K13)</f>
        <v>1182.199955325</v>
      </c>
      <c r="AC18" s="154">
        <f>SUM(L13:N13)</f>
        <v>1217.7460297710002</v>
      </c>
      <c r="AD18" s="155">
        <f>SUM(O13:Q13)</f>
        <v>1277.052499854</v>
      </c>
      <c r="AE18" s="152"/>
      <c r="AF18" s="152"/>
      <c r="AG18" s="9"/>
      <c r="AH18" s="156" t="s">
        <v>26</v>
      </c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8"/>
      <c r="BA18" s="158"/>
      <c r="BB18" s="158"/>
      <c r="BC18" s="158"/>
      <c r="BD18" s="158"/>
      <c r="BE18" s="158"/>
      <c r="BF18" s="158"/>
      <c r="BG18" s="159" t="str">
        <f>IF(BG$9,FORECAST(BG12,$AP16:BF16,$AP12:BF12), "")</f>
        <v/>
      </c>
      <c r="BH18" s="159" t="str">
        <f>IF(BH$9,FORECAST(BH12,$AP16:BG16,$AP12:BG12), "")</f>
        <v/>
      </c>
      <c r="BI18" s="159" t="str">
        <f>IF(BI$9,FORECAST(BI12,$AP16:BH16,$AP12:BH12), "")</f>
        <v/>
      </c>
      <c r="BJ18" s="159" t="str">
        <f>IF(BJ$9,FORECAST(BJ12,$AP16:BI16,$AP12:BI12), "")</f>
        <v/>
      </c>
      <c r="BK18" s="159" t="str">
        <f>IF(BK$9,FORECAST(BK12,$AP16:BJ16,$AP12:BJ12), "")</f>
        <v/>
      </c>
      <c r="BL18" s="159" t="str">
        <f>IF(BL$9,FORECAST(BL12,$AP16:BK16,$AP12:BK12), "")</f>
        <v/>
      </c>
      <c r="BM18" s="159" t="str">
        <f>IF(BM$9,FORECAST(BM12,$AP16:BL16,$AP12:BL12), "")</f>
        <v/>
      </c>
      <c r="BN18" s="159">
        <f>IF(BN$9,FORECAST(BN12,$AP16:BM16,$AP12:BM12), "")</f>
        <v>358.87272727272733</v>
      </c>
      <c r="BO18" s="159">
        <f>IF(BO$9,FORECAST(BO12,$AP16:BN16,$AP12:BN12), "")</f>
        <v>349.92727272727279</v>
      </c>
      <c r="BP18" s="159">
        <f>IF(BP$9,FORECAST(BP12,$AP16:BO16,$AP12:BO12), "")</f>
        <v>340.98181818181826</v>
      </c>
      <c r="BQ18" s="159">
        <f>IF(BQ$9,FORECAST(BQ12,$AP16:BP16,$AP12:BP12), "")</f>
        <v>332.03636363636372</v>
      </c>
      <c r="BR18" s="159">
        <f>IF(BR$9,FORECAST(BR12,$AP16:BQ16,$AP12:BQ12), "")</f>
        <v>323.09090909090912</v>
      </c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</row>
    <row r="19" spans="1:83" s="69" customFormat="1" ht="15.75" x14ac:dyDescent="0.2">
      <c r="A19" s="1"/>
      <c r="B19" s="1"/>
      <c r="C19" s="1"/>
      <c r="D19" s="1"/>
      <c r="E19" s="80" t="s">
        <v>99</v>
      </c>
      <c r="F19" s="79" t="str">
        <f t="shared" ref="F19:Q19" si="13">F$5</f>
        <v>Jan</v>
      </c>
      <c r="G19" s="79" t="str">
        <f t="shared" si="13"/>
        <v>Feb</v>
      </c>
      <c r="H19" s="79" t="str">
        <f t="shared" si="13"/>
        <v>Mar</v>
      </c>
      <c r="I19" s="79" t="str">
        <f t="shared" si="13"/>
        <v>Apr</v>
      </c>
      <c r="J19" s="79" t="str">
        <f t="shared" si="13"/>
        <v>May</v>
      </c>
      <c r="K19" s="79" t="str">
        <f t="shared" si="13"/>
        <v>Jun</v>
      </c>
      <c r="L19" s="79" t="str">
        <f t="shared" si="13"/>
        <v>Jul</v>
      </c>
      <c r="M19" s="79" t="str">
        <f t="shared" si="13"/>
        <v>Aug</v>
      </c>
      <c r="N19" s="79" t="str">
        <f t="shared" si="13"/>
        <v>Sep</v>
      </c>
      <c r="O19" s="79" t="str">
        <f t="shared" si="13"/>
        <v>Oct</v>
      </c>
      <c r="P19" s="79" t="str">
        <f t="shared" si="13"/>
        <v>Nov</v>
      </c>
      <c r="Q19" s="79" t="str">
        <f t="shared" si="13"/>
        <v>Dec</v>
      </c>
      <c r="R19" s="80" t="s">
        <v>14</v>
      </c>
      <c r="T19" s="101" t="str">
        <f>E7</f>
        <v>2019 Actual</v>
      </c>
      <c r="U19" s="137">
        <f>SUM(F7:H7)</f>
        <v>1012</v>
      </c>
      <c r="V19" s="137">
        <f>SUM(I7:K7)</f>
        <v>1220</v>
      </c>
      <c r="W19" s="137">
        <f>SUM(L7:N7)</f>
        <v>1216</v>
      </c>
      <c r="X19" s="130">
        <f>SUM(O7:Q7)</f>
        <v>1430</v>
      </c>
      <c r="Y19" s="152"/>
      <c r="Z19" s="101" t="str">
        <f>+E14</f>
        <v>2019 Actual</v>
      </c>
      <c r="AA19" s="137">
        <f>SUM(F14:H14)</f>
        <v>1231.7749446073517</v>
      </c>
      <c r="AB19" s="137">
        <f>SUM(I14:K14)</f>
        <v>1614.5591934746371</v>
      </c>
      <c r="AC19" s="137">
        <f>SUM(L14:N14)</f>
        <v>1378.5434241508647</v>
      </c>
      <c r="AD19" s="130">
        <f>SUM(O14:Q14)</f>
        <v>1716.3798977719043</v>
      </c>
      <c r="AE19" s="152"/>
      <c r="AF19" s="152"/>
      <c r="AG19" s="160"/>
      <c r="AH19" s="156" t="s">
        <v>90</v>
      </c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8"/>
      <c r="AZ19" s="158"/>
      <c r="BA19" s="158"/>
      <c r="BB19" s="158"/>
      <c r="BC19" s="158"/>
      <c r="BD19" s="158"/>
      <c r="BE19" s="158"/>
      <c r="BF19" s="158"/>
      <c r="BG19" s="159" t="str">
        <f>IF(BG$9,FORECAST(BG13,$AP16:BF16,$AP13:BF13), "")</f>
        <v/>
      </c>
      <c r="BH19" s="159" t="str">
        <f>IF(BH$9,FORECAST(BH13,$AP16:BG16,$AP13:BG13), "")</f>
        <v/>
      </c>
      <c r="BI19" s="159" t="str">
        <f>IF(BI$9,FORECAST(BI13,$AP16:BH16,$AP13:BH13), "")</f>
        <v/>
      </c>
      <c r="BJ19" s="159" t="str">
        <f>IF(BJ$9,FORECAST(BJ13,$AP16:BI16,$AP13:BI13), "")</f>
        <v/>
      </c>
      <c r="BK19" s="159" t="str">
        <f>IF(BK$9,FORECAST(BK13,$AP16:BJ16,$AP13:BJ13), "")</f>
        <v/>
      </c>
      <c r="BL19" s="159" t="str">
        <f>IF(BL$9,FORECAST(BL13,$AP16:BK16,$AP13:BK13), "")</f>
        <v/>
      </c>
      <c r="BM19" s="159" t="str">
        <f>IF(BM$9,FORECAST(BM13,$AP16:BL16,$AP13:BL13), "")</f>
        <v/>
      </c>
      <c r="BN19" s="159">
        <f>IF(BN$9,FORECAST(BN13,$AP16:BM16,$AP13:BM13), "")</f>
        <v>405.6764705882353</v>
      </c>
      <c r="BO19" s="159">
        <f>IF(BO$9,FORECAST(BO13,$AP16:BN16,$AP13:BN13), "")</f>
        <v>405.82352941176475</v>
      </c>
      <c r="BP19" s="159">
        <f>IF(BP$9,FORECAST(BP13,$AP16:BO16,$AP13:BO13), "")</f>
        <v>405.97058823529414</v>
      </c>
      <c r="BQ19" s="159">
        <f>IF(BQ$9,FORECAST(BQ13,$AP16:BP16,$AP13:BP13), "")</f>
        <v>406.11764705882354</v>
      </c>
      <c r="BR19" s="159">
        <f>IF(BR$9,FORECAST(BR13,$AP16:BQ16,$AP13:BQ13), "")</f>
        <v>406.26470588235298</v>
      </c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</row>
    <row r="20" spans="1:83" s="69" customFormat="1" x14ac:dyDescent="0.2">
      <c r="A20" s="1"/>
      <c r="B20" s="1"/>
      <c r="C20" s="1"/>
      <c r="D20" s="1"/>
      <c r="E20" s="161" t="str">
        <f>+E13</f>
        <v>2018 Actual</v>
      </c>
      <c r="F20" s="162">
        <f t="shared" ref="F20:R20" si="14">IFERROR(F13/F6,"")</f>
        <v>1.4823639455585107</v>
      </c>
      <c r="G20" s="162">
        <f t="shared" si="14"/>
        <v>1.395765882160714</v>
      </c>
      <c r="H20" s="162">
        <f t="shared" si="14"/>
        <v>1.4544873366951221</v>
      </c>
      <c r="I20" s="162">
        <f t="shared" si="14"/>
        <v>1.2464309298134328</v>
      </c>
      <c r="J20" s="162">
        <f t="shared" si="14"/>
        <v>1.4592916939676472</v>
      </c>
      <c r="K20" s="162">
        <f t="shared" si="14"/>
        <v>1.3749894147890627</v>
      </c>
      <c r="L20" s="162">
        <f t="shared" si="14"/>
        <v>1.2876118884960939</v>
      </c>
      <c r="M20" s="162">
        <f t="shared" si="14"/>
        <v>1.2655935426788321</v>
      </c>
      <c r="N20" s="162">
        <f t="shared" si="14"/>
        <v>1.5921904577117649</v>
      </c>
      <c r="O20" s="162">
        <f t="shared" si="14"/>
        <v>1.0823515593898305</v>
      </c>
      <c r="P20" s="162">
        <f t="shared" si="14"/>
        <v>1.4020965746387435</v>
      </c>
      <c r="Q20" s="162">
        <f t="shared" si="14"/>
        <v>0.87390038126341452</v>
      </c>
      <c r="R20" s="163">
        <f t="shared" si="14"/>
        <v>1.3108857212030387</v>
      </c>
      <c r="T20" s="101" t="str">
        <f>E8</f>
        <v>2020 Budget</v>
      </c>
      <c r="U20" s="137">
        <f>SUM(F8:H8)</f>
        <v>1466.8820248000002</v>
      </c>
      <c r="V20" s="137">
        <f>SUM(I8:K8)</f>
        <v>1752.7863641999998</v>
      </c>
      <c r="W20" s="137">
        <f>SUM(L8:N8)</f>
        <v>1746.6411063999999</v>
      </c>
      <c r="X20" s="130">
        <f>SUM(O8:Q8)</f>
        <v>1800.3445331999999</v>
      </c>
      <c r="Y20" s="152"/>
      <c r="Z20" s="101" t="str">
        <f>+E15</f>
        <v>2020 Budget</v>
      </c>
      <c r="AA20" s="137">
        <f>SUM(F15:H15)</f>
        <v>1503.5918488231991</v>
      </c>
      <c r="AB20" s="137">
        <f>SUM(I15:K15)</f>
        <v>1560.3756516154331</v>
      </c>
      <c r="AC20" s="137">
        <f>SUM(L15:N15)</f>
        <v>1399.1933599954498</v>
      </c>
      <c r="AD20" s="130">
        <f>SUM(O15:Q15)</f>
        <v>1474.1784874481305</v>
      </c>
      <c r="AE20" s="152"/>
      <c r="AF20" s="152"/>
      <c r="AG20" s="118"/>
      <c r="AH20" s="153" t="s">
        <v>1</v>
      </c>
      <c r="AI20" s="164"/>
      <c r="AJ20" s="164"/>
      <c r="AK20" s="164"/>
      <c r="AL20" s="1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65"/>
      <c r="BD20" s="165"/>
      <c r="BE20" s="165"/>
      <c r="BF20" s="165"/>
      <c r="BG20" s="150">
        <f>SUMIFS('Units sold'!$D:$D,'Units sold'!$A:$A,$E$2,'Units sold'!$B:$B,BG$15,'Units sold'!$C:$C,"Periodic")</f>
        <v>520.49613280000005</v>
      </c>
      <c r="BH20" s="150">
        <f>SUMIFS('Units sold'!$D:$D,'Units sold'!$A:$A,$E$2,'Units sold'!$B:$B,BH$15,'Units sold'!$C:$C,"Periodic")</f>
        <v>484.69531219999999</v>
      </c>
      <c r="BI20" s="150">
        <f>SUMIFS('Units sold'!$D:$D,'Units sold'!$A:$A,$E$2,'Units sold'!$B:$B,BI$15,'Units sold'!$C:$C,"Periodic")</f>
        <v>461.69057980000002</v>
      </c>
      <c r="BJ20" s="150">
        <f>SUMIFS('Units sold'!$D:$D,'Units sold'!$A:$A,$E$2,'Units sold'!$B:$B,BJ$15,'Units sold'!$C:$C,"Periodic")</f>
        <v>599.5068035999999</v>
      </c>
      <c r="BK20" s="150">
        <f>SUMIFS('Units sold'!$D:$D,'Units sold'!$A:$A,$E$2,'Units sold'!$B:$B,BK$15,'Units sold'!$C:$C,"Periodic")</f>
        <v>534.14345460000004</v>
      </c>
      <c r="BL20" s="150">
        <f>SUMIFS('Units sold'!$D:$D,'Units sold'!$A:$A,$E$2,'Units sold'!$B:$B,BL$15,'Units sold'!$C:$C,"Periodic")</f>
        <v>619.13610599999993</v>
      </c>
      <c r="BM20" s="150">
        <f>SUMIFS('Units sold'!$D:$D,'Units sold'!$A:$A,$E$2,'Units sold'!$B:$B,BM$15,'Units sold'!$C:$C,"Periodic")</f>
        <v>586.56549480000001</v>
      </c>
      <c r="BN20" s="150">
        <f>SUMIFS('Units sold'!$D:$D,'Units sold'!$A:$A,$E$2,'Units sold'!$B:$B,BN$15,'Units sold'!$C:$C,"Periodic")</f>
        <v>610.84170900000004</v>
      </c>
      <c r="BO20" s="150">
        <f>SUMIFS('Units sold'!$D:$D,'Units sold'!$A:$A,$E$2,'Units sold'!$B:$B,BO$15,'Units sold'!$C:$C,"Periodic")</f>
        <v>549.23390259999996</v>
      </c>
      <c r="BP20" s="150">
        <f>SUMIFS('Units sold'!$D:$D,'Units sold'!$A:$A,$E$2,'Units sold'!$B:$B,BP$15,'Units sold'!$C:$C,"Periodic")</f>
        <v>592.85767999999996</v>
      </c>
      <c r="BQ20" s="150">
        <f>SUMIFS('Units sold'!$D:$D,'Units sold'!$A:$A,$E$2,'Units sold'!$B:$B,BQ$15,'Units sold'!$C:$C,"Periodic")</f>
        <v>632.45291420000001</v>
      </c>
      <c r="BR20" s="150">
        <f>SUMIFS('Units sold'!$D:$D,'Units sold'!$A:$A,$E$2,'Units sold'!$B:$B,BR$15,'Units sold'!$C:$C,"Periodic")</f>
        <v>575.03393899999992</v>
      </c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</row>
    <row r="21" spans="1:83" s="69" customFormat="1" x14ac:dyDescent="0.2">
      <c r="A21" s="1"/>
      <c r="B21" s="1"/>
      <c r="C21" s="1"/>
      <c r="D21" s="1"/>
      <c r="E21" s="161" t="str">
        <f>+E14</f>
        <v>2019 Actual</v>
      </c>
      <c r="F21" s="162">
        <f t="shared" ref="F21:R21" si="15">IFERROR(F14/F7,"")</f>
        <v>1.1981126265486159</v>
      </c>
      <c r="G21" s="162">
        <f t="shared" si="15"/>
        <v>1.2903912573994405</v>
      </c>
      <c r="H21" s="162">
        <f t="shared" si="15"/>
        <v>1.1640956077809406</v>
      </c>
      <c r="I21" s="162">
        <f t="shared" si="15"/>
        <v>1.4526932368819983</v>
      </c>
      <c r="J21" s="162">
        <f t="shared" si="15"/>
        <v>1.3237570911396652</v>
      </c>
      <c r="K21" s="162">
        <f t="shared" si="15"/>
        <v>1.2080278523520742</v>
      </c>
      <c r="L21" s="162">
        <f t="shared" si="15"/>
        <v>1.137723103186044</v>
      </c>
      <c r="M21" s="162">
        <f t="shared" si="15"/>
        <v>1.2341299834204993</v>
      </c>
      <c r="N21" s="162">
        <f t="shared" si="15"/>
        <v>1.029355375079344</v>
      </c>
      <c r="O21" s="162">
        <f t="shared" si="15"/>
        <v>1.2270784778677011</v>
      </c>
      <c r="P21" s="162">
        <f t="shared" si="15"/>
        <v>1.2774404489441027</v>
      </c>
      <c r="Q21" s="162">
        <f t="shared" si="15"/>
        <v>1.0469126698655797</v>
      </c>
      <c r="R21" s="163">
        <f t="shared" si="15"/>
        <v>1.2179699590005655</v>
      </c>
      <c r="T21" s="101" t="str">
        <f>E9</f>
        <v>2020 Actual</v>
      </c>
      <c r="U21" s="137">
        <f>SUM(F9:H9)</f>
        <v>1166</v>
      </c>
      <c r="V21" s="137">
        <f>SUM(I9:K9)</f>
        <v>1134</v>
      </c>
      <c r="W21" s="137">
        <f>SUM(L9:N9)</f>
        <v>396</v>
      </c>
      <c r="X21" s="130">
        <f>SUM(O9:Q9)</f>
        <v>0</v>
      </c>
      <c r="Y21" s="152"/>
      <c r="Z21" s="101" t="str">
        <f>+E16</f>
        <v>2020 Actual</v>
      </c>
      <c r="AA21" s="137">
        <f>SUM(F16:H16)</f>
        <v>1214.9434787370001</v>
      </c>
      <c r="AB21" s="137">
        <f>SUM(I16:K16)</f>
        <v>1256.837739546</v>
      </c>
      <c r="AC21" s="137">
        <f>SUM(L16:N16)</f>
        <v>321.86195075999996</v>
      </c>
      <c r="AD21" s="130">
        <f>SUM(O16:Q16)</f>
        <v>0</v>
      </c>
      <c r="AE21" s="118"/>
      <c r="AF21" s="118"/>
      <c r="AG21" s="118"/>
      <c r="AH21" s="153" t="s">
        <v>34</v>
      </c>
      <c r="AI21" s="118"/>
      <c r="AJ21" s="118"/>
      <c r="AK21" s="118"/>
      <c r="AL21" s="1"/>
      <c r="BD21" s="166"/>
      <c r="BE21" s="166"/>
      <c r="BF21" s="166"/>
      <c r="BG21" s="150" t="str">
        <f t="shared" ref="BG21:BR21" si="16">IF(OR(BG$8=1,BG$9=1),F10,"")</f>
        <v/>
      </c>
      <c r="BH21" s="150" t="str">
        <f t="shared" si="16"/>
        <v/>
      </c>
      <c r="BI21" s="150" t="str">
        <f t="shared" si="16"/>
        <v/>
      </c>
      <c r="BJ21" s="150" t="str">
        <f t="shared" si="16"/>
        <v/>
      </c>
      <c r="BK21" s="150" t="str">
        <f t="shared" si="16"/>
        <v/>
      </c>
      <c r="BL21" s="150" t="str">
        <f t="shared" si="16"/>
        <v/>
      </c>
      <c r="BM21" s="150">
        <f t="shared" si="16"/>
        <v>396</v>
      </c>
      <c r="BN21" s="150">
        <f t="shared" si="16"/>
        <v>474.78993781315012</v>
      </c>
      <c r="BO21" s="150">
        <f t="shared" si="16"/>
        <v>440.2548767517489</v>
      </c>
      <c r="BP21" s="150">
        <f t="shared" si="16"/>
        <v>483.35155950942055</v>
      </c>
      <c r="BQ21" s="150">
        <f t="shared" si="16"/>
        <v>498.20863972765102</v>
      </c>
      <c r="BR21" s="150">
        <f t="shared" si="16"/>
        <v>441.09293205801731</v>
      </c>
      <c r="BS21" s="165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</row>
    <row r="22" spans="1:83" s="69" customFormat="1" x14ac:dyDescent="0.2">
      <c r="A22" s="1"/>
      <c r="B22" s="1"/>
      <c r="C22" s="1"/>
      <c r="D22" s="1"/>
      <c r="E22" s="167" t="str">
        <f>+E15</f>
        <v>2020 Budget</v>
      </c>
      <c r="F22" s="168">
        <f t="shared" ref="F22:R22" si="17">IFERROR(F15/F8,"")</f>
        <v>0.98085869170771844</v>
      </c>
      <c r="G22" s="168">
        <f t="shared" si="17"/>
        <v>1.0580245213660529</v>
      </c>
      <c r="H22" s="168">
        <f t="shared" si="17"/>
        <v>1.0401753647980532</v>
      </c>
      <c r="I22" s="168">
        <f t="shared" si="17"/>
        <v>0.87292973479338676</v>
      </c>
      <c r="J22" s="168">
        <f t="shared" si="17"/>
        <v>0.95619675567327356</v>
      </c>
      <c r="K22" s="168">
        <f t="shared" si="17"/>
        <v>0.85005880466195871</v>
      </c>
      <c r="L22" s="168">
        <f t="shared" si="17"/>
        <v>0.76889562384686694</v>
      </c>
      <c r="M22" s="168">
        <f t="shared" si="17"/>
        <v>0.80542270459709753</v>
      </c>
      <c r="N22" s="168">
        <f t="shared" si="17"/>
        <v>0.83061139241600856</v>
      </c>
      <c r="O22" s="168">
        <f t="shared" si="17"/>
        <v>0.84481909061090876</v>
      </c>
      <c r="P22" s="168">
        <f t="shared" si="17"/>
        <v>0.81627050070848528</v>
      </c>
      <c r="Q22" s="168">
        <f t="shared" si="17"/>
        <v>0.79485455278538397</v>
      </c>
      <c r="R22" s="169">
        <f t="shared" si="17"/>
        <v>0.87744095128661825</v>
      </c>
      <c r="T22" s="138" t="s">
        <v>34</v>
      </c>
      <c r="U22" s="170">
        <f>SUM(F10:H10)</f>
        <v>1166</v>
      </c>
      <c r="V22" s="170">
        <f>SUM(I10:K10)</f>
        <v>1134</v>
      </c>
      <c r="W22" s="170">
        <f>SUM(L10:N10)</f>
        <v>1311.0448145648991</v>
      </c>
      <c r="X22" s="139">
        <f>SUM(O10:Q10)</f>
        <v>1422.653131295089</v>
      </c>
      <c r="Y22" s="118"/>
      <c r="Z22" s="138" t="s">
        <v>34</v>
      </c>
      <c r="AA22" s="170">
        <f>SUM(F17:H17)</f>
        <v>1214.9434787370001</v>
      </c>
      <c r="AB22" s="170">
        <f>SUM(I17:K17)</f>
        <v>1256.837739546</v>
      </c>
      <c r="AC22" s="170">
        <f>SUM(L17:N17)</f>
        <v>1270.0476687041576</v>
      </c>
      <c r="AD22" s="139">
        <f>SUM(O17:Q17)</f>
        <v>1474.1784874481305</v>
      </c>
      <c r="AE22" s="118"/>
      <c r="AF22" s="118"/>
      <c r="AG22" s="6" t="s">
        <v>30</v>
      </c>
      <c r="AH22" s="171" t="s">
        <v>26</v>
      </c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8"/>
      <c r="BA22" s="158"/>
      <c r="BB22" s="158"/>
      <c r="BC22" s="158"/>
      <c r="BD22" s="158"/>
      <c r="BE22" s="158"/>
      <c r="BF22" s="158"/>
      <c r="BG22" s="159">
        <f t="shared" ref="BG22:BR22" si="18">IF(BG18="",BG20,BG18)</f>
        <v>520.49613280000005</v>
      </c>
      <c r="BH22" s="159">
        <f t="shared" si="18"/>
        <v>484.69531219999999</v>
      </c>
      <c r="BI22" s="159">
        <f t="shared" si="18"/>
        <v>461.69057980000002</v>
      </c>
      <c r="BJ22" s="159">
        <f t="shared" si="18"/>
        <v>599.5068035999999</v>
      </c>
      <c r="BK22" s="159">
        <f t="shared" si="18"/>
        <v>534.14345460000004</v>
      </c>
      <c r="BL22" s="159">
        <f t="shared" si="18"/>
        <v>619.13610599999993</v>
      </c>
      <c r="BM22" s="159">
        <f t="shared" si="18"/>
        <v>586.56549480000001</v>
      </c>
      <c r="BN22" s="159">
        <f t="shared" si="18"/>
        <v>358.87272727272733</v>
      </c>
      <c r="BO22" s="159">
        <f t="shared" si="18"/>
        <v>349.92727272727279</v>
      </c>
      <c r="BP22" s="159">
        <f t="shared" si="18"/>
        <v>340.98181818181826</v>
      </c>
      <c r="BQ22" s="159">
        <f t="shared" si="18"/>
        <v>332.03636363636372</v>
      </c>
      <c r="BR22" s="159">
        <f t="shared" si="18"/>
        <v>323.09090909090912</v>
      </c>
      <c r="BS22" s="174">
        <f>SUM(BG22:BR22)</f>
        <v>5511.1429747090906</v>
      </c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</row>
    <row r="23" spans="1:83" s="69" customFormat="1" x14ac:dyDescent="0.2">
      <c r="A23" s="1"/>
      <c r="B23" s="1"/>
      <c r="C23" s="1"/>
      <c r="D23" s="1"/>
      <c r="E23" s="161" t="str">
        <f>+E16</f>
        <v>2020 Actual</v>
      </c>
      <c r="F23" s="172">
        <f t="shared" ref="F23:R23" si="19">IFERROR(F16/F9,"")</f>
        <v>1.1325263414621212</v>
      </c>
      <c r="G23" s="172">
        <f t="shared" si="19"/>
        <v>1.1349086901910115</v>
      </c>
      <c r="H23" s="172">
        <f t="shared" si="19"/>
        <v>0.87544819760869563</v>
      </c>
      <c r="I23" s="172">
        <f t="shared" si="19"/>
        <v>0.94988592062576693</v>
      </c>
      <c r="J23" s="172">
        <f t="shared" si="19"/>
        <v>1.2630062795655737</v>
      </c>
      <c r="K23" s="172">
        <f t="shared" si="19"/>
        <v>1.0970919255678733</v>
      </c>
      <c r="L23" s="172">
        <f t="shared" si="19"/>
        <v>0.81278270393939378</v>
      </c>
      <c r="M23" s="172" t="str">
        <f t="shared" si="19"/>
        <v/>
      </c>
      <c r="N23" s="172" t="str">
        <f t="shared" si="19"/>
        <v/>
      </c>
      <c r="O23" s="172" t="str">
        <f t="shared" si="19"/>
        <v/>
      </c>
      <c r="P23" s="172" t="str">
        <f t="shared" si="19"/>
        <v/>
      </c>
      <c r="Q23" s="172" t="str">
        <f t="shared" si="19"/>
        <v/>
      </c>
      <c r="R23" s="173">
        <f t="shared" si="19"/>
        <v>1.036217792671736</v>
      </c>
      <c r="AE23" s="127"/>
      <c r="AF23" s="127"/>
      <c r="AG23" s="164"/>
      <c r="AH23" s="171" t="s">
        <v>90</v>
      </c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8"/>
      <c r="AZ23" s="158"/>
      <c r="BA23" s="158"/>
      <c r="BB23" s="158"/>
      <c r="BC23" s="158"/>
      <c r="BD23" s="158"/>
      <c r="BE23" s="158"/>
      <c r="BF23" s="158"/>
      <c r="BG23" s="159">
        <f t="shared" ref="BG23:BR23" si="20">IF(BG19="",BG20,BG19)</f>
        <v>520.49613280000005</v>
      </c>
      <c r="BH23" s="159">
        <f t="shared" si="20"/>
        <v>484.69531219999999</v>
      </c>
      <c r="BI23" s="159">
        <f t="shared" si="20"/>
        <v>461.69057980000002</v>
      </c>
      <c r="BJ23" s="159">
        <f t="shared" si="20"/>
        <v>599.5068035999999</v>
      </c>
      <c r="BK23" s="159">
        <f t="shared" si="20"/>
        <v>534.14345460000004</v>
      </c>
      <c r="BL23" s="159">
        <f t="shared" si="20"/>
        <v>619.13610599999993</v>
      </c>
      <c r="BM23" s="159">
        <f t="shared" si="20"/>
        <v>586.56549480000001</v>
      </c>
      <c r="BN23" s="159">
        <f t="shared" si="20"/>
        <v>405.6764705882353</v>
      </c>
      <c r="BO23" s="159">
        <f t="shared" si="20"/>
        <v>405.82352941176475</v>
      </c>
      <c r="BP23" s="159">
        <f t="shared" si="20"/>
        <v>405.97058823529414</v>
      </c>
      <c r="BQ23" s="159">
        <f t="shared" si="20"/>
        <v>406.11764705882354</v>
      </c>
      <c r="BR23" s="159">
        <f t="shared" si="20"/>
        <v>406.26470588235298</v>
      </c>
      <c r="BS23" s="174">
        <f>SUM(BG23:BR23)</f>
        <v>5836.0868249764717</v>
      </c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</row>
    <row r="24" spans="1:83" s="69" customFormat="1" x14ac:dyDescent="0.2">
      <c r="A24" s="1"/>
      <c r="B24" s="1"/>
      <c r="C24" s="1"/>
      <c r="D24" s="1"/>
      <c r="E24" s="161" t="str">
        <f>+E17</f>
        <v>Forecast</v>
      </c>
      <c r="F24" s="172">
        <f>IF(F23="",IFERROR(SUM(E17:$F17)/SUM(E10:$F10),""),F17/F10)</f>
        <v>1.1325263414621212</v>
      </c>
      <c r="G24" s="175">
        <f>IF(G23="",IFERROR(SUM(F17:$F17)/SUM(F10:$F10),""),G17/G10)</f>
        <v>1.1349086901910115</v>
      </c>
      <c r="H24" s="175">
        <f>IF(H23="",IFERROR(SUM($F17:G17)/SUM($F10:G10),""),H17/H10)</f>
        <v>0.87544819760869563</v>
      </c>
      <c r="I24" s="175">
        <f>IF(I23="",IFERROR(SUM($F17:H17)/SUM($F10:H10),""),I17/I10)</f>
        <v>0.94988592062576693</v>
      </c>
      <c r="J24" s="175">
        <f>IF(J23="",IFERROR(SUM($F17:I17)/SUM($F10:I10),""),J17/J10)</f>
        <v>1.2630062795655737</v>
      </c>
      <c r="K24" s="175">
        <f>IF(K23="",IFERROR(SUM($F17:J17)/SUM($F10:J10),""),K17/K10)</f>
        <v>1.0970919255678733</v>
      </c>
      <c r="L24" s="175">
        <f>IF(L23="",IFERROR(SUM($F17:K17)/SUM($F10:K10),""),L17/L10)</f>
        <v>0.81278270393939378</v>
      </c>
      <c r="M24" s="175">
        <f>IF(M23="",IFERROR(SUM($F17:L17)/SUM($F10:L10),""),M17/M10)</f>
        <v>1.036217792671736</v>
      </c>
      <c r="N24" s="175">
        <f>IF(N23="",IFERROR(SUM($F17:M17)/SUM($F10:M10),""),N17/N10)</f>
        <v>1.036217792671736</v>
      </c>
      <c r="O24" s="175">
        <f>IF(O23="",IFERROR(SUM($F17:N17)/SUM($F10:N10),""),O17/O10)</f>
        <v>1.0362177926717362</v>
      </c>
      <c r="P24" s="175">
        <f>IF(P23="",IFERROR(SUM($F17:O17)/SUM($F10:O10),""),P17/P10)</f>
        <v>1.036217792671736</v>
      </c>
      <c r="Q24" s="175">
        <f>IF(Q23="",IFERROR(SUM($F17:P17)/SUM($F10:P10),""),Q17/Q10)</f>
        <v>1.036217792671736</v>
      </c>
      <c r="R24" s="173">
        <f>IFERROR(R17/R10,"")</f>
        <v>1.036217792671736</v>
      </c>
      <c r="T24" s="122" t="s">
        <v>97</v>
      </c>
      <c r="U24" s="151" t="str">
        <f>AA24</f>
        <v>Q1</v>
      </c>
      <c r="V24" s="151" t="str">
        <f t="shared" ref="V24:X24" si="21">AB24</f>
        <v>Q2</v>
      </c>
      <c r="W24" s="151" t="str">
        <f t="shared" si="21"/>
        <v>Q3</v>
      </c>
      <c r="X24" s="151" t="str">
        <f t="shared" si="21"/>
        <v>Q4</v>
      </c>
      <c r="Y24" s="127"/>
      <c r="Z24" s="122" t="s">
        <v>97</v>
      </c>
      <c r="AA24" s="151" t="s">
        <v>21</v>
      </c>
      <c r="AB24" s="151" t="s">
        <v>22</v>
      </c>
      <c r="AC24" s="151" t="s">
        <v>23</v>
      </c>
      <c r="AD24" s="123" t="s">
        <v>24</v>
      </c>
      <c r="AE24" s="137"/>
      <c r="AF24" s="137"/>
      <c r="AG24" s="6" t="s">
        <v>89</v>
      </c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</row>
    <row r="25" spans="1:83" s="69" customFormat="1" x14ac:dyDescent="0.2">
      <c r="A25" s="1"/>
      <c r="B25" s="1"/>
      <c r="C25" s="1"/>
      <c r="D25" s="1"/>
      <c r="T25" s="101" t="str">
        <f>"vs "&amp;$A$6</f>
        <v>vs 2018</v>
      </c>
      <c r="U25" s="176">
        <f t="shared" ref="U25:X26" si="22">IFERROR(U$21/U18-1,"")</f>
        <v>0.57567567567567557</v>
      </c>
      <c r="V25" s="176">
        <f t="shared" si="22"/>
        <v>0.3125</v>
      </c>
      <c r="W25" s="176">
        <f t="shared" si="22"/>
        <v>-0.54482758620689653</v>
      </c>
      <c r="X25" s="136">
        <f t="shared" si="22"/>
        <v>-1</v>
      </c>
      <c r="Y25" s="137"/>
      <c r="Z25" s="101" t="str">
        <f>"vs "&amp;$A$6</f>
        <v>vs 2018</v>
      </c>
      <c r="AA25" s="176">
        <f t="shared" ref="AA25:AD26" si="23">IFERROR(AA$21/AA18-1,"")</f>
        <v>0.13715329426906031</v>
      </c>
      <c r="AB25" s="176">
        <f t="shared" si="23"/>
        <v>6.3134653224108161E-2</v>
      </c>
      <c r="AC25" s="176">
        <f t="shared" si="23"/>
        <v>-0.73569041253985712</v>
      </c>
      <c r="AD25" s="136">
        <f t="shared" si="23"/>
        <v>-1</v>
      </c>
      <c r="AE25" s="137"/>
      <c r="AF25" s="137"/>
      <c r="AH25" s="118" t="str">
        <f>AH16</f>
        <v>Actual</v>
      </c>
      <c r="AU25" s="150">
        <f t="shared" ref="AU25:BR25" si="24">IF(AU16="",NA(),AU16)</f>
        <v>376</v>
      </c>
      <c r="AV25" s="150">
        <f t="shared" si="24"/>
        <v>324</v>
      </c>
      <c r="AW25" s="150">
        <f t="shared" si="24"/>
        <v>312</v>
      </c>
      <c r="AX25" s="150">
        <f t="shared" si="24"/>
        <v>406</v>
      </c>
      <c r="AY25" s="150">
        <f t="shared" si="24"/>
        <v>358</v>
      </c>
      <c r="AZ25" s="150">
        <f t="shared" si="24"/>
        <v>456</v>
      </c>
      <c r="BA25" s="150">
        <f t="shared" si="24"/>
        <v>392</v>
      </c>
      <c r="BB25" s="150">
        <f t="shared" si="24"/>
        <v>412</v>
      </c>
      <c r="BC25" s="150">
        <f t="shared" si="24"/>
        <v>412</v>
      </c>
      <c r="BD25" s="150">
        <f t="shared" si="24"/>
        <v>516</v>
      </c>
      <c r="BE25" s="150">
        <f t="shared" si="24"/>
        <v>548</v>
      </c>
      <c r="BF25" s="150">
        <f t="shared" si="24"/>
        <v>366</v>
      </c>
      <c r="BG25" s="150">
        <f t="shared" si="24"/>
        <v>396</v>
      </c>
      <c r="BH25" s="150">
        <f t="shared" si="24"/>
        <v>356</v>
      </c>
      <c r="BI25" s="150">
        <f t="shared" si="24"/>
        <v>414</v>
      </c>
      <c r="BJ25" s="150">
        <f t="shared" si="24"/>
        <v>326</v>
      </c>
      <c r="BK25" s="150">
        <f t="shared" si="24"/>
        <v>366</v>
      </c>
      <c r="BL25" s="150">
        <f t="shared" si="24"/>
        <v>442</v>
      </c>
      <c r="BM25" s="150">
        <f t="shared" si="24"/>
        <v>396</v>
      </c>
      <c r="BN25" s="150" t="e">
        <f t="shared" si="24"/>
        <v>#N/A</v>
      </c>
      <c r="BO25" s="150" t="e">
        <f t="shared" si="24"/>
        <v>#N/A</v>
      </c>
      <c r="BP25" s="150" t="e">
        <f t="shared" si="24"/>
        <v>#N/A</v>
      </c>
      <c r="BQ25" s="150" t="e">
        <f t="shared" si="24"/>
        <v>#N/A</v>
      </c>
      <c r="BR25" s="150" t="e">
        <f t="shared" si="24"/>
        <v>#N/A</v>
      </c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</row>
    <row r="26" spans="1:83" s="69" customForma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T26" s="101" t="str">
        <f>"vs "&amp;$A$7</f>
        <v>vs 2019</v>
      </c>
      <c r="U26" s="176">
        <f t="shared" si="22"/>
        <v>0.15217391304347827</v>
      </c>
      <c r="V26" s="176">
        <f t="shared" si="22"/>
        <v>-7.0491803278688536E-2</v>
      </c>
      <c r="W26" s="176">
        <f t="shared" si="22"/>
        <v>-0.67434210526315796</v>
      </c>
      <c r="X26" s="136">
        <f t="shared" si="22"/>
        <v>-1</v>
      </c>
      <c r="Y26" s="137"/>
      <c r="Z26" s="101" t="str">
        <f>"vs "&amp;$A$7</f>
        <v>vs 2019</v>
      </c>
      <c r="AA26" s="176">
        <f t="shared" si="23"/>
        <v>-1.3664400257562437E-2</v>
      </c>
      <c r="AB26" s="176">
        <f t="shared" si="23"/>
        <v>-0.22155982597255985</v>
      </c>
      <c r="AC26" s="176">
        <f t="shared" si="23"/>
        <v>-0.76652026688368136</v>
      </c>
      <c r="AD26" s="136">
        <f t="shared" si="23"/>
        <v>-1</v>
      </c>
      <c r="AE26" s="137"/>
      <c r="AF26" s="137"/>
      <c r="AH26" s="118" t="str">
        <f>AH20</f>
        <v>Budget</v>
      </c>
      <c r="AU26" s="150" t="e">
        <f t="shared" ref="AU26:BR26" si="25">IF(AU17="",NA(),AU17)</f>
        <v>#N/A</v>
      </c>
      <c r="AV26" s="150" t="e">
        <f t="shared" si="25"/>
        <v>#N/A</v>
      </c>
      <c r="AW26" s="150" t="e">
        <f t="shared" si="25"/>
        <v>#N/A</v>
      </c>
      <c r="AX26" s="150" t="e">
        <f t="shared" si="25"/>
        <v>#N/A</v>
      </c>
      <c r="AY26" s="150" t="e">
        <f t="shared" si="25"/>
        <v>#N/A</v>
      </c>
      <c r="AZ26" s="150" t="e">
        <f t="shared" si="25"/>
        <v>#N/A</v>
      </c>
      <c r="BA26" s="150" t="e">
        <f t="shared" si="25"/>
        <v>#N/A</v>
      </c>
      <c r="BB26" s="150" t="e">
        <f t="shared" si="25"/>
        <v>#N/A</v>
      </c>
      <c r="BC26" s="150" t="e">
        <f t="shared" si="25"/>
        <v>#N/A</v>
      </c>
      <c r="BD26" s="150" t="e">
        <f t="shared" si="25"/>
        <v>#N/A</v>
      </c>
      <c r="BE26" s="150" t="e">
        <f t="shared" si="25"/>
        <v>#N/A</v>
      </c>
      <c r="BF26" s="150" t="e">
        <f t="shared" si="25"/>
        <v>#N/A</v>
      </c>
      <c r="BG26" s="150" t="e">
        <f t="shared" si="25"/>
        <v>#N/A</v>
      </c>
      <c r="BH26" s="150" t="e">
        <f t="shared" si="25"/>
        <v>#N/A</v>
      </c>
      <c r="BI26" s="150" t="e">
        <f t="shared" si="25"/>
        <v>#N/A</v>
      </c>
      <c r="BJ26" s="150" t="e">
        <f t="shared" si="25"/>
        <v>#N/A</v>
      </c>
      <c r="BK26" s="150" t="e">
        <f t="shared" si="25"/>
        <v>#N/A</v>
      </c>
      <c r="BL26" s="150" t="e">
        <f t="shared" si="25"/>
        <v>#N/A</v>
      </c>
      <c r="BM26" s="150">
        <f t="shared" si="25"/>
        <v>586.56549480000001</v>
      </c>
      <c r="BN26" s="150">
        <f t="shared" si="25"/>
        <v>610.84170900000004</v>
      </c>
      <c r="BO26" s="150">
        <f t="shared" si="25"/>
        <v>549.23390259999996</v>
      </c>
      <c r="BP26" s="150">
        <f t="shared" si="25"/>
        <v>592.85767999999996</v>
      </c>
      <c r="BQ26" s="150">
        <f t="shared" si="25"/>
        <v>632.45291420000001</v>
      </c>
      <c r="BR26" s="150">
        <f t="shared" si="25"/>
        <v>575.03393899999992</v>
      </c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</row>
    <row r="27" spans="1:83" s="69" customForma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T27" s="138" t="str">
        <f>"Forecast "&amp;"vs. "&amp;$A$7</f>
        <v>Forecast vs. 2019</v>
      </c>
      <c r="U27" s="177">
        <f>IFERROR(U22/U19-1,"")</f>
        <v>0.15217391304347827</v>
      </c>
      <c r="V27" s="177">
        <f>IFERROR(V22/V19-1,"")</f>
        <v>-7.0491803278688536E-2</v>
      </c>
      <c r="W27" s="177">
        <f>IFERROR(W22/W19-1,"")</f>
        <v>7.8161854082976268E-2</v>
      </c>
      <c r="X27" s="178">
        <f>IFERROR(X22/X19-1,"")</f>
        <v>-5.1376704230147174E-3</v>
      </c>
      <c r="Y27" s="29"/>
      <c r="Z27" s="138" t="str">
        <f>"Forecast "&amp;"vs. "&amp;$A$7</f>
        <v>Forecast vs. 2019</v>
      </c>
      <c r="AA27" s="177">
        <f>IFERROR(AA22/AA19-1,"")</f>
        <v>-1.3664400257562437E-2</v>
      </c>
      <c r="AB27" s="177">
        <f>IFERROR(AB22/AB19-1,"")</f>
        <v>-0.22155982597255985</v>
      </c>
      <c r="AC27" s="177">
        <f>IFERROR(AC22/AC19-1,"")</f>
        <v>-7.8703183045203517E-2</v>
      </c>
      <c r="AD27" s="178">
        <f>IFERROR(AD22/AD19-1,"")</f>
        <v>-0.14111177288791621</v>
      </c>
      <c r="AE27" s="137"/>
      <c r="AF27" s="137"/>
      <c r="AH27" s="118" t="str">
        <f>AH18</f>
        <v>Trend 6m</v>
      </c>
      <c r="AU27" s="150" t="e">
        <f t="shared" ref="AU27:BR27" si="26">IF(AU18="",NA(),AU18)</f>
        <v>#N/A</v>
      </c>
      <c r="AV27" s="150" t="e">
        <f t="shared" si="26"/>
        <v>#N/A</v>
      </c>
      <c r="AW27" s="150" t="e">
        <f t="shared" si="26"/>
        <v>#N/A</v>
      </c>
      <c r="AX27" s="150" t="e">
        <f t="shared" si="26"/>
        <v>#N/A</v>
      </c>
      <c r="AY27" s="150" t="e">
        <f t="shared" si="26"/>
        <v>#N/A</v>
      </c>
      <c r="AZ27" s="150" t="e">
        <f t="shared" si="26"/>
        <v>#N/A</v>
      </c>
      <c r="BA27" s="150" t="e">
        <f t="shared" si="26"/>
        <v>#N/A</v>
      </c>
      <c r="BB27" s="150" t="e">
        <f t="shared" si="26"/>
        <v>#N/A</v>
      </c>
      <c r="BC27" s="150" t="e">
        <f t="shared" si="26"/>
        <v>#N/A</v>
      </c>
      <c r="BD27" s="150" t="e">
        <f t="shared" si="26"/>
        <v>#N/A</v>
      </c>
      <c r="BE27" s="150" t="e">
        <f t="shared" si="26"/>
        <v>#N/A</v>
      </c>
      <c r="BF27" s="150" t="e">
        <f t="shared" si="26"/>
        <v>#N/A</v>
      </c>
      <c r="BG27" s="150" t="e">
        <f t="shared" si="26"/>
        <v>#N/A</v>
      </c>
      <c r="BH27" s="150" t="e">
        <f t="shared" si="26"/>
        <v>#N/A</v>
      </c>
      <c r="BI27" s="150" t="e">
        <f t="shared" si="26"/>
        <v>#N/A</v>
      </c>
      <c r="BJ27" s="150" t="e">
        <f t="shared" si="26"/>
        <v>#N/A</v>
      </c>
      <c r="BK27" s="150" t="e">
        <f t="shared" si="26"/>
        <v>#N/A</v>
      </c>
      <c r="BL27" s="150" t="e">
        <f t="shared" si="26"/>
        <v>#N/A</v>
      </c>
      <c r="BM27" s="150" t="e">
        <f t="shared" si="26"/>
        <v>#N/A</v>
      </c>
      <c r="BN27" s="150">
        <f t="shared" si="26"/>
        <v>358.87272727272733</v>
      </c>
      <c r="BO27" s="150">
        <f t="shared" si="26"/>
        <v>349.92727272727279</v>
      </c>
      <c r="BP27" s="150">
        <f t="shared" si="26"/>
        <v>340.98181818181826</v>
      </c>
      <c r="BQ27" s="150">
        <f t="shared" si="26"/>
        <v>332.03636363636372</v>
      </c>
      <c r="BR27" s="150">
        <f t="shared" si="26"/>
        <v>323.09090909090912</v>
      </c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</row>
    <row r="28" spans="1:83" s="69" customForma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AE28" s="137"/>
      <c r="AF28" s="137"/>
      <c r="AG28" s="1"/>
      <c r="AH28" s="118" t="str">
        <f>AH19</f>
        <v>Trend 12m</v>
      </c>
      <c r="AI28" s="1"/>
      <c r="AJ28" s="1"/>
      <c r="AK28" s="1"/>
      <c r="AL28" s="1"/>
      <c r="AU28" s="150" t="e">
        <f t="shared" ref="AU28:BR28" si="27">IF(AU19="",NA(),AU19)</f>
        <v>#N/A</v>
      </c>
      <c r="AV28" s="150" t="e">
        <f t="shared" si="27"/>
        <v>#N/A</v>
      </c>
      <c r="AW28" s="150" t="e">
        <f t="shared" si="27"/>
        <v>#N/A</v>
      </c>
      <c r="AX28" s="150" t="e">
        <f t="shared" si="27"/>
        <v>#N/A</v>
      </c>
      <c r="AY28" s="150" t="e">
        <f t="shared" si="27"/>
        <v>#N/A</v>
      </c>
      <c r="AZ28" s="150" t="e">
        <f t="shared" si="27"/>
        <v>#N/A</v>
      </c>
      <c r="BA28" s="150" t="e">
        <f t="shared" si="27"/>
        <v>#N/A</v>
      </c>
      <c r="BB28" s="150" t="e">
        <f t="shared" si="27"/>
        <v>#N/A</v>
      </c>
      <c r="BC28" s="150" t="e">
        <f t="shared" si="27"/>
        <v>#N/A</v>
      </c>
      <c r="BD28" s="150" t="e">
        <f t="shared" si="27"/>
        <v>#N/A</v>
      </c>
      <c r="BE28" s="150" t="e">
        <f t="shared" si="27"/>
        <v>#N/A</v>
      </c>
      <c r="BF28" s="150" t="e">
        <f t="shared" si="27"/>
        <v>#N/A</v>
      </c>
      <c r="BG28" s="150" t="e">
        <f t="shared" si="27"/>
        <v>#N/A</v>
      </c>
      <c r="BH28" s="150" t="e">
        <f t="shared" si="27"/>
        <v>#N/A</v>
      </c>
      <c r="BI28" s="150" t="e">
        <f t="shared" si="27"/>
        <v>#N/A</v>
      </c>
      <c r="BJ28" s="150" t="e">
        <f t="shared" si="27"/>
        <v>#N/A</v>
      </c>
      <c r="BK28" s="150" t="e">
        <f t="shared" si="27"/>
        <v>#N/A</v>
      </c>
      <c r="BL28" s="150" t="e">
        <f t="shared" si="27"/>
        <v>#N/A</v>
      </c>
      <c r="BM28" s="150" t="e">
        <f t="shared" si="27"/>
        <v>#N/A</v>
      </c>
      <c r="BN28" s="150">
        <f t="shared" si="27"/>
        <v>405.6764705882353</v>
      </c>
      <c r="BO28" s="150">
        <f t="shared" si="27"/>
        <v>405.82352941176475</v>
      </c>
      <c r="BP28" s="150">
        <f t="shared" si="27"/>
        <v>405.97058823529414</v>
      </c>
      <c r="BQ28" s="150">
        <f t="shared" si="27"/>
        <v>406.11764705882354</v>
      </c>
      <c r="BR28" s="150">
        <f t="shared" si="27"/>
        <v>406.26470588235298</v>
      </c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</row>
    <row r="29" spans="1:83" s="69" customForma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22" t="s">
        <v>97</v>
      </c>
      <c r="U29" s="151" t="str">
        <f>AA29</f>
        <v>Q1</v>
      </c>
      <c r="V29" s="151" t="str">
        <f t="shared" ref="V29:X29" si="28">AB29</f>
        <v>Q2</v>
      </c>
      <c r="W29" s="151" t="str">
        <f t="shared" si="28"/>
        <v>Q3</v>
      </c>
      <c r="X29" s="123" t="str">
        <f t="shared" si="28"/>
        <v>Q4</v>
      </c>
      <c r="Y29" s="29"/>
      <c r="Z29" s="122" t="s">
        <v>97</v>
      </c>
      <c r="AA29" s="151" t="s">
        <v>21</v>
      </c>
      <c r="AB29" s="151" t="s">
        <v>22</v>
      </c>
      <c r="AC29" s="151" t="s">
        <v>23</v>
      </c>
      <c r="AD29" s="123" t="s">
        <v>24</v>
      </c>
      <c r="AE29" s="9"/>
      <c r="AF29" s="9"/>
      <c r="AH29" s="118" t="s">
        <v>34</v>
      </c>
      <c r="AU29" s="150" t="e">
        <f t="shared" ref="AU29:BR29" si="29">IF(AU21="",NA(),AU21)</f>
        <v>#N/A</v>
      </c>
      <c r="AV29" s="150" t="e">
        <f t="shared" si="29"/>
        <v>#N/A</v>
      </c>
      <c r="AW29" s="150" t="e">
        <f t="shared" si="29"/>
        <v>#N/A</v>
      </c>
      <c r="AX29" s="150" t="e">
        <f t="shared" si="29"/>
        <v>#N/A</v>
      </c>
      <c r="AY29" s="150" t="e">
        <f t="shared" si="29"/>
        <v>#N/A</v>
      </c>
      <c r="AZ29" s="150" t="e">
        <f t="shared" si="29"/>
        <v>#N/A</v>
      </c>
      <c r="BA29" s="150" t="e">
        <f t="shared" si="29"/>
        <v>#N/A</v>
      </c>
      <c r="BB29" s="150" t="e">
        <f t="shared" si="29"/>
        <v>#N/A</v>
      </c>
      <c r="BC29" s="150" t="e">
        <f t="shared" si="29"/>
        <v>#N/A</v>
      </c>
      <c r="BD29" s="150" t="e">
        <f t="shared" si="29"/>
        <v>#N/A</v>
      </c>
      <c r="BE29" s="150" t="e">
        <f t="shared" si="29"/>
        <v>#N/A</v>
      </c>
      <c r="BF29" s="150" t="e">
        <f t="shared" si="29"/>
        <v>#N/A</v>
      </c>
      <c r="BG29" s="150" t="e">
        <f t="shared" si="29"/>
        <v>#N/A</v>
      </c>
      <c r="BH29" s="150" t="e">
        <f t="shared" si="29"/>
        <v>#N/A</v>
      </c>
      <c r="BI29" s="150" t="e">
        <f t="shared" si="29"/>
        <v>#N/A</v>
      </c>
      <c r="BJ29" s="150" t="e">
        <f t="shared" si="29"/>
        <v>#N/A</v>
      </c>
      <c r="BK29" s="150" t="e">
        <f t="shared" si="29"/>
        <v>#N/A</v>
      </c>
      <c r="BL29" s="150" t="e">
        <f t="shared" si="29"/>
        <v>#N/A</v>
      </c>
      <c r="BM29" s="150">
        <f t="shared" si="29"/>
        <v>396</v>
      </c>
      <c r="BN29" s="150">
        <f t="shared" si="29"/>
        <v>474.78993781315012</v>
      </c>
      <c r="BO29" s="150">
        <f t="shared" si="29"/>
        <v>440.2548767517489</v>
      </c>
      <c r="BP29" s="150">
        <f t="shared" si="29"/>
        <v>483.35155950942055</v>
      </c>
      <c r="BQ29" s="150">
        <f t="shared" si="29"/>
        <v>498.20863972765102</v>
      </c>
      <c r="BR29" s="150">
        <f t="shared" si="29"/>
        <v>441.09293205801731</v>
      </c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</row>
    <row r="30" spans="1:83" s="69" customForma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T30" s="179" t="str">
        <f>T25</f>
        <v>vs 2018</v>
      </c>
      <c r="U30" s="180">
        <f t="shared" ref="U30:X31" si="30">U$21-U18</f>
        <v>426</v>
      </c>
      <c r="V30" s="180">
        <f t="shared" si="30"/>
        <v>270</v>
      </c>
      <c r="W30" s="180">
        <f t="shared" si="30"/>
        <v>-474</v>
      </c>
      <c r="X30" s="99">
        <f t="shared" si="30"/>
        <v>-1146</v>
      </c>
      <c r="Z30" s="179" t="str">
        <f>Z25</f>
        <v>vs 2018</v>
      </c>
      <c r="AA30" s="180">
        <f t="shared" ref="AA30:AD31" si="31">AA$21-AA18</f>
        <v>146.53565293200018</v>
      </c>
      <c r="AB30" s="180">
        <f t="shared" si="31"/>
        <v>74.637784220999947</v>
      </c>
      <c r="AC30" s="180">
        <f t="shared" si="31"/>
        <v>-895.88407901100027</v>
      </c>
      <c r="AD30" s="99">
        <f t="shared" si="31"/>
        <v>-1277.052499854</v>
      </c>
      <c r="AE30" s="160"/>
      <c r="AF30" s="160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</row>
    <row r="31" spans="1:83" s="69" customForma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T31" s="179" t="str">
        <f>T26</f>
        <v>vs 2019</v>
      </c>
      <c r="U31" s="180">
        <f t="shared" si="30"/>
        <v>154</v>
      </c>
      <c r="V31" s="180">
        <f t="shared" si="30"/>
        <v>-86</v>
      </c>
      <c r="W31" s="180">
        <f t="shared" si="30"/>
        <v>-820</v>
      </c>
      <c r="X31" s="99">
        <f t="shared" si="30"/>
        <v>-1430</v>
      </c>
      <c r="Z31" s="179" t="str">
        <f>Z26</f>
        <v>vs 2019</v>
      </c>
      <c r="AA31" s="180">
        <f t="shared" si="31"/>
        <v>-16.831465870351622</v>
      </c>
      <c r="AB31" s="180">
        <f t="shared" si="31"/>
        <v>-357.72145392863717</v>
      </c>
      <c r="AC31" s="180">
        <f t="shared" si="31"/>
        <v>-1056.6814733908648</v>
      </c>
      <c r="AD31" s="99">
        <f t="shared" si="31"/>
        <v>-1716.3798977719043</v>
      </c>
      <c r="AE31" s="164"/>
      <c r="AF31" s="164"/>
      <c r="AH31" s="1"/>
      <c r="AI31" s="1"/>
      <c r="AJ31" s="1"/>
      <c r="AK31" s="1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</row>
    <row r="32" spans="1:83" s="69" customFormat="1" ht="16.149999999999999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18"/>
      <c r="T32" s="138" t="str">
        <f>"Forecast "&amp;"vs. "&amp;$A$7</f>
        <v>Forecast vs. 2019</v>
      </c>
      <c r="U32" s="181">
        <f>U22-U19</f>
        <v>154</v>
      </c>
      <c r="V32" s="181">
        <f t="shared" ref="V32:X32" si="32">V22-V19</f>
        <v>-86</v>
      </c>
      <c r="W32" s="181">
        <f t="shared" si="32"/>
        <v>95.04481456489907</v>
      </c>
      <c r="X32" s="114">
        <f t="shared" si="32"/>
        <v>-7.3468687049110031</v>
      </c>
      <c r="Y32" s="160"/>
      <c r="Z32" s="138" t="str">
        <f>"Forecast "&amp;"vs. "&amp;$A$7</f>
        <v>Forecast vs. 2019</v>
      </c>
      <c r="AA32" s="181">
        <f>AA22-AA19</f>
        <v>-16.831465870351622</v>
      </c>
      <c r="AB32" s="181">
        <f t="shared" ref="AB32:AD32" si="33">AB22-AB19</f>
        <v>-357.72145392863717</v>
      </c>
      <c r="AC32" s="181">
        <f t="shared" si="33"/>
        <v>-108.49575544670711</v>
      </c>
      <c r="AD32" s="114">
        <f t="shared" si="33"/>
        <v>-242.20141032377387</v>
      </c>
      <c r="AE32" s="118"/>
      <c r="AF32" s="118"/>
      <c r="AG32" s="1"/>
      <c r="BM32" s="182"/>
      <c r="BN32" s="182"/>
      <c r="BO32" s="182"/>
      <c r="BP32" s="182"/>
      <c r="BQ32" s="182"/>
      <c r="BR32" s="182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</row>
    <row r="33" spans="1:83" s="69" customFormat="1" ht="15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AE33" s="118"/>
      <c r="AF33" s="118"/>
      <c r="AG33" s="145" t="s">
        <v>82</v>
      </c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</row>
    <row r="34" spans="1:83" s="69" customForma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T34" s="122" t="s">
        <v>88</v>
      </c>
      <c r="U34" s="151" t="str">
        <f>AA34</f>
        <v>Q1</v>
      </c>
      <c r="V34" s="151" t="str">
        <f t="shared" ref="V34:X34" si="34">AB34</f>
        <v>Q2</v>
      </c>
      <c r="W34" s="151" t="str">
        <f t="shared" si="34"/>
        <v>Q3</v>
      </c>
      <c r="X34" s="151" t="str">
        <f t="shared" si="34"/>
        <v>Q4</v>
      </c>
      <c r="Y34" s="118"/>
      <c r="Z34" s="122" t="s">
        <v>88</v>
      </c>
      <c r="AA34" s="151" t="s">
        <v>21</v>
      </c>
      <c r="AB34" s="151" t="s">
        <v>22</v>
      </c>
      <c r="AC34" s="151" t="s">
        <v>23</v>
      </c>
      <c r="AD34" s="123" t="s">
        <v>24</v>
      </c>
      <c r="AE34" s="9"/>
      <c r="AF34" s="9"/>
      <c r="AG34" s="147" t="s">
        <v>29</v>
      </c>
      <c r="AH34" s="149" t="s">
        <v>0</v>
      </c>
      <c r="AI34" s="150">
        <f>SUMIFS('Sales Data'!$E:$E,'Sales Data'!$A:$A,$E$2,'Sales Data'!$B:$B,AI$15,'Sales Data'!$C:$C,"Periodic")/1000</f>
        <v>278.68442176500002</v>
      </c>
      <c r="AJ34" s="150">
        <f>SUMIFS('Sales Data'!$E:$E,'Sales Data'!$A:$A,$E$2,'Sales Data'!$B:$B,AJ$15,'Sales Data'!$C:$C,"Periodic")/1000</f>
        <v>312.65155760399995</v>
      </c>
      <c r="AK34" s="150">
        <f>SUMIFS('Sales Data'!$E:$E,'Sales Data'!$A:$A,$E$2,'Sales Data'!$B:$B,AK$15,'Sales Data'!$C:$C,"Periodic")/1000</f>
        <v>477.07184643600004</v>
      </c>
      <c r="AL34" s="150">
        <f>SUMIFS('Sales Data'!$E:$E,'Sales Data'!$A:$A,$E$2,'Sales Data'!$B:$B,AL$15,'Sales Data'!$C:$C,"Periodic")/1000</f>
        <v>334.04348919</v>
      </c>
      <c r="AM34" s="150">
        <f>SUMIFS('Sales Data'!$E:$E,'Sales Data'!$A:$A,$E$2,'Sales Data'!$B:$B,AM$15,'Sales Data'!$C:$C,"Periodic")/1000</f>
        <v>496.15917594900003</v>
      </c>
      <c r="AN34" s="150">
        <f>SUMIFS('Sales Data'!$E:$E,'Sales Data'!$A:$A,$E$2,'Sales Data'!$B:$B,AN$15,'Sales Data'!$C:$C,"Periodic")/1000</f>
        <v>351.99729018600004</v>
      </c>
      <c r="AO34" s="150">
        <f>SUMIFS('Sales Data'!$E:$E,'Sales Data'!$A:$A,$E$2,'Sales Data'!$B:$B,AO$15,'Sales Data'!$C:$C,"Periodic")/1000</f>
        <v>329.62864345500003</v>
      </c>
      <c r="AP34" s="150">
        <f>SUMIFS('Sales Data'!$E:$E,'Sales Data'!$A:$A,$E$2,'Sales Data'!$B:$B,AP$15,'Sales Data'!$C:$C,"Periodic")/1000</f>
        <v>346.77263069399999</v>
      </c>
      <c r="AQ34" s="150">
        <f>SUMIFS('Sales Data'!$E:$E,'Sales Data'!$A:$A,$E$2,'Sales Data'!$B:$B,AQ$15,'Sales Data'!$C:$C,"Periodic")/1000</f>
        <v>541.34475562200009</v>
      </c>
      <c r="AR34" s="150">
        <f>SUMIFS('Sales Data'!$E:$E,'Sales Data'!$A:$A,$E$2,'Sales Data'!$B:$B,AR$15,'Sales Data'!$C:$C,"Periodic")/1000</f>
        <v>383.15245202400001</v>
      </c>
      <c r="AS34" s="150">
        <f>SUMIFS('Sales Data'!$E:$E,'Sales Data'!$A:$A,$E$2,'Sales Data'!$B:$B,AS$15,'Sales Data'!$C:$C,"Periodic")/1000</f>
        <v>535.60089151199998</v>
      </c>
      <c r="AT34" s="150">
        <f>SUMIFS('Sales Data'!$E:$E,'Sales Data'!$A:$A,$E$2,'Sales Data'!$B:$B,AT$15,'Sales Data'!$C:$C,"Periodic")/1000</f>
        <v>358.29915631799997</v>
      </c>
      <c r="AU34" s="150">
        <f>SUMIFS('Sales Data'!$E:$E,'Sales Data'!$A:$A,$E$2,'Sales Data'!$B:$B,AU$15,'Sales Data'!$C:$C,"Periodic")/1000</f>
        <v>450.49034758227958</v>
      </c>
      <c r="AV34" s="150">
        <f>SUMIFS('Sales Data'!$E:$E,'Sales Data'!$A:$A,$E$2,'Sales Data'!$B:$B,AV$15,'Sales Data'!$C:$C,"Periodic")/1000</f>
        <v>418.08676739741873</v>
      </c>
      <c r="AW34" s="150">
        <f>SUMIFS('Sales Data'!$E:$E,'Sales Data'!$A:$A,$E$2,'Sales Data'!$B:$B,AW$15,'Sales Data'!$C:$C,"Periodic")/1000</f>
        <v>363.19782962765345</v>
      </c>
      <c r="AX34" s="150">
        <f>SUMIFS('Sales Data'!$E:$E,'Sales Data'!$A:$A,$E$2,'Sales Data'!$B:$B,AX$15,'Sales Data'!$C:$C,"Periodic")/1000</f>
        <v>589.79345417409127</v>
      </c>
      <c r="AY34" s="150">
        <f>SUMIFS('Sales Data'!$E:$E,'Sales Data'!$A:$A,$E$2,'Sales Data'!$B:$B,AY$15,'Sales Data'!$C:$C,"Periodic")/1000</f>
        <v>473.90503862800011</v>
      </c>
      <c r="AZ34" s="150">
        <f>SUMIFS('Sales Data'!$E:$E,'Sales Data'!$A:$A,$E$2,'Sales Data'!$B:$B,AZ$15,'Sales Data'!$C:$C,"Periodic")/1000</f>
        <v>550.86070067254582</v>
      </c>
      <c r="BA34" s="150">
        <f>SUMIFS('Sales Data'!$E:$E,'Sales Data'!$A:$A,$E$2,'Sales Data'!$B:$B,BA$15,'Sales Data'!$C:$C,"Periodic")/1000</f>
        <v>445.98745644892921</v>
      </c>
      <c r="BB34" s="150">
        <f>SUMIFS('Sales Data'!$E:$E,'Sales Data'!$A:$A,$E$2,'Sales Data'!$B:$B,BB$15,'Sales Data'!$C:$C,"Periodic")/1000</f>
        <v>508.46155316924569</v>
      </c>
      <c r="BC34" s="150">
        <f>SUMIFS('Sales Data'!$E:$E,'Sales Data'!$A:$A,$E$2,'Sales Data'!$B:$B,BC$15,'Sales Data'!$C:$C,"Periodic")/1000</f>
        <v>424.09441453268971</v>
      </c>
      <c r="BD34" s="150">
        <f>SUMIFS('Sales Data'!$E:$E,'Sales Data'!$A:$A,$E$2,'Sales Data'!$B:$B,BD$15,'Sales Data'!$C:$C,"Periodic")/1000</f>
        <v>633.17249457973378</v>
      </c>
      <c r="BE34" s="150">
        <f>SUMIFS('Sales Data'!$E:$E,'Sales Data'!$A:$A,$E$2,'Sales Data'!$B:$B,BE$15,'Sales Data'!$C:$C,"Periodic")/1000</f>
        <v>700.03736602136826</v>
      </c>
      <c r="BF34" s="150">
        <f>SUMIFS('Sales Data'!$E:$E,'Sales Data'!$A:$A,$E$2,'Sales Data'!$B:$B,BF$15,'Sales Data'!$C:$C,"Periodic")/1000</f>
        <v>383.17003717080217</v>
      </c>
      <c r="BG34" s="150">
        <f>IF(OR(BG$8=1,BG$9=0),SUMIFS('Sales Data'!$E:$E,'Sales Data'!$A:$A,$E$2,'Sales Data'!$B:$B,BG$15,'Sales Data'!$C:$C,"Periodic")/1000,"")</f>
        <v>448.48043121900002</v>
      </c>
      <c r="BH34" s="150">
        <f>IF(OR(BH$8=1,BH$9=0),SUMIFS('Sales Data'!$E:$E,'Sales Data'!$A:$A,$E$2,'Sales Data'!$B:$B,BH$15,'Sales Data'!$C:$C,"Periodic")/1000,"")</f>
        <v>404.02749370800007</v>
      </c>
      <c r="BI34" s="150">
        <f>IF(OR(BI$8=1,BI$9=0),SUMIFS('Sales Data'!$E:$E,'Sales Data'!$A:$A,$E$2,'Sales Data'!$B:$B,BI$15,'Sales Data'!$C:$C,"Periodic")/1000,"")</f>
        <v>362.43555380999999</v>
      </c>
      <c r="BJ34" s="150">
        <f>IF(OR(BJ$8=1,BJ$9=0),SUMIFS('Sales Data'!$E:$E,'Sales Data'!$A:$A,$E$2,'Sales Data'!$B:$B,BJ$15,'Sales Data'!$C:$C,"Periodic")/1000,"")</f>
        <v>309.66281012400003</v>
      </c>
      <c r="BK34" s="150">
        <f>IF(OR(BK$8=1,BK$9=0),SUMIFS('Sales Data'!$E:$E,'Sales Data'!$A:$A,$E$2,'Sales Data'!$B:$B,BK$15,'Sales Data'!$C:$C,"Periodic")/1000,"")</f>
        <v>462.26029832099994</v>
      </c>
      <c r="BL34" s="150">
        <f>IF(OR(BL$8=1,BL$9=0),SUMIFS('Sales Data'!$E:$E,'Sales Data'!$A:$A,$E$2,'Sales Data'!$B:$B,BL$15,'Sales Data'!$C:$C,"Periodic")/1000,"")</f>
        <v>484.914631101</v>
      </c>
      <c r="BM34" s="150">
        <f>IF(OR(BM$8=1,BM$9=0),SUMIFS('Sales Data'!$E:$E,'Sales Data'!$A:$A,$E$2,'Sales Data'!$B:$B,BM$15,'Sales Data'!$C:$C,"Periodic")/1000,"")</f>
        <v>321.86195075999996</v>
      </c>
      <c r="BN34" s="150" t="str">
        <f>IF(OR(BN$8=1,BN$9=0),SUMIFS('Sales Data'!$E:$E,'Sales Data'!$A:$A,$E$2,'Sales Data'!$B:$B,BN$15,'Sales Data'!$C:$C,"Periodic")/1000,"")</f>
        <v/>
      </c>
      <c r="BO34" s="150" t="str">
        <f>IF(OR(BO$8=1,BO$9=0),SUMIFS('Sales Data'!$E:$E,'Sales Data'!$A:$A,$E$2,'Sales Data'!$B:$B,BO$15,'Sales Data'!$C:$C,"Periodic")/1000,"")</f>
        <v/>
      </c>
      <c r="BP34" s="150" t="str">
        <f>IF(OR(BP$8=1,BP$9=0),SUMIFS('Sales Data'!$E:$E,'Sales Data'!$A:$A,$E$2,'Sales Data'!$B:$B,BP$15,'Sales Data'!$C:$C,"Periodic")/1000,"")</f>
        <v/>
      </c>
      <c r="BQ34" s="150" t="str">
        <f>IF(OR(BQ$8=1,BQ$9=0),SUMIFS('Sales Data'!$E:$E,'Sales Data'!$A:$A,$E$2,'Sales Data'!$B:$B,BQ$15,'Sales Data'!$C:$C,"Periodic")/1000,"")</f>
        <v/>
      </c>
      <c r="BR34" s="150" t="str">
        <f>IF(OR(BR$8=1,BR$9=0),SUMIFS('Sales Data'!$E:$E,'Sales Data'!$A:$A,$E$2,'Sales Data'!$B:$B,BR$15,'Sales Data'!$C:$C,"Periodic")/1000,"")</f>
        <v/>
      </c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</row>
    <row r="35" spans="1:83" s="69" customFormat="1" ht="12.6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T35" s="101" t="str">
        <f>+T19</f>
        <v>2019 Actual</v>
      </c>
      <c r="U35" s="176">
        <f>IFERROR(U19/X18-1,"")</f>
        <v>-0.1169284467713787</v>
      </c>
      <c r="V35" s="176">
        <f t="shared" ref="V35:X36" si="35">IFERROR(V19/U19-1,"")</f>
        <v>0.20553359683794459</v>
      </c>
      <c r="W35" s="176">
        <f t="shared" si="35"/>
        <v>-3.2786885245901232E-3</v>
      </c>
      <c r="X35" s="136">
        <f t="shared" si="35"/>
        <v>0.17598684210526305</v>
      </c>
      <c r="Y35" s="118"/>
      <c r="Z35" s="101" t="str">
        <f>+Z19</f>
        <v>2019 Actual</v>
      </c>
      <c r="AA35" s="176">
        <f>IFERROR(AA19/AD18-1,"")</f>
        <v>-3.5454732872630235E-2</v>
      </c>
      <c r="AB35" s="176">
        <f t="shared" ref="AB35:AD36" si="36">IFERROR(AB19/AA19-1,"")</f>
        <v>0.31075826841834653</v>
      </c>
      <c r="AC35" s="176">
        <f t="shared" si="36"/>
        <v>-0.14617969429528999</v>
      </c>
      <c r="AD35" s="136">
        <f t="shared" si="36"/>
        <v>0.24506770530579058</v>
      </c>
      <c r="AE35" s="183"/>
      <c r="AF35" s="164"/>
      <c r="AG35" s="118"/>
      <c r="AH35" s="153" t="s">
        <v>1</v>
      </c>
      <c r="AI35" s="1"/>
      <c r="AJ35" s="1"/>
      <c r="AK35" s="1"/>
      <c r="AL35" s="1"/>
      <c r="BG35" s="150" t="str">
        <f>IF(OR(BG$8=1,BG$9=1),SUMIFS('Sales Data'!$D:$D,'Sales Data'!$A:$A,$E$2,'Sales Data'!$B:$B,BG$15,'Sales Data'!$C:$C,"Periodic")/1000,"")</f>
        <v/>
      </c>
      <c r="BH35" s="150" t="str">
        <f>IF(OR(BH$8=1,BH$9=1),SUMIFS('Sales Data'!$D:$D,'Sales Data'!$A:$A,$E$2,'Sales Data'!$B:$B,BH$15,'Sales Data'!$C:$C,"Periodic")/1000,"")</f>
        <v/>
      </c>
      <c r="BI35" s="150" t="str">
        <f>IF(OR(BI$8=1,BI$9=1),SUMIFS('Sales Data'!$D:$D,'Sales Data'!$A:$A,$E$2,'Sales Data'!$B:$B,BI$15,'Sales Data'!$C:$C,"Periodic")/1000,"")</f>
        <v/>
      </c>
      <c r="BJ35" s="150" t="str">
        <f>IF(OR(BJ$8=1,BJ$9=1),SUMIFS('Sales Data'!$D:$D,'Sales Data'!$A:$A,$E$2,'Sales Data'!$B:$B,BJ$15,'Sales Data'!$C:$C,"Periodic")/1000,"")</f>
        <v/>
      </c>
      <c r="BK35" s="150" t="str">
        <f>IF(OR(BK$8=1,BK$9=1),SUMIFS('Sales Data'!$D:$D,'Sales Data'!$A:$A,$E$2,'Sales Data'!$B:$B,BK$15,'Sales Data'!$C:$C,"Periodic")/1000,"")</f>
        <v/>
      </c>
      <c r="BL35" s="150" t="str">
        <f>IF(OR(BL$8=1,BL$9=1),SUMIFS('Sales Data'!$D:$D,'Sales Data'!$A:$A,$E$2,'Sales Data'!$B:$B,BL$15,'Sales Data'!$C:$C,"Periodic")/1000,"")</f>
        <v/>
      </c>
      <c r="BM35" s="150">
        <f>IF(OR(BM$8=1,BM$9=1),SUMIFS('Sales Data'!$D:$D,'Sales Data'!$A:$A,$E$2,'Sales Data'!$B:$B,BM$15,'Sales Data'!$C:$C,"Periodic")/1000,"")</f>
        <v>451.00764205129218</v>
      </c>
      <c r="BN35" s="150">
        <f>IF(OR(BN$8=1,BN$9=1),SUMIFS('Sales Data'!$D:$D,'Sales Data'!$A:$A,$E$2,'Sales Data'!$B:$B,BN$15,'Sales Data'!$C:$C,"Periodic")/1000,"")</f>
        <v>491.98578134349322</v>
      </c>
      <c r="BO35" s="150">
        <f>IF(OR(BO$8=1,BO$9=1),SUMIFS('Sales Data'!$D:$D,'Sales Data'!$A:$A,$E$2,'Sales Data'!$B:$B,BO$15,'Sales Data'!$C:$C,"Periodic")/1000,"")</f>
        <v>456.19993660066439</v>
      </c>
      <c r="BP35" s="150">
        <f>IF(OR(BP$8=1,BP$9=1),SUMIFS('Sales Data'!$D:$D,'Sales Data'!$A:$A,$E$2,'Sales Data'!$B:$B,BP$15,'Sales Data'!$C:$C,"Periodic")/1000,"")</f>
        <v>500.8574860792931</v>
      </c>
      <c r="BQ35" s="150">
        <f>IF(OR(BQ$8=1,BQ$9=1),SUMIFS('Sales Data'!$D:$D,'Sales Data'!$A:$A,$E$2,'Sales Data'!$B:$B,BQ$15,'Sales Data'!$C:$C,"Periodic")/1000,"")</f>
        <v>516.25265694857467</v>
      </c>
      <c r="BR35" s="150">
        <f>IF(OR(BR$8=1,BR$9=1),SUMIFS('Sales Data'!$D:$D,'Sales Data'!$A:$A,$E$2,'Sales Data'!$B:$B,BR$15,'Sales Data'!$C:$C,"Periodic")/1000,"")</f>
        <v>457.06834442026269</v>
      </c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</row>
    <row r="36" spans="1:83" s="69" customForma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01" t="str">
        <f>+T20</f>
        <v>2020 Budget</v>
      </c>
      <c r="U36" s="176">
        <f>IFERROR(U20/X19-1,"")</f>
        <v>2.5791625734265855E-2</v>
      </c>
      <c r="V36" s="176">
        <f t="shared" si="35"/>
        <v>0.19490615780023668</v>
      </c>
      <c r="W36" s="176">
        <f t="shared" si="35"/>
        <v>-3.5059936142329828E-3</v>
      </c>
      <c r="X36" s="136">
        <f t="shared" si="35"/>
        <v>3.074668665658975E-2</v>
      </c>
      <c r="Y36" s="9"/>
      <c r="Z36" s="101" t="str">
        <f>+Z20</f>
        <v>2020 Budget</v>
      </c>
      <c r="AA36" s="176">
        <f>IFERROR(AA20/AD19-1,"")</f>
        <v>-0.12397491326071408</v>
      </c>
      <c r="AB36" s="176">
        <f t="shared" si="36"/>
        <v>3.7765436701905797E-2</v>
      </c>
      <c r="AC36" s="176">
        <f t="shared" si="36"/>
        <v>-0.10329710762476574</v>
      </c>
      <c r="AD36" s="136">
        <f t="shared" si="36"/>
        <v>5.3591683320255656E-2</v>
      </c>
      <c r="AE36" s="164"/>
      <c r="AF36" s="164"/>
      <c r="AG36" s="118"/>
      <c r="AH36" s="156" t="s">
        <v>26</v>
      </c>
      <c r="BG36" s="159" t="str">
        <f>IF(BG$9,FORECAST(BG$12,$AP34:BF34,$AP12:BF12), "")</f>
        <v/>
      </c>
      <c r="BH36" s="159" t="str">
        <f>IF(BH$9,FORECAST(BH$12,$AP34:BG34,$AP12:BG12), "")</f>
        <v/>
      </c>
      <c r="BI36" s="159" t="str">
        <f>IF(BI$9,FORECAST(BI$12,$AP34:BH34,$AP12:BH12), "")</f>
        <v/>
      </c>
      <c r="BJ36" s="159" t="str">
        <f>IF(BJ$9,FORECAST(BJ$12,$AP34:BI34,$AP12:BI12), "")</f>
        <v/>
      </c>
      <c r="BK36" s="159" t="str">
        <f>IF(BK$9,FORECAST(BK$12,$AP34:BJ34,$AP12:BJ12), "")</f>
        <v/>
      </c>
      <c r="BL36" s="159" t="str">
        <f>IF(BL$9,FORECAST(BL$12,$AP34:BK34,$AP12:BK12), "")</f>
        <v/>
      </c>
      <c r="BM36" s="159" t="str">
        <f>IF(BM$9,FORECAST(BM$12,$AP34:BL34,$AP12:BL12), "")</f>
        <v/>
      </c>
      <c r="BN36" s="159">
        <f>IF(BN$9,FORECAST(BN$12,$AP34:BM34,$AP12:BM12), "")</f>
        <v>336.70608153803062</v>
      </c>
      <c r="BO36" s="159">
        <f>IF(BO$9,FORECAST(BO$12,$AP34:BN34,$AP12:BN12), "")</f>
        <v>318.06440601637519</v>
      </c>
      <c r="BP36" s="159">
        <f>IF(BP$9,FORECAST(BP$12,$AP34:BO34,$AP12:BO12), "")</f>
        <v>299.42273049471981</v>
      </c>
      <c r="BQ36" s="159">
        <f>IF(BQ$9,FORECAST(BQ$12,$AP34:BP34,$AP12:BP12), "")</f>
        <v>280.78105497306439</v>
      </c>
      <c r="BR36" s="159">
        <f>IF(BR$9,FORECAST(BR$12,$AP34:BQ34,$AP12:BQ12), "")</f>
        <v>262.13937945140901</v>
      </c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</row>
    <row r="37" spans="1:83" s="69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01" t="str">
        <f>+T21</f>
        <v>2020 Actual</v>
      </c>
      <c r="U37" s="176">
        <f>IF(U21&lt;&gt;0,IFERROR(U21/X19-1,""),"")</f>
        <v>-0.18461538461538463</v>
      </c>
      <c r="V37" s="176">
        <f>IF(V21&lt;&gt;0,IFERROR(V21/U21-1,""),"")</f>
        <v>-2.7444253859348233E-2</v>
      </c>
      <c r="W37" s="176">
        <f>IF(W21&lt;&gt;0,IFERROR(W21/V21-1,""),"")</f>
        <v>-0.65079365079365081</v>
      </c>
      <c r="X37" s="136" t="str">
        <f>IF(X21&lt;&gt;0,IFERROR(X21/W21-1,""),"")</f>
        <v/>
      </c>
      <c r="Y37" s="164"/>
      <c r="Z37" s="101" t="str">
        <f>+Z21</f>
        <v>2020 Actual</v>
      </c>
      <c r="AA37" s="176">
        <f>IF(AA21&lt;&gt;0,IFERROR(AA21/AD19-1,""),"")</f>
        <v>-0.29214768809972502</v>
      </c>
      <c r="AB37" s="176">
        <f>IF(AB21&lt;&gt;0,IFERROR(AB21/AA21-1,""),"")</f>
        <v>3.4482477203426232E-2</v>
      </c>
      <c r="AC37" s="176">
        <f>IF(AC21&lt;&gt;0,IFERROR(AC21/AB21-1,""),"")</f>
        <v>-0.74391129369152753</v>
      </c>
      <c r="AD37" s="136" t="str">
        <f>IF(AD21&lt;&gt;0,IFERROR(AD21/AC21-1,""),"")</f>
        <v/>
      </c>
      <c r="AE37" s="164"/>
      <c r="AF37" s="164"/>
      <c r="AG37" s="9"/>
      <c r="AH37" s="156" t="s">
        <v>90</v>
      </c>
      <c r="BG37" s="159" t="str">
        <f>IF(BG$9,FORECAST(BG$13,$AP34:BF34,$AP13:BF13), "")</f>
        <v/>
      </c>
      <c r="BH37" s="159" t="str">
        <f>IF(BH$9,FORECAST(BH$13,$AP34:BG34,$AP13:BG13), "")</f>
        <v/>
      </c>
      <c r="BI37" s="159" t="str">
        <f>IF(BI$9,FORECAST(BI$13,$AP34:BH34,$AP13:BH13), "")</f>
        <v/>
      </c>
      <c r="BJ37" s="159" t="str">
        <f>IF(BJ$9,FORECAST(BJ$13,$AP34:BI34,$AP13:BI13), "")</f>
        <v/>
      </c>
      <c r="BK37" s="159" t="str">
        <f>IF(BK$9,FORECAST(BK$13,$AP34:BJ34,$AP13:BJ13), "")</f>
        <v/>
      </c>
      <c r="BL37" s="159" t="str">
        <f>IF(BL$9,FORECAST(BL$13,$AP34:BK34,$AP13:BK13), "")</f>
        <v/>
      </c>
      <c r="BM37" s="159" t="str">
        <f>IF(BM$9,FORECAST(BM$13,$AP34:BL34,$AP13:BL13), "")</f>
        <v/>
      </c>
      <c r="BN37" s="159">
        <f>IF(BN$9,FORECAST(BN$13,$AP34:BM34,$AP13:BM13), "")</f>
        <v>392.36968685664988</v>
      </c>
      <c r="BO37" s="159">
        <f>IF(BO$9,FORECAST(BO$13,$AP34:BN34,$AP13:BN13), "")</f>
        <v>384.55243955269555</v>
      </c>
      <c r="BP37" s="159">
        <f>IF(BP$9,FORECAST(BP$13,$AP34:BO34,$AP13:BO13), "")</f>
        <v>376.73519224874121</v>
      </c>
      <c r="BQ37" s="159">
        <f>IF(BQ$9,FORECAST(BQ$13,$AP34:BP34,$AP13:BP13), "")</f>
        <v>368.91794494478694</v>
      </c>
      <c r="BR37" s="159">
        <f>IF(BR$9,FORECAST(BR$13,$AP34:BQ34,$AP13:BQ13), "")</f>
        <v>361.10069764083261</v>
      </c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</row>
    <row r="38" spans="1:83" s="69" customForma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38" t="s">
        <v>34</v>
      </c>
      <c r="U38" s="177">
        <f>IFERROR(U22/X19-1,"")</f>
        <v>-0.18461538461538463</v>
      </c>
      <c r="V38" s="177">
        <f>IFERROR(V22/U22-1,"")</f>
        <v>-2.7444253859348233E-2</v>
      </c>
      <c r="W38" s="177">
        <f>IFERROR(W22/V22-1,"")</f>
        <v>0.15612417510132204</v>
      </c>
      <c r="X38" s="178">
        <f>IFERROR(X22/W22-1,"")</f>
        <v>8.5129291913053073E-2</v>
      </c>
      <c r="Y38" s="164"/>
      <c r="Z38" s="138" t="s">
        <v>34</v>
      </c>
      <c r="AA38" s="177">
        <f>IFERROR(AA22/AD19-1,"")</f>
        <v>-0.29214768809972502</v>
      </c>
      <c r="AB38" s="177">
        <f>IFERROR(AB22/AA22-1,"")</f>
        <v>3.4482477203426232E-2</v>
      </c>
      <c r="AC38" s="177">
        <f>IFERROR(AC22/AB22-1,"")</f>
        <v>1.0510449155456847E-2</v>
      </c>
      <c r="AD38" s="178">
        <f>IFERROR(AD22/AC22-1,"")</f>
        <v>0.16072689535523477</v>
      </c>
      <c r="AE38" s="1"/>
      <c r="AF38" s="1"/>
      <c r="AG38" s="164"/>
      <c r="AH38" s="153" t="s">
        <v>1</v>
      </c>
      <c r="AI38" s="1"/>
      <c r="AJ38" s="1"/>
      <c r="AK38" s="1"/>
      <c r="BG38" s="150">
        <f>SUMIFS('Sales Data'!$D:$D,'Sales Data'!$A:$A,$E$2,'Sales Data'!$B:$B,BG$15,'Sales Data'!$C:$C,"Periodic")/1000</f>
        <v>510.53315585713494</v>
      </c>
      <c r="BH38" s="150">
        <f>SUMIFS('Sales Data'!$D:$D,'Sales Data'!$A:$A,$E$2,'Sales Data'!$B:$B,BH$15,'Sales Data'!$C:$C,"Periodic")/1000</f>
        <v>512.81952569877456</v>
      </c>
      <c r="BI38" s="150">
        <f>SUMIFS('Sales Data'!$D:$D,'Sales Data'!$A:$A,$E$2,'Sales Data'!$B:$B,BI$15,'Sales Data'!$C:$C,"Periodic")/1000</f>
        <v>480.2391672672897</v>
      </c>
      <c r="BJ38" s="150">
        <f>SUMIFS('Sales Data'!$D:$D,'Sales Data'!$A:$A,$E$2,'Sales Data'!$B:$B,BJ$15,'Sales Data'!$C:$C,"Periodic")/1000</f>
        <v>523.32731507337894</v>
      </c>
      <c r="BK38" s="150">
        <f>SUMIFS('Sales Data'!$D:$D,'Sales Data'!$A:$A,$E$2,'Sales Data'!$B:$B,BK$15,'Sales Data'!$C:$C,"Periodic")/1000</f>
        <v>510.74623835263452</v>
      </c>
      <c r="BL38" s="150">
        <f>SUMIFS('Sales Data'!$D:$D,'Sales Data'!$A:$A,$E$2,'Sales Data'!$B:$B,BL$15,'Sales Data'!$C:$C,"Periodic")/1000</f>
        <v>526.30209818941967</v>
      </c>
      <c r="BM38" s="150">
        <f>SUMIFS('Sales Data'!$D:$D,'Sales Data'!$A:$A,$E$2,'Sales Data'!$B:$B,BM$15,'Sales Data'!$C:$C,"Periodic")/1000</f>
        <v>451.00764205129218</v>
      </c>
      <c r="BN38" s="150">
        <f>SUMIFS('Sales Data'!$D:$D,'Sales Data'!$A:$A,$E$2,'Sales Data'!$B:$B,BN$15,'Sales Data'!$C:$C,"Periodic")/1000</f>
        <v>491.98578134349322</v>
      </c>
      <c r="BO38" s="150">
        <f>SUMIFS('Sales Data'!$D:$D,'Sales Data'!$A:$A,$E$2,'Sales Data'!$B:$B,BO$15,'Sales Data'!$C:$C,"Periodic")/1000</f>
        <v>456.19993660066439</v>
      </c>
      <c r="BP38" s="150">
        <f>SUMIFS('Sales Data'!$D:$D,'Sales Data'!$A:$A,$E$2,'Sales Data'!$B:$B,BP$15,'Sales Data'!$C:$C,"Periodic")/1000</f>
        <v>500.8574860792931</v>
      </c>
      <c r="BQ38" s="150">
        <f>SUMIFS('Sales Data'!$D:$D,'Sales Data'!$A:$A,$E$2,'Sales Data'!$B:$B,BQ$15,'Sales Data'!$C:$C,"Periodic")/1000</f>
        <v>516.25265694857467</v>
      </c>
      <c r="BR38" s="150">
        <f>SUMIFS('Sales Data'!$D:$D,'Sales Data'!$A:$A,$E$2,'Sales Data'!$B:$B,BR$15,'Sales Data'!$C:$C,"Periodic")/1000</f>
        <v>457.06834442026269</v>
      </c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</row>
    <row r="39" spans="1:83" s="69" customFormat="1" x14ac:dyDescent="0.2">
      <c r="A39" s="1"/>
      <c r="B39" s="1"/>
      <c r="C39" s="1"/>
      <c r="D39" s="1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"/>
      <c r="Y39" s="1"/>
      <c r="Z39" s="1"/>
      <c r="AA39" s="1"/>
      <c r="AB39" s="1"/>
      <c r="AC39" s="1"/>
      <c r="AD39" s="1"/>
      <c r="AE39" s="1"/>
      <c r="AF39" s="1"/>
      <c r="AG39" s="118"/>
      <c r="AH39" s="153" t="s">
        <v>34</v>
      </c>
      <c r="AI39" s="1"/>
      <c r="AJ39" s="1"/>
      <c r="AK39" s="1"/>
      <c r="BG39" s="150" t="str">
        <f t="shared" ref="BG39:BR39" si="37">IF(OR(BG$8=1,BG$9=1),F17,"")</f>
        <v/>
      </c>
      <c r="BH39" s="150" t="str">
        <f t="shared" si="37"/>
        <v/>
      </c>
      <c r="BI39" s="150" t="str">
        <f t="shared" si="37"/>
        <v/>
      </c>
      <c r="BJ39" s="150" t="str">
        <f t="shared" si="37"/>
        <v/>
      </c>
      <c r="BK39" s="150" t="str">
        <f t="shared" si="37"/>
        <v/>
      </c>
      <c r="BL39" s="150" t="str">
        <f t="shared" si="37"/>
        <v/>
      </c>
      <c r="BM39" s="150">
        <f t="shared" si="37"/>
        <v>321.86195075999996</v>
      </c>
      <c r="BN39" s="150">
        <f t="shared" si="37"/>
        <v>491.98578134349322</v>
      </c>
      <c r="BO39" s="150">
        <f t="shared" si="37"/>
        <v>456.19993660066439</v>
      </c>
      <c r="BP39" s="150">
        <f t="shared" si="37"/>
        <v>500.8574860792931</v>
      </c>
      <c r="BQ39" s="150">
        <f t="shared" si="37"/>
        <v>516.25265694857467</v>
      </c>
      <c r="BR39" s="150">
        <f t="shared" si="37"/>
        <v>457.06834442026269</v>
      </c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</row>
    <row r="40" spans="1:83" s="69" customForma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"/>
      <c r="AF40" s="1"/>
      <c r="AG40" s="118"/>
      <c r="AH40" s="171" t="s">
        <v>26</v>
      </c>
      <c r="AI40" s="1"/>
      <c r="AJ40" s="1"/>
      <c r="AK40" s="1"/>
      <c r="BG40" s="159">
        <f t="shared" ref="BG40:BR40" si="38">IF(BG36="",BG38,BG36)</f>
        <v>510.53315585713494</v>
      </c>
      <c r="BH40" s="159">
        <f t="shared" si="38"/>
        <v>512.81952569877456</v>
      </c>
      <c r="BI40" s="159">
        <f t="shared" si="38"/>
        <v>480.2391672672897</v>
      </c>
      <c r="BJ40" s="159">
        <f t="shared" si="38"/>
        <v>523.32731507337894</v>
      </c>
      <c r="BK40" s="159">
        <f t="shared" si="38"/>
        <v>510.74623835263452</v>
      </c>
      <c r="BL40" s="159">
        <f t="shared" si="38"/>
        <v>526.30209818941967</v>
      </c>
      <c r="BM40" s="159">
        <f t="shared" si="38"/>
        <v>451.00764205129218</v>
      </c>
      <c r="BN40" s="159">
        <f t="shared" si="38"/>
        <v>336.70608153803062</v>
      </c>
      <c r="BO40" s="159">
        <f t="shared" si="38"/>
        <v>318.06440601637519</v>
      </c>
      <c r="BP40" s="159">
        <f t="shared" si="38"/>
        <v>299.42273049471981</v>
      </c>
      <c r="BQ40" s="159">
        <f t="shared" si="38"/>
        <v>280.78105497306439</v>
      </c>
      <c r="BR40" s="159">
        <f t="shared" si="38"/>
        <v>262.13937945140901</v>
      </c>
      <c r="BS40" s="174">
        <f>SUM(BG40:BR40)</f>
        <v>5012.0887949635235</v>
      </c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</row>
    <row r="41" spans="1:83" s="69" customFormat="1" x14ac:dyDescent="0.2">
      <c r="A41" s="127"/>
      <c r="B41" s="12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27"/>
      <c r="Y41" s="1"/>
      <c r="Z41" s="1"/>
      <c r="AA41" s="1"/>
      <c r="AB41" s="1"/>
      <c r="AC41" s="1"/>
      <c r="AD41" s="1"/>
      <c r="AE41" s="1"/>
      <c r="AF41" s="1"/>
      <c r="AG41" s="6" t="s">
        <v>30</v>
      </c>
      <c r="AH41" s="171" t="s">
        <v>90</v>
      </c>
      <c r="AI41" s="1"/>
      <c r="AJ41" s="1"/>
      <c r="AK41" s="1"/>
      <c r="BG41" s="159">
        <f t="shared" ref="BG41:BR41" si="39">IF(BG37="",BG38,BG37)</f>
        <v>510.53315585713494</v>
      </c>
      <c r="BH41" s="159">
        <f t="shared" si="39"/>
        <v>512.81952569877456</v>
      </c>
      <c r="BI41" s="159">
        <f t="shared" si="39"/>
        <v>480.2391672672897</v>
      </c>
      <c r="BJ41" s="159">
        <f t="shared" si="39"/>
        <v>523.32731507337894</v>
      </c>
      <c r="BK41" s="159">
        <f t="shared" si="39"/>
        <v>510.74623835263452</v>
      </c>
      <c r="BL41" s="159">
        <f t="shared" si="39"/>
        <v>526.30209818941967</v>
      </c>
      <c r="BM41" s="159">
        <f t="shared" si="39"/>
        <v>451.00764205129218</v>
      </c>
      <c r="BN41" s="159">
        <f t="shared" si="39"/>
        <v>392.36968685664988</v>
      </c>
      <c r="BO41" s="159">
        <f t="shared" si="39"/>
        <v>384.55243955269555</v>
      </c>
      <c r="BP41" s="159">
        <f t="shared" si="39"/>
        <v>376.73519224874121</v>
      </c>
      <c r="BQ41" s="159">
        <f t="shared" si="39"/>
        <v>368.91794494478694</v>
      </c>
      <c r="BR41" s="159">
        <f t="shared" si="39"/>
        <v>361.10069764083261</v>
      </c>
      <c r="BS41" s="174">
        <f>SUM(BG41:BR41)</f>
        <v>5398.6511037336304</v>
      </c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</row>
    <row r="42" spans="1:83" s="69" customForma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27"/>
      <c r="Y42" s="1"/>
      <c r="Z42" s="1"/>
      <c r="AA42" s="1"/>
      <c r="AB42" s="1"/>
      <c r="AC42" s="1"/>
      <c r="AD42" s="1"/>
      <c r="AE42" s="1"/>
      <c r="AF42" s="1"/>
      <c r="AG42" s="164"/>
      <c r="AI42" s="1"/>
      <c r="AJ42" s="1"/>
      <c r="AK42" s="1"/>
      <c r="AL42" s="1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</row>
    <row r="43" spans="1:83" s="69" customFormat="1" x14ac:dyDescent="0.2">
      <c r="A43" s="1"/>
      <c r="B43" s="1"/>
      <c r="C43" s="127"/>
      <c r="D43" s="12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27"/>
      <c r="Y43" s="1"/>
      <c r="Z43" s="1"/>
      <c r="AA43" s="1"/>
      <c r="AB43" s="1"/>
      <c r="AC43" s="1"/>
      <c r="AD43" s="1"/>
      <c r="AE43" s="1"/>
      <c r="AF43" s="1"/>
      <c r="AG43" s="6" t="s">
        <v>89</v>
      </c>
      <c r="AH43" s="118" t="str">
        <f>AH34</f>
        <v>Actual</v>
      </c>
      <c r="AI43" s="1"/>
      <c r="AJ43" s="1"/>
      <c r="AK43" s="1"/>
      <c r="AL43" s="1"/>
      <c r="AU43" s="150">
        <f t="shared" ref="AU43:BR43" si="40">IF(AU34="",NA(),AU34)</f>
        <v>450.49034758227958</v>
      </c>
      <c r="AV43" s="150">
        <f t="shared" si="40"/>
        <v>418.08676739741873</v>
      </c>
      <c r="AW43" s="150">
        <f t="shared" si="40"/>
        <v>363.19782962765345</v>
      </c>
      <c r="AX43" s="150">
        <f t="shared" si="40"/>
        <v>589.79345417409127</v>
      </c>
      <c r="AY43" s="150">
        <f t="shared" si="40"/>
        <v>473.90503862800011</v>
      </c>
      <c r="AZ43" s="150">
        <f t="shared" si="40"/>
        <v>550.86070067254582</v>
      </c>
      <c r="BA43" s="150">
        <f t="shared" si="40"/>
        <v>445.98745644892921</v>
      </c>
      <c r="BB43" s="150">
        <f t="shared" si="40"/>
        <v>508.46155316924569</v>
      </c>
      <c r="BC43" s="150">
        <f t="shared" si="40"/>
        <v>424.09441453268971</v>
      </c>
      <c r="BD43" s="150">
        <f t="shared" si="40"/>
        <v>633.17249457973378</v>
      </c>
      <c r="BE43" s="150">
        <f t="shared" si="40"/>
        <v>700.03736602136826</v>
      </c>
      <c r="BF43" s="150">
        <f t="shared" si="40"/>
        <v>383.17003717080217</v>
      </c>
      <c r="BG43" s="150">
        <f t="shared" si="40"/>
        <v>448.48043121900002</v>
      </c>
      <c r="BH43" s="150">
        <f t="shared" si="40"/>
        <v>404.02749370800007</v>
      </c>
      <c r="BI43" s="150">
        <f t="shared" si="40"/>
        <v>362.43555380999999</v>
      </c>
      <c r="BJ43" s="150">
        <f t="shared" si="40"/>
        <v>309.66281012400003</v>
      </c>
      <c r="BK43" s="150">
        <f t="shared" si="40"/>
        <v>462.26029832099994</v>
      </c>
      <c r="BL43" s="150">
        <f t="shared" si="40"/>
        <v>484.914631101</v>
      </c>
      <c r="BM43" s="150">
        <f t="shared" si="40"/>
        <v>321.86195075999996</v>
      </c>
      <c r="BN43" s="150" t="e">
        <f t="shared" si="40"/>
        <v>#N/A</v>
      </c>
      <c r="BO43" s="150" t="e">
        <f t="shared" si="40"/>
        <v>#N/A</v>
      </c>
      <c r="BP43" s="150" t="e">
        <f t="shared" si="40"/>
        <v>#N/A</v>
      </c>
      <c r="BQ43" s="150" t="e">
        <f t="shared" si="40"/>
        <v>#N/A</v>
      </c>
      <c r="BR43" s="150" t="e">
        <f t="shared" si="40"/>
        <v>#N/A</v>
      </c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</row>
    <row r="44" spans="1:83" s="127" customFormat="1" ht="13.1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U44" s="69"/>
      <c r="V44" s="69"/>
      <c r="W44" s="69"/>
      <c r="X44" s="69"/>
      <c r="Y44" s="1"/>
      <c r="Z44" s="1"/>
      <c r="AA44" s="1"/>
      <c r="AB44" s="1"/>
      <c r="AC44" s="1"/>
      <c r="AD44" s="1"/>
      <c r="AG44" s="69"/>
      <c r="AH44" s="118" t="str">
        <f>AH38</f>
        <v>Budget</v>
      </c>
      <c r="AI44" s="1"/>
      <c r="AJ44" s="1"/>
      <c r="AK44" s="1"/>
      <c r="AL44" s="1"/>
      <c r="AM44" s="69"/>
      <c r="AN44" s="69"/>
      <c r="AO44" s="69"/>
      <c r="AP44" s="69"/>
      <c r="AQ44" s="69"/>
      <c r="AR44" s="69"/>
      <c r="AS44" s="69"/>
      <c r="AT44" s="69"/>
      <c r="AU44" s="150" t="e">
        <f t="shared" ref="AU44:BR44" si="41">IF(AU35="",NA(),AU35)</f>
        <v>#N/A</v>
      </c>
      <c r="AV44" s="150" t="e">
        <f t="shared" si="41"/>
        <v>#N/A</v>
      </c>
      <c r="AW44" s="150" t="e">
        <f t="shared" si="41"/>
        <v>#N/A</v>
      </c>
      <c r="AX44" s="150" t="e">
        <f t="shared" si="41"/>
        <v>#N/A</v>
      </c>
      <c r="AY44" s="150" t="e">
        <f t="shared" si="41"/>
        <v>#N/A</v>
      </c>
      <c r="AZ44" s="150" t="e">
        <f t="shared" si="41"/>
        <v>#N/A</v>
      </c>
      <c r="BA44" s="150" t="e">
        <f t="shared" si="41"/>
        <v>#N/A</v>
      </c>
      <c r="BB44" s="150" t="e">
        <f t="shared" si="41"/>
        <v>#N/A</v>
      </c>
      <c r="BC44" s="150" t="e">
        <f t="shared" si="41"/>
        <v>#N/A</v>
      </c>
      <c r="BD44" s="150" t="e">
        <f t="shared" si="41"/>
        <v>#N/A</v>
      </c>
      <c r="BE44" s="150" t="e">
        <f t="shared" si="41"/>
        <v>#N/A</v>
      </c>
      <c r="BF44" s="150" t="e">
        <f t="shared" si="41"/>
        <v>#N/A</v>
      </c>
      <c r="BG44" s="150" t="e">
        <f t="shared" si="41"/>
        <v>#N/A</v>
      </c>
      <c r="BH44" s="150" t="e">
        <f t="shared" si="41"/>
        <v>#N/A</v>
      </c>
      <c r="BI44" s="150" t="e">
        <f t="shared" si="41"/>
        <v>#N/A</v>
      </c>
      <c r="BJ44" s="150" t="e">
        <f t="shared" si="41"/>
        <v>#N/A</v>
      </c>
      <c r="BK44" s="150" t="e">
        <f t="shared" si="41"/>
        <v>#N/A</v>
      </c>
      <c r="BL44" s="150" t="e">
        <f t="shared" si="41"/>
        <v>#N/A</v>
      </c>
      <c r="BM44" s="150">
        <f t="shared" si="41"/>
        <v>451.00764205129218</v>
      </c>
      <c r="BN44" s="150">
        <f t="shared" si="41"/>
        <v>491.98578134349322</v>
      </c>
      <c r="BO44" s="150">
        <f t="shared" si="41"/>
        <v>456.19993660066439</v>
      </c>
      <c r="BP44" s="150">
        <f t="shared" si="41"/>
        <v>500.8574860792931</v>
      </c>
      <c r="BQ44" s="150">
        <f t="shared" si="41"/>
        <v>516.25265694857467</v>
      </c>
      <c r="BR44" s="150">
        <f t="shared" si="41"/>
        <v>457.06834442026269</v>
      </c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</row>
    <row r="45" spans="1:83" s="69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Y45" s="1"/>
      <c r="Z45" s="1"/>
      <c r="AA45" s="1"/>
      <c r="AB45" s="1"/>
      <c r="AC45" s="1"/>
      <c r="AD45" s="1"/>
      <c r="AE45" s="1"/>
      <c r="AF45" s="1"/>
      <c r="AH45" s="118" t="str">
        <f>AH36</f>
        <v>Trend 6m</v>
      </c>
      <c r="AI45" s="1"/>
      <c r="AJ45" s="1"/>
      <c r="AK45" s="1"/>
      <c r="AL45" s="1"/>
      <c r="AU45" s="150" t="e">
        <f t="shared" ref="AU45:BR45" si="42">IF(AU36="",NA(),AU36)</f>
        <v>#N/A</v>
      </c>
      <c r="AV45" s="150" t="e">
        <f t="shared" si="42"/>
        <v>#N/A</v>
      </c>
      <c r="AW45" s="150" t="e">
        <f t="shared" si="42"/>
        <v>#N/A</v>
      </c>
      <c r="AX45" s="150" t="e">
        <f t="shared" si="42"/>
        <v>#N/A</v>
      </c>
      <c r="AY45" s="150" t="e">
        <f t="shared" si="42"/>
        <v>#N/A</v>
      </c>
      <c r="AZ45" s="150" t="e">
        <f t="shared" si="42"/>
        <v>#N/A</v>
      </c>
      <c r="BA45" s="150" t="e">
        <f t="shared" si="42"/>
        <v>#N/A</v>
      </c>
      <c r="BB45" s="150" t="e">
        <f t="shared" si="42"/>
        <v>#N/A</v>
      </c>
      <c r="BC45" s="150" t="e">
        <f t="shared" si="42"/>
        <v>#N/A</v>
      </c>
      <c r="BD45" s="150" t="e">
        <f t="shared" si="42"/>
        <v>#N/A</v>
      </c>
      <c r="BE45" s="150" t="e">
        <f t="shared" si="42"/>
        <v>#N/A</v>
      </c>
      <c r="BF45" s="150" t="e">
        <f t="shared" si="42"/>
        <v>#N/A</v>
      </c>
      <c r="BG45" s="150" t="e">
        <f t="shared" si="42"/>
        <v>#N/A</v>
      </c>
      <c r="BH45" s="150" t="e">
        <f t="shared" si="42"/>
        <v>#N/A</v>
      </c>
      <c r="BI45" s="150" t="e">
        <f t="shared" si="42"/>
        <v>#N/A</v>
      </c>
      <c r="BJ45" s="150" t="e">
        <f t="shared" si="42"/>
        <v>#N/A</v>
      </c>
      <c r="BK45" s="150" t="e">
        <f t="shared" si="42"/>
        <v>#N/A</v>
      </c>
      <c r="BL45" s="150" t="e">
        <f t="shared" si="42"/>
        <v>#N/A</v>
      </c>
      <c r="BM45" s="150" t="e">
        <f t="shared" si="42"/>
        <v>#N/A</v>
      </c>
      <c r="BN45" s="150">
        <f t="shared" si="42"/>
        <v>336.70608153803062</v>
      </c>
      <c r="BO45" s="150">
        <f t="shared" si="42"/>
        <v>318.06440601637519</v>
      </c>
      <c r="BP45" s="150">
        <f t="shared" si="42"/>
        <v>299.42273049471981</v>
      </c>
      <c r="BQ45" s="150">
        <f t="shared" si="42"/>
        <v>280.78105497306439</v>
      </c>
      <c r="BR45" s="150">
        <f t="shared" si="42"/>
        <v>262.13937945140901</v>
      </c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</row>
    <row r="46" spans="1:83" s="69" customForma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Y46" s="1"/>
      <c r="Z46" s="1"/>
      <c r="AA46" s="1"/>
      <c r="AB46" s="1"/>
      <c r="AC46" s="1"/>
      <c r="AD46" s="1"/>
      <c r="AE46" s="1"/>
      <c r="AF46" s="1"/>
      <c r="AH46" s="118" t="str">
        <f>AH37</f>
        <v>Trend 12m</v>
      </c>
      <c r="AI46" s="1"/>
      <c r="AJ46" s="1"/>
      <c r="AK46" s="1"/>
      <c r="AL46" s="1"/>
      <c r="AU46" s="150" t="e">
        <f t="shared" ref="AU46:BR46" si="43">IF(AU37="",NA(),AU37)</f>
        <v>#N/A</v>
      </c>
      <c r="AV46" s="150" t="e">
        <f t="shared" si="43"/>
        <v>#N/A</v>
      </c>
      <c r="AW46" s="150" t="e">
        <f t="shared" si="43"/>
        <v>#N/A</v>
      </c>
      <c r="AX46" s="150" t="e">
        <f t="shared" si="43"/>
        <v>#N/A</v>
      </c>
      <c r="AY46" s="150" t="e">
        <f t="shared" si="43"/>
        <v>#N/A</v>
      </c>
      <c r="AZ46" s="150" t="e">
        <f t="shared" si="43"/>
        <v>#N/A</v>
      </c>
      <c r="BA46" s="150" t="e">
        <f t="shared" si="43"/>
        <v>#N/A</v>
      </c>
      <c r="BB46" s="150" t="e">
        <f t="shared" si="43"/>
        <v>#N/A</v>
      </c>
      <c r="BC46" s="150" t="e">
        <f t="shared" si="43"/>
        <v>#N/A</v>
      </c>
      <c r="BD46" s="150" t="e">
        <f t="shared" si="43"/>
        <v>#N/A</v>
      </c>
      <c r="BE46" s="150" t="e">
        <f t="shared" si="43"/>
        <v>#N/A</v>
      </c>
      <c r="BF46" s="150" t="e">
        <f t="shared" si="43"/>
        <v>#N/A</v>
      </c>
      <c r="BG46" s="150" t="e">
        <f t="shared" si="43"/>
        <v>#N/A</v>
      </c>
      <c r="BH46" s="150" t="e">
        <f t="shared" si="43"/>
        <v>#N/A</v>
      </c>
      <c r="BI46" s="150" t="e">
        <f t="shared" si="43"/>
        <v>#N/A</v>
      </c>
      <c r="BJ46" s="150" t="e">
        <f t="shared" si="43"/>
        <v>#N/A</v>
      </c>
      <c r="BK46" s="150" t="e">
        <f t="shared" si="43"/>
        <v>#N/A</v>
      </c>
      <c r="BL46" s="150" t="e">
        <f t="shared" si="43"/>
        <v>#N/A</v>
      </c>
      <c r="BM46" s="150" t="e">
        <f t="shared" si="43"/>
        <v>#N/A</v>
      </c>
      <c r="BN46" s="150">
        <f t="shared" si="43"/>
        <v>392.36968685664988</v>
      </c>
      <c r="BO46" s="150">
        <f t="shared" si="43"/>
        <v>384.55243955269555</v>
      </c>
      <c r="BP46" s="150">
        <f t="shared" si="43"/>
        <v>376.73519224874121</v>
      </c>
      <c r="BQ46" s="150">
        <f t="shared" si="43"/>
        <v>368.91794494478694</v>
      </c>
      <c r="BR46" s="150">
        <f t="shared" si="43"/>
        <v>361.10069764083261</v>
      </c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</row>
    <row r="47" spans="1:83" s="69" customForma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Y47" s="1"/>
      <c r="Z47" s="1"/>
      <c r="AA47" s="1"/>
      <c r="AB47" s="1"/>
      <c r="AC47" s="1"/>
      <c r="AD47" s="1"/>
      <c r="AE47" s="1"/>
      <c r="AF47" s="1"/>
      <c r="AG47" s="1"/>
      <c r="AH47" s="118" t="s">
        <v>34</v>
      </c>
      <c r="AI47" s="1"/>
      <c r="AJ47" s="1"/>
      <c r="AK47" s="1"/>
      <c r="AL47" s="146"/>
      <c r="AM47" s="1"/>
      <c r="AN47" s="1"/>
      <c r="AO47" s="1"/>
      <c r="AP47" s="1"/>
      <c r="AQ47" s="1"/>
      <c r="AR47" s="1"/>
      <c r="AS47" s="1"/>
      <c r="AT47" s="1"/>
      <c r="AU47" s="150" t="e">
        <f>IF(AU39="",NA(),AU39)</f>
        <v>#N/A</v>
      </c>
      <c r="AV47" s="150" t="e">
        <f t="shared" ref="AV47:BR47" si="44">IF(AV39="",NA(),AV39)</f>
        <v>#N/A</v>
      </c>
      <c r="AW47" s="150" t="e">
        <f t="shared" si="44"/>
        <v>#N/A</v>
      </c>
      <c r="AX47" s="150" t="e">
        <f t="shared" si="44"/>
        <v>#N/A</v>
      </c>
      <c r="AY47" s="150" t="e">
        <f t="shared" si="44"/>
        <v>#N/A</v>
      </c>
      <c r="AZ47" s="150" t="e">
        <f t="shared" si="44"/>
        <v>#N/A</v>
      </c>
      <c r="BA47" s="150" t="e">
        <f t="shared" si="44"/>
        <v>#N/A</v>
      </c>
      <c r="BB47" s="150" t="e">
        <f t="shared" si="44"/>
        <v>#N/A</v>
      </c>
      <c r="BC47" s="150" t="e">
        <f t="shared" si="44"/>
        <v>#N/A</v>
      </c>
      <c r="BD47" s="150" t="e">
        <f t="shared" si="44"/>
        <v>#N/A</v>
      </c>
      <c r="BE47" s="150" t="e">
        <f t="shared" si="44"/>
        <v>#N/A</v>
      </c>
      <c r="BF47" s="150" t="e">
        <f t="shared" si="44"/>
        <v>#N/A</v>
      </c>
      <c r="BG47" s="150" t="e">
        <f t="shared" si="44"/>
        <v>#N/A</v>
      </c>
      <c r="BH47" s="150" t="e">
        <f t="shared" si="44"/>
        <v>#N/A</v>
      </c>
      <c r="BI47" s="150" t="e">
        <f t="shared" si="44"/>
        <v>#N/A</v>
      </c>
      <c r="BJ47" s="150" t="e">
        <f t="shared" si="44"/>
        <v>#N/A</v>
      </c>
      <c r="BK47" s="150" t="e">
        <f t="shared" si="44"/>
        <v>#N/A</v>
      </c>
      <c r="BL47" s="150" t="e">
        <f t="shared" si="44"/>
        <v>#N/A</v>
      </c>
      <c r="BM47" s="150">
        <f t="shared" si="44"/>
        <v>321.86195075999996</v>
      </c>
      <c r="BN47" s="150">
        <f t="shared" si="44"/>
        <v>491.98578134349322</v>
      </c>
      <c r="BO47" s="150">
        <f t="shared" si="44"/>
        <v>456.19993660066439</v>
      </c>
      <c r="BP47" s="150">
        <f t="shared" si="44"/>
        <v>500.8574860792931</v>
      </c>
      <c r="BQ47" s="150">
        <f t="shared" si="44"/>
        <v>516.25265694857467</v>
      </c>
      <c r="BR47" s="150">
        <f t="shared" si="44"/>
        <v>457.06834442026269</v>
      </c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</row>
    <row r="48" spans="1:83" s="69" customForma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Y48" s="1"/>
      <c r="Z48" s="1"/>
      <c r="AA48" s="1"/>
      <c r="AB48" s="1"/>
      <c r="AC48" s="1"/>
      <c r="AD48" s="1"/>
      <c r="AE48" s="1"/>
      <c r="AF48" s="1"/>
      <c r="AH48" s="1"/>
      <c r="AI48" s="1"/>
      <c r="BW48" s="1"/>
      <c r="BX48" s="1"/>
      <c r="BY48" s="1"/>
      <c r="BZ48" s="1"/>
      <c r="CA48" s="1"/>
    </row>
    <row r="49" spans="1:79" s="69" customForma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Y49" s="1"/>
      <c r="Z49" s="1"/>
      <c r="AA49" s="1"/>
      <c r="AB49" s="1"/>
      <c r="AC49" s="1"/>
      <c r="AD49" s="1"/>
      <c r="AE49" s="1"/>
      <c r="AF49" s="1"/>
      <c r="AH49" s="1"/>
      <c r="AI49" s="1"/>
      <c r="BW49" s="1"/>
      <c r="BX49" s="1"/>
      <c r="BY49" s="1"/>
      <c r="BZ49" s="1"/>
      <c r="CA49" s="1"/>
    </row>
    <row r="50" spans="1:79" s="69" customForma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BW50" s="1"/>
      <c r="BX50" s="1"/>
      <c r="BY50" s="1"/>
      <c r="BZ50" s="1"/>
      <c r="CA50" s="1"/>
    </row>
    <row r="51" spans="1:79" s="69" customForma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BW51" s="1"/>
      <c r="BX51" s="1"/>
      <c r="BY51" s="1"/>
      <c r="BZ51" s="1"/>
      <c r="CA51" s="1"/>
    </row>
    <row r="52" spans="1:79" s="69" customForma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BW52" s="1"/>
      <c r="BX52" s="1"/>
      <c r="BY52" s="1"/>
      <c r="BZ52" s="1"/>
      <c r="CA52" s="1"/>
    </row>
    <row r="53" spans="1:79" s="69" customForma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BW53" s="1"/>
      <c r="BX53" s="1"/>
      <c r="BY53" s="1"/>
      <c r="BZ53" s="1"/>
      <c r="CA53" s="1"/>
    </row>
    <row r="54" spans="1:79" s="69" customForma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BW54" s="1"/>
      <c r="BX54" s="1"/>
      <c r="BY54" s="1"/>
      <c r="BZ54" s="1"/>
      <c r="CA54" s="1"/>
    </row>
    <row r="55" spans="1:79" s="69" customForma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BW55" s="1"/>
      <c r="BX55" s="1"/>
      <c r="BY55" s="1"/>
      <c r="BZ55" s="1"/>
      <c r="CA55" s="1"/>
    </row>
    <row r="56" spans="1:79" s="69" customForma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BW56" s="1"/>
      <c r="BX56" s="1"/>
      <c r="BY56" s="1"/>
      <c r="BZ56" s="1"/>
      <c r="CA56" s="1"/>
    </row>
    <row r="57" spans="1:79" s="69" customForma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BW57" s="1"/>
      <c r="BX57" s="1"/>
      <c r="BY57" s="1"/>
      <c r="BZ57" s="1"/>
      <c r="CA57" s="1"/>
    </row>
    <row r="58" spans="1:79" s="69" customForma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BW58" s="1"/>
      <c r="BX58" s="1"/>
      <c r="BY58" s="1"/>
      <c r="BZ58" s="1"/>
      <c r="CA58" s="1"/>
    </row>
    <row r="59" spans="1:79" x14ac:dyDescent="0.2">
      <c r="T59" s="69"/>
      <c r="U59" s="69"/>
      <c r="V59" s="69"/>
      <c r="W59" s="69"/>
      <c r="X59" s="69"/>
      <c r="AJ59" s="69"/>
    </row>
    <row r="60" spans="1:79" s="69" customForma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BW60" s="1"/>
      <c r="BX60" s="1"/>
      <c r="BY60" s="1"/>
      <c r="BZ60" s="1"/>
      <c r="CA60" s="1"/>
    </row>
    <row r="61" spans="1:79" s="69" customForma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BW61" s="1"/>
      <c r="BX61" s="1"/>
      <c r="BY61" s="1"/>
      <c r="BZ61" s="1"/>
      <c r="CA61" s="1"/>
    </row>
    <row r="62" spans="1:79" s="69" customForma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BW62" s="1"/>
      <c r="BX62" s="1"/>
      <c r="BY62" s="1"/>
      <c r="BZ62" s="1"/>
      <c r="CA62" s="1"/>
    </row>
    <row r="63" spans="1:79" s="69" customForma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BW63" s="1"/>
      <c r="BX63" s="1"/>
      <c r="BY63" s="1"/>
      <c r="BZ63" s="1"/>
      <c r="CA63" s="1"/>
    </row>
    <row r="64" spans="1:79" s="69" customForma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BW64" s="1"/>
      <c r="BX64" s="1"/>
      <c r="BY64" s="1"/>
      <c r="BZ64" s="1"/>
      <c r="CA64" s="1"/>
    </row>
    <row r="65" spans="1:79" s="69" customForma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BW65" s="1"/>
      <c r="BX65" s="1"/>
      <c r="BY65" s="1"/>
      <c r="BZ65" s="1"/>
      <c r="CA65" s="1"/>
    </row>
    <row r="66" spans="1:79" s="69" customForma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BW66" s="1"/>
      <c r="BX66" s="1"/>
      <c r="BY66" s="1"/>
      <c r="BZ66" s="1"/>
      <c r="CA66" s="1"/>
    </row>
    <row r="67" spans="1:79" s="69" customForma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BW67" s="1"/>
      <c r="BX67" s="1"/>
      <c r="BY67" s="1"/>
      <c r="BZ67" s="1"/>
      <c r="CA67" s="1"/>
    </row>
    <row r="68" spans="1:79" s="69" customForma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BW68" s="1"/>
      <c r="BX68" s="1"/>
      <c r="BY68" s="1"/>
      <c r="BZ68" s="1"/>
      <c r="CA68" s="1"/>
    </row>
    <row r="69" spans="1:79" s="69" customForma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BW69" s="1"/>
      <c r="BX69" s="1"/>
      <c r="BY69" s="1"/>
      <c r="BZ69" s="1"/>
      <c r="CA69" s="1"/>
    </row>
    <row r="70" spans="1:79" s="69" customForma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BW70" s="1"/>
      <c r="BX70" s="1"/>
      <c r="BY70" s="1"/>
      <c r="BZ70" s="1"/>
      <c r="CA70" s="1"/>
    </row>
    <row r="71" spans="1:79" s="69" customForma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BW71" s="1"/>
      <c r="BX71" s="1"/>
      <c r="BY71" s="1"/>
      <c r="BZ71" s="1"/>
      <c r="CA71" s="1"/>
    </row>
    <row r="72" spans="1:79" s="69" customForma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BW72" s="1"/>
      <c r="BX72" s="1"/>
      <c r="BY72" s="1"/>
      <c r="BZ72" s="1"/>
      <c r="CA72" s="1"/>
    </row>
    <row r="73" spans="1:79" s="69" customForma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BW73" s="1"/>
      <c r="BX73" s="1"/>
      <c r="BY73" s="1"/>
      <c r="BZ73" s="1"/>
      <c r="CA73" s="1"/>
    </row>
    <row r="74" spans="1:79" s="69" customForma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BW74" s="1"/>
      <c r="BX74" s="1"/>
      <c r="BY74" s="1"/>
      <c r="BZ74" s="1"/>
      <c r="CA74" s="1"/>
    </row>
    <row r="75" spans="1:79" s="69" customForma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BW75" s="1"/>
      <c r="BX75" s="1"/>
      <c r="BY75" s="1"/>
      <c r="BZ75" s="1"/>
      <c r="CA75" s="1"/>
    </row>
    <row r="76" spans="1:79" s="69" customForma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BW76" s="1"/>
      <c r="BX76" s="1"/>
      <c r="BY76" s="1"/>
      <c r="BZ76" s="1"/>
      <c r="CA76" s="1"/>
    </row>
    <row r="77" spans="1:79" s="69" customForma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BW77" s="1"/>
      <c r="BX77" s="1"/>
      <c r="BY77" s="1"/>
      <c r="BZ77" s="1"/>
      <c r="CA77" s="1"/>
    </row>
    <row r="78" spans="1:79" s="69" customForma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BW78" s="1"/>
      <c r="BX78" s="1"/>
      <c r="BY78" s="1"/>
      <c r="BZ78" s="1"/>
      <c r="CA78" s="1"/>
    </row>
    <row r="79" spans="1:79" s="69" customForma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BW79" s="1"/>
      <c r="BX79" s="1"/>
      <c r="BY79" s="1"/>
      <c r="BZ79" s="1"/>
      <c r="CA79" s="1"/>
    </row>
    <row r="80" spans="1:79" s="69" customForma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BW80" s="1"/>
      <c r="BX80" s="1"/>
      <c r="BY80" s="1"/>
      <c r="BZ80" s="1"/>
      <c r="CA80" s="1"/>
    </row>
    <row r="81" spans="1:79" s="69" customForma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BW81" s="1"/>
      <c r="BX81" s="1"/>
      <c r="BY81" s="1"/>
      <c r="BZ81" s="1"/>
      <c r="CA81" s="1"/>
    </row>
    <row r="82" spans="1:79" s="69" customForma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BW82" s="1"/>
      <c r="BX82" s="1"/>
      <c r="BY82" s="1"/>
      <c r="BZ82" s="1"/>
      <c r="CA82" s="1"/>
    </row>
    <row r="83" spans="1:79" s="69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BW83" s="1"/>
      <c r="BX83" s="1"/>
      <c r="BY83" s="1"/>
      <c r="BZ83" s="1"/>
      <c r="CA83" s="1"/>
    </row>
    <row r="84" spans="1:79" s="69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BW84" s="1"/>
      <c r="BX84" s="1"/>
      <c r="BY84" s="1"/>
      <c r="BZ84" s="1"/>
      <c r="CA84" s="1"/>
    </row>
    <row r="85" spans="1:79" s="69" customForma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BW85" s="1"/>
      <c r="BX85" s="1"/>
      <c r="BY85" s="1"/>
      <c r="BZ85" s="1"/>
      <c r="CA85" s="1"/>
    </row>
    <row r="86" spans="1:79" s="69" customForma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BW86" s="1"/>
      <c r="BX86" s="1"/>
      <c r="BY86" s="1"/>
      <c r="BZ86" s="1"/>
      <c r="CA86" s="1"/>
    </row>
    <row r="87" spans="1:79" s="69" customForma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BW87" s="1"/>
      <c r="BX87" s="1"/>
      <c r="BY87" s="1"/>
      <c r="BZ87" s="1"/>
      <c r="CA87" s="1"/>
    </row>
    <row r="88" spans="1:79" x14ac:dyDescent="0.2">
      <c r="AJ88" s="69"/>
    </row>
    <row r="89" spans="1:79" s="69" customForma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BW89" s="1"/>
      <c r="BX89" s="1"/>
      <c r="BY89" s="1"/>
      <c r="BZ89" s="1"/>
      <c r="CA89" s="1"/>
    </row>
    <row r="90" spans="1:79" s="69" customForma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BW90" s="1"/>
      <c r="BX90" s="1"/>
      <c r="BY90" s="1"/>
      <c r="BZ90" s="1"/>
      <c r="CA90" s="1"/>
    </row>
    <row r="91" spans="1:79" s="69" customForma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BW91" s="1"/>
      <c r="BX91" s="1"/>
      <c r="BY91" s="1"/>
      <c r="BZ91" s="1"/>
      <c r="CA91" s="1"/>
    </row>
    <row r="92" spans="1:79" s="69" customForma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BW92" s="1"/>
      <c r="BX92" s="1"/>
      <c r="BY92" s="1"/>
      <c r="BZ92" s="1"/>
      <c r="CA92" s="1"/>
    </row>
    <row r="93" spans="1:79" s="69" customForma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BW93" s="1"/>
      <c r="BX93" s="1"/>
      <c r="BY93" s="1"/>
      <c r="BZ93" s="1"/>
      <c r="CA93" s="1"/>
    </row>
    <row r="94" spans="1:79" s="69" customForma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BW94" s="1"/>
      <c r="BX94" s="1"/>
      <c r="BY94" s="1"/>
      <c r="BZ94" s="1"/>
      <c r="CA94" s="1"/>
    </row>
    <row r="95" spans="1:79" s="69" customForma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BW95" s="1"/>
      <c r="BX95" s="1"/>
      <c r="BY95" s="1"/>
      <c r="BZ95" s="1"/>
      <c r="CA95" s="1"/>
    </row>
    <row r="96" spans="1:79" s="69" customForma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BW96" s="1"/>
      <c r="BX96" s="1"/>
      <c r="BY96" s="1"/>
      <c r="BZ96" s="1"/>
      <c r="CA96" s="1"/>
    </row>
    <row r="97" spans="1:79" s="69" customForma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BW97" s="1"/>
      <c r="BX97" s="1"/>
      <c r="BY97" s="1"/>
      <c r="BZ97" s="1"/>
      <c r="CA97" s="1"/>
    </row>
    <row r="98" spans="1:79" s="69" customForma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BW98" s="1"/>
      <c r="BX98" s="1"/>
      <c r="BY98" s="1"/>
      <c r="BZ98" s="1"/>
      <c r="CA98" s="1"/>
    </row>
    <row r="99" spans="1:79" s="69" customForma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BW99" s="1"/>
      <c r="BX99" s="1"/>
      <c r="BY99" s="1"/>
      <c r="BZ99" s="1"/>
      <c r="CA99" s="1"/>
    </row>
    <row r="100" spans="1:79" s="69" customForma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BW100" s="1"/>
      <c r="BX100" s="1"/>
      <c r="BY100" s="1"/>
      <c r="BZ100" s="1"/>
      <c r="CA100" s="1"/>
    </row>
    <row r="101" spans="1:79" s="69" customForma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BW101" s="1"/>
      <c r="BX101" s="1"/>
      <c r="BY101" s="1"/>
      <c r="BZ101" s="1"/>
      <c r="CA101" s="1"/>
    </row>
    <row r="102" spans="1:79" s="69" customForma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BW102" s="1"/>
      <c r="BX102" s="1"/>
      <c r="BY102" s="1"/>
      <c r="BZ102" s="1"/>
      <c r="CA102" s="1"/>
    </row>
    <row r="103" spans="1:79" s="69" customForma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BW103" s="1"/>
      <c r="BX103" s="1"/>
      <c r="BY103" s="1"/>
      <c r="BZ103" s="1"/>
      <c r="CA103" s="1"/>
    </row>
    <row r="104" spans="1:79" s="69" customForma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BW104" s="1"/>
      <c r="BX104" s="1"/>
      <c r="BY104" s="1"/>
      <c r="BZ104" s="1"/>
      <c r="CA104" s="1"/>
    </row>
    <row r="105" spans="1:79" s="69" customForma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BW105" s="1"/>
      <c r="BX105" s="1"/>
      <c r="BY105" s="1"/>
      <c r="BZ105" s="1"/>
      <c r="CA105" s="1"/>
    </row>
    <row r="106" spans="1:79" s="69" customForma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BW106" s="1"/>
      <c r="BX106" s="1"/>
      <c r="BY106" s="1"/>
      <c r="BZ106" s="1"/>
      <c r="CA106" s="1"/>
    </row>
    <row r="107" spans="1:79" s="69" customForma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BW107" s="1"/>
      <c r="BX107" s="1"/>
      <c r="BY107" s="1"/>
      <c r="BZ107" s="1"/>
      <c r="CA107" s="1"/>
    </row>
    <row r="108" spans="1:79" s="69" customForma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84"/>
      <c r="AK108" s="185"/>
      <c r="AL108" s="118"/>
      <c r="AM108" s="186"/>
      <c r="AN108" s="187"/>
      <c r="AP108" s="188"/>
      <c r="AR108" s="188"/>
      <c r="AT108" s="188"/>
      <c r="AV108" s="188"/>
      <c r="AX108" s="188"/>
      <c r="AZ108" s="188"/>
      <c r="BB108" s="188"/>
      <c r="BD108" s="188"/>
      <c r="BF108" s="188"/>
      <c r="BH108" s="188"/>
      <c r="BJ108" s="188"/>
      <c r="BW108" s="1"/>
      <c r="BX108" s="1"/>
      <c r="BY108" s="1"/>
      <c r="BZ108" s="1"/>
      <c r="CA108" s="1"/>
    </row>
    <row r="109" spans="1:79" s="69" customForma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BW109" s="1"/>
      <c r="BX109" s="1"/>
      <c r="BY109" s="1"/>
      <c r="BZ109" s="1"/>
      <c r="CA109" s="1"/>
    </row>
    <row r="110" spans="1:79" s="69" customForma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BW110" s="1"/>
      <c r="BX110" s="1"/>
      <c r="BY110" s="1"/>
      <c r="BZ110" s="1"/>
      <c r="CA110" s="1"/>
    </row>
    <row r="111" spans="1:79" s="69" customForma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BW111" s="1"/>
      <c r="BX111" s="1"/>
      <c r="BY111" s="1"/>
      <c r="BZ111" s="1"/>
      <c r="CA111" s="1"/>
    </row>
    <row r="112" spans="1:79" s="69" customForma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BW112" s="1"/>
      <c r="BX112" s="1"/>
      <c r="BY112" s="1"/>
      <c r="BZ112" s="1"/>
      <c r="CA112" s="1"/>
    </row>
    <row r="113" spans="1:79" s="69" customForma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BW113" s="1"/>
      <c r="BX113" s="1"/>
      <c r="BY113" s="1"/>
      <c r="BZ113" s="1"/>
      <c r="CA113" s="1"/>
    </row>
    <row r="114" spans="1:79" s="69" customForma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BW114" s="1"/>
      <c r="BX114" s="1"/>
      <c r="BY114" s="1"/>
      <c r="BZ114" s="1"/>
      <c r="CA114" s="1"/>
    </row>
    <row r="115" spans="1:79" s="69" customForma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BW115" s="1"/>
      <c r="BX115" s="1"/>
      <c r="BY115" s="1"/>
      <c r="BZ115" s="1"/>
      <c r="CA115" s="1"/>
    </row>
    <row r="116" spans="1:79" s="69" customForma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BW116" s="1"/>
      <c r="BX116" s="1"/>
      <c r="BY116" s="1"/>
      <c r="BZ116" s="1"/>
      <c r="CA116" s="1"/>
    </row>
  </sheetData>
  <conditionalFormatting sqref="S6:S11">
    <cfRule type="cellIs" dxfId="80" priority="104" operator="lessThan">
      <formula>0</formula>
    </cfRule>
    <cfRule type="cellIs" dxfId="79" priority="105" operator="greaterThan">
      <formula>0</formula>
    </cfRule>
  </conditionalFormatting>
  <conditionalFormatting sqref="U25:X27">
    <cfRule type="cellIs" dxfId="78" priority="53" operator="greaterThan">
      <formula>0</formula>
    </cfRule>
    <cfRule type="cellIs" dxfId="77" priority="52" operator="lessThan">
      <formula>0</formula>
    </cfRule>
  </conditionalFormatting>
  <conditionalFormatting sqref="U30:X32">
    <cfRule type="cellIs" dxfId="76" priority="44" operator="lessThan">
      <formula>0</formula>
    </cfRule>
    <cfRule type="cellIs" dxfId="75" priority="45" operator="greaterThan">
      <formula>0</formula>
    </cfRule>
  </conditionalFormatting>
  <conditionalFormatting sqref="U35:X38">
    <cfRule type="cellIs" dxfId="74" priority="72" operator="lessThan">
      <formula>0</formula>
    </cfRule>
    <cfRule type="cellIs" dxfId="73" priority="73" operator="greaterThan">
      <formula>0</formula>
    </cfRule>
  </conditionalFormatting>
  <conditionalFormatting sqref="V13:W13">
    <cfRule type="cellIs" dxfId="72" priority="68" operator="lessThan">
      <formula>0</formula>
    </cfRule>
  </conditionalFormatting>
  <conditionalFormatting sqref="V13:X13">
    <cfRule type="cellIs" dxfId="71" priority="67" operator="greaterThan">
      <formula>0</formula>
    </cfRule>
  </conditionalFormatting>
  <conditionalFormatting sqref="W14 AC14">
    <cfRule type="expression" dxfId="70" priority="126">
      <formula>#REF!&gt;#REF!</formula>
    </cfRule>
  </conditionalFormatting>
  <conditionalFormatting sqref="X6:X9 T10:U10">
    <cfRule type="cellIs" dxfId="69" priority="86" operator="lessThan">
      <formula>0</formula>
    </cfRule>
    <cfRule type="cellIs" dxfId="68" priority="87" operator="greaterThan">
      <formula>0</formula>
    </cfRule>
  </conditionalFormatting>
  <conditionalFormatting sqref="X13:X14">
    <cfRule type="cellIs" dxfId="67" priority="64" operator="lessThan">
      <formula>0</formula>
    </cfRule>
  </conditionalFormatting>
  <conditionalFormatting sqref="X14">
    <cfRule type="cellIs" dxfId="66" priority="65" operator="greaterThan">
      <formula>0</formula>
    </cfRule>
  </conditionalFormatting>
  <conditionalFormatting sqref="AA25:AD27">
    <cfRule type="cellIs" dxfId="65" priority="1" operator="lessThan">
      <formula>0</formula>
    </cfRule>
    <cfRule type="cellIs" dxfId="64" priority="2" operator="greaterThan">
      <formula>0</formula>
    </cfRule>
  </conditionalFormatting>
  <conditionalFormatting sqref="AA30:AD32">
    <cfRule type="cellIs" dxfId="63" priority="19" operator="lessThan">
      <formula>0</formula>
    </cfRule>
    <cfRule type="cellIs" dxfId="62" priority="20" operator="greaterThan">
      <formula>0</formula>
    </cfRule>
  </conditionalFormatting>
  <conditionalFormatting sqref="AA35:AD38">
    <cfRule type="cellIs" dxfId="61" priority="106" operator="lessThan">
      <formula>0</formula>
    </cfRule>
    <cfRule type="cellIs" dxfId="60" priority="107" operator="greaterThan">
      <formula>0</formula>
    </cfRule>
  </conditionalFormatting>
  <conditionalFormatting sqref="AB13:AD13">
    <cfRule type="cellIs" dxfId="59" priority="100" operator="lessThan">
      <formula>0</formula>
    </cfRule>
    <cfRule type="cellIs" dxfId="58" priority="101" operator="greaterThan">
      <formula>0</formula>
    </cfRule>
  </conditionalFormatting>
  <conditionalFormatting sqref="AD6:AD9 Z10:AA10">
    <cfRule type="cellIs" dxfId="57" priority="124" operator="lessThan">
      <formula>0</formula>
    </cfRule>
    <cfRule type="cellIs" dxfId="56" priority="125" operator="greaterThan">
      <formula>0</formula>
    </cfRule>
  </conditionalFormatting>
  <conditionalFormatting sqref="AD14">
    <cfRule type="cellIs" dxfId="55" priority="98" operator="lessThan">
      <formula>0</formula>
    </cfRule>
    <cfRule type="cellIs" dxfId="54" priority="99" operator="greaterThan">
      <formula>0</formula>
    </cfRule>
  </conditionalFormatting>
  <pageMargins left="0.7" right="0.7" top="0.75" bottom="0.75" header="0.3" footer="0.3"/>
  <pageSetup orientation="portrait" verticalDpi="300" r:id="rId1"/>
  <customProperties>
    <customPr name="_pios_id" r:id="rId2"/>
  </customProperties>
  <ignoredErrors>
    <ignoredError sqref="AH44 AH26 F8:Q8 F15:Q15 V37:X37 AB37:AD37" formula="1"/>
  </ignoredErrors>
  <drawing r:id="rId3"/>
  <legacyDrawing r:id="rId4"/>
  <controls>
    <mc:AlternateContent xmlns:mc="http://schemas.openxmlformats.org/markup-compatibility/2006">
      <mc:Choice Requires="x14">
        <control shapeId="570372" r:id="rId5" name="AnalyzerDynReport000tb1">
          <controlPr defaultSize="0" autoLine="0" autoPict="0" r:id="rId6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314325</xdr:colOff>
                <xdr:row>0</xdr:row>
                <xdr:rowOff>0</xdr:rowOff>
              </to>
            </anchor>
          </controlPr>
        </control>
      </mc:Choice>
      <mc:Fallback>
        <control shapeId="570372" r:id="rId5" name="AnalyzerDynReport000tb1"/>
      </mc:Fallback>
    </mc:AlternateContent>
    <mc:AlternateContent xmlns:mc="http://schemas.openxmlformats.org/markup-compatibility/2006">
      <mc:Choice Requires="x14">
        <control shapeId="570371" r:id="rId7" name="MultipleReportManagerInfotb1">
          <controlPr defaultSize="0" autoLine="0" autoPict="0" r:id="rId8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314325</xdr:colOff>
                <xdr:row>0</xdr:row>
                <xdr:rowOff>0</xdr:rowOff>
              </to>
            </anchor>
          </controlPr>
        </control>
      </mc:Choice>
      <mc:Fallback>
        <control shapeId="570371" r:id="rId7" name="MultipleReportManagerInfotb1"/>
      </mc:Fallback>
    </mc:AlternateContent>
    <mc:AlternateContent xmlns:mc="http://schemas.openxmlformats.org/markup-compatibility/2006">
      <mc:Choice Requires="x14">
        <control shapeId="570370" r:id="rId9" name="ConnectionDescriptorsInfotb1">
          <controlPr defaultSize="0" autoLine="0" autoPict="0" r:id="rId10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314325</xdr:colOff>
                <xdr:row>0</xdr:row>
                <xdr:rowOff>0</xdr:rowOff>
              </to>
            </anchor>
          </controlPr>
        </control>
      </mc:Choice>
      <mc:Fallback>
        <control shapeId="570370" r:id="rId9" name="ConnectionDescriptorsInfotb1"/>
      </mc:Fallback>
    </mc:AlternateContent>
    <mc:AlternateContent xmlns:mc="http://schemas.openxmlformats.org/markup-compatibility/2006">
      <mc:Choice Requires="x14">
        <control shapeId="570369" r:id="rId11" name="FPMExcelClientSheetOptionstb1">
          <controlPr defaultSize="0" autoLine="0" r:id="rId12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570369" r:id="rId11" name="FPMExcelClientSheetOptionstb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110AEC-96C2-49FC-B107-40367292A722}">
          <x14:formula1>
            <xm:f>Mapping!$A$2:$A$19</xm:f>
          </x14:formula1>
          <xm:sqref>E2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9F924-D697-42C5-9149-A70B4700014E}">
  <sheetPr codeName="Sheet96">
    <tabColor rgb="FF50B47F"/>
  </sheetPr>
  <dimension ref="A1:CE116"/>
  <sheetViews>
    <sheetView showGridLines="0" topLeftCell="D1" zoomScaleNormal="100" workbookViewId="0">
      <selection activeCell="E2" sqref="E2"/>
    </sheetView>
  </sheetViews>
  <sheetFormatPr defaultColWidth="8.7109375" defaultRowHeight="12.75" outlineLevelCol="1" x14ac:dyDescent="0.2"/>
  <cols>
    <col min="1" max="1" width="26.42578125" style="1" hidden="1" customWidth="1" outlineLevel="1"/>
    <col min="2" max="2" width="19.140625" style="1" hidden="1" customWidth="1" outlineLevel="1"/>
    <col min="3" max="3" width="8.7109375" style="1" hidden="1" customWidth="1" outlineLevel="1"/>
    <col min="4" max="4" width="2.7109375" style="1" customWidth="1" collapsed="1"/>
    <col min="5" max="5" width="28.85546875" style="1" customWidth="1"/>
    <col min="6" max="17" width="11.7109375" style="1" customWidth="1"/>
    <col min="18" max="18" width="10.28515625" style="1" customWidth="1"/>
    <col min="19" max="19" width="2.28515625" style="1" customWidth="1"/>
    <col min="20" max="20" width="19" style="1" customWidth="1"/>
    <col min="21" max="24" width="8.7109375" style="1" customWidth="1"/>
    <col min="25" max="25" width="3" style="1" customWidth="1"/>
    <col min="26" max="26" width="19" style="1" customWidth="1"/>
    <col min="27" max="27" width="11" style="1" customWidth="1"/>
    <col min="28" max="30" width="8.7109375" style="1" customWidth="1"/>
    <col min="31" max="32" width="12.7109375" style="1" customWidth="1"/>
    <col min="33" max="33" width="28.42578125" style="1" hidden="1" customWidth="1" outlineLevel="1"/>
    <col min="34" max="34" width="15.5703125" style="1" hidden="1" customWidth="1" outlineLevel="1"/>
    <col min="35" max="35" width="9.85546875" style="1" hidden="1" customWidth="1" outlineLevel="1"/>
    <col min="36" max="36" width="9.42578125" style="1" hidden="1" customWidth="1" outlineLevel="1"/>
    <col min="37" max="37" width="10.140625" style="69" hidden="1" customWidth="1" outlineLevel="1"/>
    <col min="38" max="38" width="9.85546875" style="69" hidden="1" customWidth="1" outlineLevel="1"/>
    <col min="39" max="39" width="10.140625" style="69" hidden="1" customWidth="1" outlineLevel="1"/>
    <col min="40" max="41" width="9.42578125" style="69" hidden="1" customWidth="1" outlineLevel="1"/>
    <col min="42" max="42" width="10.140625" style="69" hidden="1" customWidth="1" outlineLevel="1"/>
    <col min="43" max="43" width="9.85546875" style="69" hidden="1" customWidth="1" outlineLevel="1"/>
    <col min="44" max="44" width="10.140625" style="69" hidden="1" customWidth="1" outlineLevel="1"/>
    <col min="45" max="46" width="9.85546875" style="69" hidden="1" customWidth="1" outlineLevel="1"/>
    <col min="47" max="47" width="11.28515625" style="69" hidden="1" customWidth="1" outlineLevel="1"/>
    <col min="48" max="48" width="9.42578125" style="69" hidden="1" customWidth="1" outlineLevel="1"/>
    <col min="49" max="49" width="10.140625" style="69" hidden="1" customWidth="1" outlineLevel="1"/>
    <col min="50" max="50" width="9.85546875" style="69" hidden="1" customWidth="1" outlineLevel="1"/>
    <col min="51" max="51" width="10.140625" style="69" hidden="1" customWidth="1" outlineLevel="1"/>
    <col min="52" max="52" width="9.42578125" style="69" hidden="1" customWidth="1" outlineLevel="1"/>
    <col min="53" max="53" width="9.140625" style="69" hidden="1" customWidth="1" outlineLevel="1"/>
    <col min="54" max="54" width="9.85546875" style="69" hidden="1" customWidth="1" outlineLevel="1"/>
    <col min="55" max="56" width="9.42578125" style="69" hidden="1" customWidth="1" outlineLevel="1"/>
    <col min="57" max="57" width="9.85546875" style="69" hidden="1" customWidth="1" outlineLevel="1"/>
    <col min="58" max="58" width="18.140625" style="69" hidden="1" customWidth="1" outlineLevel="1"/>
    <col min="59" max="59" width="17.7109375" style="69" hidden="1" customWidth="1" outlineLevel="1"/>
    <col min="60" max="71" width="10.7109375" style="69" hidden="1" customWidth="1" outlineLevel="1"/>
    <col min="72" max="72" width="17.42578125" style="69" customWidth="1" collapsed="1"/>
    <col min="73" max="73" width="12.7109375" style="69" customWidth="1"/>
    <col min="74" max="74" width="15.42578125" style="69" customWidth="1"/>
    <col min="75" max="208" width="9.7109375" style="1" customWidth="1"/>
    <col min="209" max="16384" width="8.7109375" style="1"/>
  </cols>
  <sheetData>
    <row r="1" spans="1:83" x14ac:dyDescent="0.2">
      <c r="J1" s="67"/>
      <c r="U1" s="29"/>
      <c r="AG1" s="68"/>
      <c r="AH1" s="68"/>
      <c r="AI1" s="68"/>
      <c r="AJ1" s="69"/>
      <c r="BW1" s="69"/>
      <c r="BX1" s="70"/>
      <c r="BY1" s="70"/>
      <c r="BZ1" s="70"/>
      <c r="CA1" s="70"/>
    </row>
    <row r="2" spans="1:83" ht="16.899999999999999" customHeight="1" x14ac:dyDescent="0.2">
      <c r="E2" s="71" t="s">
        <v>94</v>
      </c>
      <c r="I2" s="67"/>
      <c r="J2" s="67"/>
      <c r="K2" s="67"/>
      <c r="L2" s="67"/>
      <c r="M2" s="67"/>
      <c r="N2" s="72"/>
      <c r="O2" s="72"/>
      <c r="P2" s="67"/>
      <c r="Q2" s="67"/>
      <c r="R2" s="73"/>
      <c r="S2" s="74"/>
      <c r="AG2" s="68"/>
      <c r="AH2" s="68"/>
      <c r="AI2" s="68"/>
      <c r="AJ2" s="69"/>
    </row>
    <row r="3" spans="1:83" ht="10.15" customHeight="1" x14ac:dyDescent="0.35">
      <c r="E3" s="75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6"/>
      <c r="S3" s="74"/>
      <c r="AG3" s="68"/>
      <c r="AH3" s="68"/>
      <c r="AI3" s="68"/>
      <c r="AJ3" s="69"/>
    </row>
    <row r="4" spans="1:83" ht="17.25" customHeight="1" x14ac:dyDescent="0.25">
      <c r="E4" s="77"/>
      <c r="T4" s="78" t="s">
        <v>54</v>
      </c>
      <c r="Z4" s="78" t="s">
        <v>98</v>
      </c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BF4" s="6" t="s">
        <v>85</v>
      </c>
      <c r="BG4" s="6" t="s">
        <v>84</v>
      </c>
    </row>
    <row r="5" spans="1:83" ht="15.75" x14ac:dyDescent="0.25">
      <c r="E5" s="71" t="s">
        <v>54</v>
      </c>
      <c r="F5" s="79" t="str">
        <f>Mapping!$D$2</f>
        <v>Jan</v>
      </c>
      <c r="G5" s="79" t="str">
        <f>Mapping!$D$3</f>
        <v>Feb</v>
      </c>
      <c r="H5" s="79" t="str">
        <f>Mapping!$D$4</f>
        <v>Mar</v>
      </c>
      <c r="I5" s="79" t="str">
        <f>Mapping!$D$5</f>
        <v>Apr</v>
      </c>
      <c r="J5" s="79" t="str">
        <f>Mapping!$D$6</f>
        <v>May</v>
      </c>
      <c r="K5" s="79" t="str">
        <f>Mapping!$D$7</f>
        <v>Jun</v>
      </c>
      <c r="L5" s="79" t="str">
        <f>Mapping!$D$8</f>
        <v>Jul</v>
      </c>
      <c r="M5" s="79" t="str">
        <f>Mapping!$D$9</f>
        <v>Aug</v>
      </c>
      <c r="N5" s="79" t="str">
        <f>Mapping!$D$10</f>
        <v>Sep</v>
      </c>
      <c r="O5" s="79" t="str">
        <f>Mapping!$D$11</f>
        <v>Oct</v>
      </c>
      <c r="P5" s="79" t="str">
        <f>Mapping!$D$12</f>
        <v>Nov</v>
      </c>
      <c r="Q5" s="79" t="str">
        <f>Mapping!$D$13</f>
        <v>Dec</v>
      </c>
      <c r="R5" s="80" t="s">
        <v>14</v>
      </c>
      <c r="S5" s="81"/>
      <c r="T5" s="82" t="str">
        <f>Z5</f>
        <v>Forecast based on:</v>
      </c>
      <c r="U5" s="83"/>
      <c r="V5" s="84"/>
      <c r="W5" s="85" t="str">
        <f>AC5</f>
        <v>FY</v>
      </c>
      <c r="X5" s="85" t="str">
        <f>AD5</f>
        <v>vs. LO</v>
      </c>
      <c r="Y5" s="68"/>
      <c r="Z5" s="82" t="s">
        <v>19</v>
      </c>
      <c r="AA5" s="83"/>
      <c r="AB5" s="84"/>
      <c r="AC5" s="85" t="s">
        <v>14</v>
      </c>
      <c r="AD5" s="86" t="s">
        <v>20</v>
      </c>
      <c r="AE5" s="68"/>
      <c r="AF5" s="68"/>
      <c r="AG5" s="87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BF5" s="88">
        <f>Summary!$D$3</f>
        <v>7</v>
      </c>
      <c r="BG5" s="88">
        <f>BF5-1</f>
        <v>6</v>
      </c>
    </row>
    <row r="6" spans="1:83" ht="15" x14ac:dyDescent="0.25">
      <c r="A6" s="89">
        <f>Summary!$C$2-2</f>
        <v>2018</v>
      </c>
      <c r="B6" s="90" t="str">
        <f>Mapping!$B$2</f>
        <v>Actual</v>
      </c>
      <c r="E6" s="91" t="str">
        <f>A6&amp;" "&amp;B6</f>
        <v>2018 Actual</v>
      </c>
      <c r="F6" s="92">
        <f>SUMIFS('Units sold'!$E:$E,'Units sold'!$A:$A,$E$2,'Units sold'!$B:$B,F$5&amp;" "&amp;$A6,'Units sold'!$C:$C,"Periodic")</f>
        <v>34</v>
      </c>
      <c r="G6" s="92">
        <f>SUMIFS('Units sold'!$E:$E,'Units sold'!$A:$A,$E$2,'Units sold'!$B:$B,G$5&amp;" "&amp;$A6,'Units sold'!$C:$C,"Periodic")</f>
        <v>28</v>
      </c>
      <c r="H6" s="92">
        <f>SUMIFS('Units sold'!$E:$E,'Units sold'!$A:$A,$E$2,'Units sold'!$B:$B,H$5&amp;" "&amp;$A6,'Units sold'!$C:$C,"Periodic")</f>
        <v>44</v>
      </c>
      <c r="I6" s="92">
        <f>SUMIFS('Units sold'!$E:$E,'Units sold'!$A:$A,$E$2,'Units sold'!$B:$B,I$5&amp;" "&amp;$A6,'Units sold'!$C:$C,"Periodic")</f>
        <v>44</v>
      </c>
      <c r="J6" s="92">
        <f>SUMIFS('Units sold'!$E:$E,'Units sold'!$A:$A,$E$2,'Units sold'!$B:$B,J$5&amp;" "&amp;$A6,'Units sold'!$C:$C,"Periodic")</f>
        <v>42</v>
      </c>
      <c r="K6" s="92">
        <f>SUMIFS('Units sold'!$E:$E,'Units sold'!$A:$A,$E$2,'Units sold'!$B:$B,K$5&amp;" "&amp;$A6,'Units sold'!$C:$C,"Periodic")</f>
        <v>44</v>
      </c>
      <c r="L6" s="92">
        <f>SUMIFS('Units sold'!$E:$E,'Units sold'!$A:$A,$E$2,'Units sold'!$B:$B,L$5&amp;" "&amp;$A6,'Units sold'!$C:$C,"Periodic")</f>
        <v>40</v>
      </c>
      <c r="M6" s="92">
        <f>SUMIFS('Units sold'!$E:$E,'Units sold'!$A:$A,$E$2,'Units sold'!$B:$B,M$5&amp;" "&amp;$A6,'Units sold'!$C:$C,"Periodic")</f>
        <v>56</v>
      </c>
      <c r="N6" s="92">
        <f>SUMIFS('Units sold'!$E:$E,'Units sold'!$A:$A,$E$2,'Units sold'!$B:$B,N$5&amp;" "&amp;$A6,'Units sold'!$C:$C,"Periodic")</f>
        <v>50</v>
      </c>
      <c r="O6" s="92">
        <f>SUMIFS('Units sold'!$E:$E,'Units sold'!$A:$A,$E$2,'Units sold'!$B:$B,O$5&amp;" "&amp;$A6,'Units sold'!$C:$C,"Periodic")</f>
        <v>58</v>
      </c>
      <c r="P6" s="92">
        <f>SUMIFS('Units sold'!$E:$E,'Units sold'!$A:$A,$E$2,'Units sold'!$B:$B,P$5&amp;" "&amp;$A6,'Units sold'!$C:$C,"Periodic")</f>
        <v>110</v>
      </c>
      <c r="Q6" s="92">
        <f>SUMIFS('Units sold'!$E:$E,'Units sold'!$A:$A,$E$2,'Units sold'!$B:$B,Q$5&amp;" "&amp;$A6,'Units sold'!$C:$C,"Periodic")</f>
        <v>92</v>
      </c>
      <c r="R6" s="93">
        <f t="shared" ref="R6:R10" si="0">SUM(F6:Q6)</f>
        <v>642</v>
      </c>
      <c r="S6" s="94"/>
      <c r="T6" s="95" t="str">
        <f t="shared" ref="T6:T9" si="1">Z6</f>
        <v>3-month Rolling Rate</v>
      </c>
      <c r="U6" s="96"/>
      <c r="V6" s="97"/>
      <c r="W6" s="98">
        <f>(SUM(AR8:AT8)/3*Summary!$E$3)+R9</f>
        <v>2784</v>
      </c>
      <c r="X6" s="99">
        <f>$W$6-$R$8</f>
        <v>-5931.1047472000009</v>
      </c>
      <c r="Y6" s="68"/>
      <c r="Z6" s="95" t="s">
        <v>129</v>
      </c>
      <c r="AA6" s="96"/>
      <c r="AB6" s="97"/>
      <c r="AC6" s="98">
        <f>(SUM(AR9:AT9)/3*Summary!$E$3)+R16</f>
        <v>1731.7656407459999</v>
      </c>
      <c r="AD6" s="99">
        <f>$AC$6-$R$15</f>
        <v>-3189.5909172742486</v>
      </c>
      <c r="AE6" s="27"/>
      <c r="AF6" s="68"/>
      <c r="AG6" s="87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BF6" s="6" t="s">
        <v>27</v>
      </c>
      <c r="BG6" s="100">
        <v>1</v>
      </c>
      <c r="BH6" s="100">
        <v>2</v>
      </c>
      <c r="BI6" s="100">
        <v>3</v>
      </c>
      <c r="BJ6" s="100">
        <v>4</v>
      </c>
      <c r="BK6" s="100">
        <v>5</v>
      </c>
      <c r="BL6" s="100">
        <v>6</v>
      </c>
      <c r="BM6" s="100">
        <v>7</v>
      </c>
      <c r="BN6" s="100">
        <v>8</v>
      </c>
      <c r="BO6" s="100">
        <v>9</v>
      </c>
      <c r="BP6" s="100">
        <v>10</v>
      </c>
      <c r="BQ6" s="100">
        <v>11</v>
      </c>
      <c r="BR6" s="100">
        <v>12</v>
      </c>
    </row>
    <row r="7" spans="1:83" ht="15" x14ac:dyDescent="0.25">
      <c r="A7" s="89">
        <f>Summary!$C$2-1</f>
        <v>2019</v>
      </c>
      <c r="B7" s="90" t="str">
        <f>Mapping!$B$2</f>
        <v>Actual</v>
      </c>
      <c r="E7" s="91" t="str">
        <f>A7&amp;" "&amp;B7</f>
        <v>2019 Actual</v>
      </c>
      <c r="F7" s="92">
        <f>SUMIFS('Units sold'!$E:$E,'Units sold'!$A:$A,$E$2,'Units sold'!$B:$B,F$5&amp;" "&amp;$A7,'Units sold'!$C:$C,"Periodic")</f>
        <v>128</v>
      </c>
      <c r="G7" s="92">
        <f>SUMIFS('Units sold'!$E:$E,'Units sold'!$A:$A,$E$2,'Units sold'!$B:$B,G$5&amp;" "&amp;$A7,'Units sold'!$C:$C,"Periodic")</f>
        <v>74</v>
      </c>
      <c r="H7" s="92">
        <f>SUMIFS('Units sold'!$E:$E,'Units sold'!$A:$A,$E$2,'Units sold'!$B:$B,H$5&amp;" "&amp;$A7,'Units sold'!$C:$C,"Periodic")</f>
        <v>108</v>
      </c>
      <c r="I7" s="92">
        <f>SUMIFS('Units sold'!$E:$E,'Units sold'!$A:$A,$E$2,'Units sold'!$B:$B,I$5&amp;" "&amp;$A7,'Units sold'!$C:$C,"Periodic")</f>
        <v>92</v>
      </c>
      <c r="J7" s="92">
        <f>SUMIFS('Units sold'!$E:$E,'Units sold'!$A:$A,$E$2,'Units sold'!$B:$B,J$5&amp;" "&amp;$A7,'Units sold'!$C:$C,"Periodic")</f>
        <v>104</v>
      </c>
      <c r="K7" s="92">
        <f>SUMIFS('Units sold'!$E:$E,'Units sold'!$A:$A,$E$2,'Units sold'!$B:$B,K$5&amp;" "&amp;$A7,'Units sold'!$C:$C,"Periodic")</f>
        <v>206</v>
      </c>
      <c r="L7" s="92">
        <f>SUMIFS('Units sold'!$E:$E,'Units sold'!$A:$A,$E$2,'Units sold'!$B:$B,L$5&amp;" "&amp;$A7,'Units sold'!$C:$C,"Periodic")</f>
        <v>232</v>
      </c>
      <c r="M7" s="92">
        <f>SUMIFS('Units sold'!$E:$E,'Units sold'!$A:$A,$E$2,'Units sold'!$B:$B,M$5&amp;" "&amp;$A7,'Units sold'!$C:$C,"Periodic")</f>
        <v>234</v>
      </c>
      <c r="N7" s="92">
        <f>SUMIFS('Units sold'!$E:$E,'Units sold'!$A:$A,$E$2,'Units sold'!$B:$B,N$5&amp;" "&amp;$A7,'Units sold'!$C:$C,"Periodic")</f>
        <v>270</v>
      </c>
      <c r="O7" s="92">
        <f>SUMIFS('Units sold'!$E:$E,'Units sold'!$A:$A,$E$2,'Units sold'!$B:$B,O$5&amp;" "&amp;$A7,'Units sold'!$C:$C,"Periodic")</f>
        <v>320</v>
      </c>
      <c r="P7" s="92">
        <f>SUMIFS('Units sold'!$E:$E,'Units sold'!$A:$A,$E$2,'Units sold'!$B:$B,P$5&amp;" "&amp;$A7,'Units sold'!$C:$C,"Periodic")</f>
        <v>378</v>
      </c>
      <c r="Q7" s="92">
        <f>SUMIFS('Units sold'!$E:$E,'Units sold'!$A:$A,$E$2,'Units sold'!$B:$B,Q$5&amp;" "&amp;$A7,'Units sold'!$C:$C,"Periodic")</f>
        <v>426</v>
      </c>
      <c r="R7" s="93">
        <f t="shared" si="0"/>
        <v>2572</v>
      </c>
      <c r="S7" s="94"/>
      <c r="T7" s="101" t="str">
        <f t="shared" si="1"/>
        <v>2020 Trend 6 months</v>
      </c>
      <c r="V7" s="102"/>
      <c r="W7" s="103">
        <f>BS22</f>
        <v>6567.8918565272734</v>
      </c>
      <c r="X7" s="99">
        <f>$W$7-$R$8</f>
        <v>-2147.2128906727276</v>
      </c>
      <c r="Y7" s="68"/>
      <c r="Z7" s="101" t="str">
        <f>A9&amp;" Trend 6 months"</f>
        <v>2020 Trend 6 months</v>
      </c>
      <c r="AB7" s="102"/>
      <c r="AC7" s="103">
        <f>BS40</f>
        <v>3747.0330396004028</v>
      </c>
      <c r="AD7" s="99">
        <f>$AC$7-$R$15</f>
        <v>-1174.3235184198456</v>
      </c>
      <c r="AE7" s="68"/>
      <c r="AF7" s="68"/>
      <c r="AG7" s="27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</row>
    <row r="8" spans="1:83" ht="15" x14ac:dyDescent="0.25">
      <c r="A8" s="89">
        <f>Summary!$C$2</f>
        <v>2020</v>
      </c>
      <c r="B8" s="90" t="str">
        <f>Mapping!$B$3</f>
        <v>Budget</v>
      </c>
      <c r="E8" s="105" t="str">
        <f>A8&amp;" "&amp;B8</f>
        <v>2020 Budget</v>
      </c>
      <c r="F8" s="106">
        <f>SUMIFS('Units sold'!$D:$D,'Units sold'!$A:$A,$E$2,'Units sold'!$B:$B,F$5&amp;" "&amp;$A8,'Units sold'!$C:$C,"Periodic")</f>
        <v>497.22690299999999</v>
      </c>
      <c r="G8" s="106">
        <f>SUMIFS('Units sold'!$D:$D,'Units sold'!$A:$A,$E$2,'Units sold'!$B:$B,G$5&amp;" "&amp;$A8,'Units sold'!$C:$C,"Periodic")</f>
        <v>524.20670719999998</v>
      </c>
      <c r="H8" s="106">
        <f>SUMIFS('Units sold'!$D:$D,'Units sold'!$A:$A,$E$2,'Units sold'!$B:$B,H$5&amp;" "&amp;$A8,'Units sold'!$C:$C,"Periodic")</f>
        <v>557.63668800000005</v>
      </c>
      <c r="I8" s="106">
        <f>SUMIFS('Units sold'!$D:$D,'Units sold'!$A:$A,$E$2,'Units sold'!$B:$B,I$5&amp;" "&amp;$A8,'Units sold'!$C:$C,"Periodic")</f>
        <v>574.18219959999999</v>
      </c>
      <c r="J8" s="106">
        <f>SUMIFS('Units sold'!$D:$D,'Units sold'!$A:$A,$E$2,'Units sold'!$B:$B,J$5&amp;" "&amp;$A8,'Units sold'!$C:$C,"Periodic")</f>
        <v>615.59459060000006</v>
      </c>
      <c r="K8" s="106">
        <f>SUMIFS('Units sold'!$D:$D,'Units sold'!$A:$A,$E$2,'Units sold'!$B:$B,K$5&amp;" "&amp;$A8,'Units sold'!$C:$C,"Periodic")</f>
        <v>652.83400160000008</v>
      </c>
      <c r="L8" s="106">
        <f>SUMIFS('Units sold'!$D:$D,'Units sold'!$A:$A,$E$2,'Units sold'!$B:$B,L$5&amp;" "&amp;$A8,'Units sold'!$C:$C,"Periodic")</f>
        <v>739.48349380000002</v>
      </c>
      <c r="M8" s="106">
        <f>SUMIFS('Units sold'!$D:$D,'Units sold'!$A:$A,$E$2,'Units sold'!$B:$B,M$5&amp;" "&amp;$A8,'Units sold'!$C:$C,"Periodic")</f>
        <v>786.80442240000002</v>
      </c>
      <c r="N8" s="106">
        <f>SUMIFS('Units sold'!$D:$D,'Units sold'!$A:$A,$E$2,'Units sold'!$B:$B,N$5&amp;" "&amp;$A8,'Units sold'!$C:$C,"Periodic")</f>
        <v>842.37312420000001</v>
      </c>
      <c r="O8" s="106">
        <f>SUMIFS('Units sold'!$D:$D,'Units sold'!$A:$A,$E$2,'Units sold'!$B:$B,O$5&amp;" "&amp;$A8,'Units sold'!$C:$C,"Periodic")</f>
        <v>907.37609739999994</v>
      </c>
      <c r="P8" s="106">
        <f>SUMIFS('Units sold'!$D:$D,'Units sold'!$A:$A,$E$2,'Units sold'!$B:$B,P$5&amp;" "&amp;$A8,'Units sold'!$C:$C,"Periodic")</f>
        <v>972.86586119999993</v>
      </c>
      <c r="Q8" s="106">
        <f>SUMIFS('Units sold'!$D:$D,'Units sold'!$A:$A,$E$2,'Units sold'!$B:$B,Q$5&amp;" "&amp;$A8,'Units sold'!$C:$C,"Periodic")</f>
        <v>1044.5206582000001</v>
      </c>
      <c r="R8" s="107">
        <f t="shared" si="0"/>
        <v>8715.1047472000009</v>
      </c>
      <c r="S8" s="94"/>
      <c r="T8" s="101" t="str">
        <f t="shared" si="1"/>
        <v>2020 Trend 12 months</v>
      </c>
      <c r="V8" s="102"/>
      <c r="W8" s="103">
        <f>BS23</f>
        <v>6908.885172035295</v>
      </c>
      <c r="X8" s="99">
        <f>$W$8-$R$8</f>
        <v>-1806.2195751647059</v>
      </c>
      <c r="Y8" s="68"/>
      <c r="Z8" s="101" t="str">
        <f>A9&amp;" Trend 12 months"</f>
        <v>2020 Trend 12 months</v>
      </c>
      <c r="AB8" s="102"/>
      <c r="AC8" s="103">
        <f>BS41</f>
        <v>3914.8643506411386</v>
      </c>
      <c r="AD8" s="99">
        <f>$AC$8-$R$15</f>
        <v>-1006.4922073791099</v>
      </c>
      <c r="AE8" s="68"/>
      <c r="AF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BF8" s="6" t="s">
        <v>28</v>
      </c>
      <c r="BG8" s="11">
        <f t="shared" ref="BG8:BL8" si="2">IF($BF$5=BG6,1,0)</f>
        <v>0</v>
      </c>
      <c r="BH8" s="11">
        <f t="shared" si="2"/>
        <v>0</v>
      </c>
      <c r="BI8" s="11">
        <f t="shared" si="2"/>
        <v>0</v>
      </c>
      <c r="BJ8" s="11">
        <f t="shared" si="2"/>
        <v>0</v>
      </c>
      <c r="BK8" s="11">
        <f t="shared" si="2"/>
        <v>0</v>
      </c>
      <c r="BL8" s="11">
        <f t="shared" si="2"/>
        <v>0</v>
      </c>
      <c r="BM8" s="11">
        <f>IF($BF$5=BM6,1,0)</f>
        <v>1</v>
      </c>
      <c r="BN8" s="11">
        <f t="shared" ref="BN8:BR8" si="3">IF($BF$5=BN6,1,0)</f>
        <v>0</v>
      </c>
      <c r="BO8" s="11">
        <f t="shared" si="3"/>
        <v>0</v>
      </c>
      <c r="BP8" s="11">
        <f t="shared" si="3"/>
        <v>0</v>
      </c>
      <c r="BQ8" s="11">
        <f t="shared" si="3"/>
        <v>0</v>
      </c>
      <c r="BR8" s="11">
        <f t="shared" si="3"/>
        <v>0</v>
      </c>
    </row>
    <row r="9" spans="1:83" ht="15" x14ac:dyDescent="0.25">
      <c r="A9" s="89">
        <f>Summary!$C$2</f>
        <v>2020</v>
      </c>
      <c r="B9" s="90" t="str">
        <f>Mapping!$B$2</f>
        <v>Actual</v>
      </c>
      <c r="E9" s="91" t="str">
        <f>A9&amp;" "&amp;B9</f>
        <v>2020 Actual</v>
      </c>
      <c r="F9" s="108">
        <f>SUMIFS('Units sold'!$E:$E,'Units sold'!$A:$A,$E$2,'Units sold'!$B:$B,F$5&amp;" "&amp;$A9,'Units sold'!$C:$C,"Periodic")</f>
        <v>336</v>
      </c>
      <c r="G9" s="108">
        <f>SUMIFS('Units sold'!$E:$E,'Units sold'!$A:$A,$E$2,'Units sold'!$B:$B,G$5&amp;" "&amp;$A9,'Units sold'!$C:$C,"Periodic")</f>
        <v>356</v>
      </c>
      <c r="H9" s="108">
        <f>SUMIFS('Units sold'!$E:$E,'Units sold'!$A:$A,$E$2,'Units sold'!$B:$B,H$5&amp;" "&amp;$A9,'Units sold'!$C:$C,"Periodic")</f>
        <v>498</v>
      </c>
      <c r="I9" s="108">
        <f>SUMIFS('Units sold'!$E:$E,'Units sold'!$A:$A,$E$2,'Units sold'!$B:$B,I$5&amp;" "&amp;$A9,'Units sold'!$C:$C,"Periodic")</f>
        <v>316</v>
      </c>
      <c r="J9" s="108">
        <f>SUMIFS('Units sold'!$E:$E,'Units sold'!$A:$A,$E$2,'Units sold'!$B:$B,J$5&amp;" "&amp;$A9,'Units sold'!$C:$C,"Periodic")</f>
        <v>384</v>
      </c>
      <c r="K9" s="108">
        <f>SUMIFS('Units sold'!$E:$E,'Units sold'!$A:$A,$E$2,'Units sold'!$B:$B,K$5&amp;" "&amp;$A9,'Units sold'!$C:$C,"Periodic")</f>
        <v>404</v>
      </c>
      <c r="L9" s="108">
        <f>SUMIFS('Units sold'!$E:$E,'Units sold'!$A:$A,$E$2,'Units sold'!$B:$B,L$5&amp;" "&amp;$A9,'Units sold'!$C:$C,"Periodic")</f>
        <v>490</v>
      </c>
      <c r="M9" s="108">
        <f>SUMIFS('Units sold'!$E:$E,'Units sold'!$A:$A,$E$2,'Units sold'!$B:$B,M$5&amp;" "&amp;$A9,'Units sold'!$C:$C,"Periodic")</f>
        <v>0</v>
      </c>
      <c r="N9" s="108">
        <f>SUMIFS('Units sold'!$E:$E,'Units sold'!$A:$A,$E$2,'Units sold'!$B:$B,N$5&amp;" "&amp;$A9,'Units sold'!$C:$C,"Periodic")</f>
        <v>0</v>
      </c>
      <c r="O9" s="108">
        <f>SUMIFS('Units sold'!$E:$E,'Units sold'!$A:$A,$E$2,'Units sold'!$B:$B,O$5&amp;" "&amp;$A9,'Units sold'!$C:$C,"Periodic")</f>
        <v>0</v>
      </c>
      <c r="P9" s="108">
        <f>SUMIFS('Units sold'!$E:$E,'Units sold'!$A:$A,$E$2,'Units sold'!$B:$B,P$5&amp;" "&amp;$A9,'Units sold'!$C:$C,"Periodic")</f>
        <v>0</v>
      </c>
      <c r="Q9" s="108">
        <f>SUMIFS('Units sold'!$E:$E,'Units sold'!$A:$A,$E$2,'Units sold'!$B:$B,Q$5&amp;" "&amp;$A9,'Units sold'!$C:$C,"Periodic")</f>
        <v>0</v>
      </c>
      <c r="R9" s="109">
        <f t="shared" si="0"/>
        <v>2784</v>
      </c>
      <c r="S9" s="94"/>
      <c r="T9" s="110" t="str">
        <f t="shared" si="1"/>
        <v>Prior Year exit rate (Q4 x 4)</v>
      </c>
      <c r="U9" s="111"/>
      <c r="V9" s="112"/>
      <c r="W9" s="113">
        <f>SUM($O$7:$Q$7)*4</f>
        <v>4496</v>
      </c>
      <c r="X9" s="114">
        <f>$W$9-$R$8</f>
        <v>-4219.1047472000009</v>
      </c>
      <c r="Y9" s="68"/>
      <c r="Z9" s="110" t="s">
        <v>130</v>
      </c>
      <c r="AA9" s="111"/>
      <c r="AB9" s="112"/>
      <c r="AC9" s="113">
        <f>SUM($O$14:$Q$14)*4</f>
        <v>2775.0923497639114</v>
      </c>
      <c r="AD9" s="114">
        <f>$AC$9-$R$15</f>
        <v>-2146.264208256337</v>
      </c>
      <c r="AE9" s="87"/>
      <c r="AF9" s="87"/>
      <c r="AG9" s="115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BF9" s="6" t="s">
        <v>28</v>
      </c>
      <c r="BG9" s="100">
        <f>SUM($BG8:BG8)</f>
        <v>0</v>
      </c>
      <c r="BH9" s="11">
        <f>SUM($BG8:BG8)</f>
        <v>0</v>
      </c>
      <c r="BI9" s="11">
        <f>SUM($BG8:BH8)</f>
        <v>0</v>
      </c>
      <c r="BJ9" s="11">
        <f>SUM($BG8:BI8)</f>
        <v>0</v>
      </c>
      <c r="BK9" s="11">
        <f>SUM($BG8:BJ8)</f>
        <v>0</v>
      </c>
      <c r="BL9" s="11">
        <f>SUM($BG8:BK8)</f>
        <v>0</v>
      </c>
      <c r="BM9" s="11">
        <f>SUM($BG8:BL8)</f>
        <v>0</v>
      </c>
      <c r="BN9" s="11">
        <f>SUM($BG8:BM8)</f>
        <v>1</v>
      </c>
      <c r="BO9" s="11">
        <f>SUM($BG8:BN8)</f>
        <v>1</v>
      </c>
      <c r="BP9" s="11">
        <f>SUM($BG8:BO8)</f>
        <v>1</v>
      </c>
      <c r="BQ9" s="11">
        <f>SUM($BG8:BP8)</f>
        <v>1</v>
      </c>
      <c r="BR9" s="11">
        <f>SUM($BG8:BQ8)</f>
        <v>1</v>
      </c>
    </row>
    <row r="10" spans="1:83" x14ac:dyDescent="0.2">
      <c r="E10" s="91" t="s">
        <v>34</v>
      </c>
      <c r="F10" s="116">
        <f t="shared" ref="F10:Q10" si="4">IF(F9=0,F17/F24,F9)</f>
        <v>336</v>
      </c>
      <c r="G10" s="116">
        <f t="shared" si="4"/>
        <v>356</v>
      </c>
      <c r="H10" s="116">
        <f t="shared" si="4"/>
        <v>498</v>
      </c>
      <c r="I10" s="116">
        <f t="shared" si="4"/>
        <v>316</v>
      </c>
      <c r="J10" s="116">
        <f t="shared" si="4"/>
        <v>384</v>
      </c>
      <c r="K10" s="116">
        <f t="shared" si="4"/>
        <v>404</v>
      </c>
      <c r="L10" s="116">
        <f t="shared" si="4"/>
        <v>490</v>
      </c>
      <c r="M10" s="116">
        <f t="shared" si="4"/>
        <v>721.23834733884996</v>
      </c>
      <c r="N10" s="116">
        <f t="shared" si="4"/>
        <v>777.27956029652228</v>
      </c>
      <c r="O10" s="116">
        <f t="shared" si="4"/>
        <v>842.30277590830678</v>
      </c>
      <c r="P10" s="116">
        <f t="shared" si="4"/>
        <v>913.00096384280994</v>
      </c>
      <c r="Q10" s="116">
        <f t="shared" si="4"/>
        <v>988.41572760154975</v>
      </c>
      <c r="R10" s="109">
        <f t="shared" si="0"/>
        <v>7026.2373749880389</v>
      </c>
      <c r="S10" s="94"/>
      <c r="T10" s="94"/>
      <c r="U10" s="94"/>
      <c r="V10" s="117"/>
      <c r="W10" s="68"/>
      <c r="X10" s="68"/>
      <c r="Y10" s="68"/>
      <c r="Z10" s="94"/>
      <c r="AA10" s="94"/>
      <c r="AB10" s="117"/>
      <c r="AC10" s="68"/>
      <c r="AD10" s="68"/>
      <c r="AE10" s="87"/>
      <c r="AF10" s="87"/>
      <c r="AG10" s="118"/>
      <c r="AH10" s="118"/>
      <c r="AI10" s="118"/>
      <c r="AJ10" s="118"/>
      <c r="AK10" s="118"/>
      <c r="AL10" s="1"/>
      <c r="BG10" s="119">
        <v>1</v>
      </c>
      <c r="BH10" s="119">
        <v>2</v>
      </c>
      <c r="BI10" s="119">
        <v>3</v>
      </c>
      <c r="BJ10" s="119">
        <v>4</v>
      </c>
      <c r="BK10" s="119">
        <v>5</v>
      </c>
      <c r="BL10" s="119">
        <v>6</v>
      </c>
      <c r="BM10" s="119">
        <v>7</v>
      </c>
      <c r="BN10" s="119">
        <v>8</v>
      </c>
      <c r="BO10" s="119">
        <v>9</v>
      </c>
      <c r="BP10" s="119">
        <v>10</v>
      </c>
      <c r="BQ10" s="119">
        <v>11</v>
      </c>
      <c r="BR10" s="119">
        <v>12</v>
      </c>
    </row>
    <row r="11" spans="1:83" ht="15.75" x14ac:dyDescent="0.25">
      <c r="D11" s="87"/>
      <c r="E11" s="59"/>
      <c r="G11" s="120"/>
      <c r="S11" s="94"/>
      <c r="AE11" s="87"/>
      <c r="AF11" s="87"/>
      <c r="AG11" s="118"/>
      <c r="AH11" s="118"/>
      <c r="AI11" s="118"/>
      <c r="AJ11" s="118"/>
      <c r="AK11" s="118"/>
      <c r="AL11" s="1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</row>
    <row r="12" spans="1:83" ht="15.75" x14ac:dyDescent="0.25">
      <c r="E12" s="121" t="s">
        <v>98</v>
      </c>
      <c r="F12" s="79" t="str">
        <f>F$5</f>
        <v>Jan</v>
      </c>
      <c r="G12" s="79" t="str">
        <f t="shared" ref="G12:Q12" si="5">G$5</f>
        <v>Feb</v>
      </c>
      <c r="H12" s="79" t="str">
        <f t="shared" si="5"/>
        <v>Mar</v>
      </c>
      <c r="I12" s="79" t="str">
        <f t="shared" si="5"/>
        <v>Apr</v>
      </c>
      <c r="J12" s="79" t="str">
        <f t="shared" si="5"/>
        <v>May</v>
      </c>
      <c r="K12" s="79" t="str">
        <f t="shared" si="5"/>
        <v>Jun</v>
      </c>
      <c r="L12" s="79" t="str">
        <f t="shared" si="5"/>
        <v>Jul</v>
      </c>
      <c r="M12" s="79" t="str">
        <f t="shared" si="5"/>
        <v>Aug</v>
      </c>
      <c r="N12" s="79" t="str">
        <f t="shared" si="5"/>
        <v>Sep</v>
      </c>
      <c r="O12" s="79" t="str">
        <f t="shared" si="5"/>
        <v>Oct</v>
      </c>
      <c r="P12" s="79" t="str">
        <f t="shared" si="5"/>
        <v>Nov</v>
      </c>
      <c r="Q12" s="79" t="str">
        <f t="shared" si="5"/>
        <v>Dec</v>
      </c>
      <c r="R12" s="80" t="s">
        <v>14</v>
      </c>
      <c r="T12" s="122" t="s">
        <v>86</v>
      </c>
      <c r="U12" s="123"/>
      <c r="V12" s="124" t="str">
        <f>AB12</f>
        <v>YTD</v>
      </c>
      <c r="W12" s="123" t="str">
        <f>AC12</f>
        <v>YTG</v>
      </c>
      <c r="X12" s="123" t="str">
        <f>AD12</f>
        <v>Delta</v>
      </c>
      <c r="Y12" s="125"/>
      <c r="Z12" s="122" t="s">
        <v>86</v>
      </c>
      <c r="AA12" s="123"/>
      <c r="AB12" s="124" t="s">
        <v>15</v>
      </c>
      <c r="AC12" s="123" t="s">
        <v>16</v>
      </c>
      <c r="AD12" s="123" t="s">
        <v>33</v>
      </c>
      <c r="AE12" s="87"/>
      <c r="AF12" s="126"/>
      <c r="AG12" s="127"/>
      <c r="AH12" s="128" t="s">
        <v>25</v>
      </c>
      <c r="AI12" s="69"/>
      <c r="AJ12" s="69"/>
      <c r="BC12" s="11">
        <f t="shared" ref="BC12:BR12" si="6">BB12+1</f>
        <v>1</v>
      </c>
      <c r="BD12" s="11">
        <f t="shared" si="6"/>
        <v>2</v>
      </c>
      <c r="BE12" s="11">
        <f t="shared" si="6"/>
        <v>3</v>
      </c>
      <c r="BF12" s="11">
        <f t="shared" si="6"/>
        <v>4</v>
      </c>
      <c r="BG12" s="11">
        <f t="shared" si="6"/>
        <v>5</v>
      </c>
      <c r="BH12" s="11">
        <f t="shared" si="6"/>
        <v>6</v>
      </c>
      <c r="BI12" s="11">
        <f t="shared" si="6"/>
        <v>7</v>
      </c>
      <c r="BJ12" s="11">
        <f t="shared" si="6"/>
        <v>8</v>
      </c>
      <c r="BK12" s="11">
        <f t="shared" si="6"/>
        <v>9</v>
      </c>
      <c r="BL12" s="11">
        <f t="shared" si="6"/>
        <v>10</v>
      </c>
      <c r="BM12" s="11">
        <f t="shared" si="6"/>
        <v>11</v>
      </c>
      <c r="BN12" s="11">
        <f t="shared" si="6"/>
        <v>12</v>
      </c>
      <c r="BO12" s="11">
        <f t="shared" si="6"/>
        <v>13</v>
      </c>
      <c r="BP12" s="11">
        <f t="shared" si="6"/>
        <v>14</v>
      </c>
      <c r="BQ12" s="11">
        <f t="shared" si="6"/>
        <v>15</v>
      </c>
      <c r="BR12" s="11">
        <f t="shared" si="6"/>
        <v>16</v>
      </c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</row>
    <row r="13" spans="1:83" ht="13.5" customHeight="1" x14ac:dyDescent="0.25">
      <c r="A13" s="89">
        <f>Summary!$C$2-2</f>
        <v>2018</v>
      </c>
      <c r="B13" s="90" t="str">
        <f>Mapping!$B$2</f>
        <v>Actual</v>
      </c>
      <c r="E13" s="91" t="str">
        <f>A13&amp;" "&amp;B13</f>
        <v>2018 Actual</v>
      </c>
      <c r="F13" s="129">
        <f>SUMIFS('Sales Data'!$E:$E,'Sales Data'!$A:$A,$E$2,'Sales Data'!$B:$B,F$12&amp;" "&amp;$A13,'Sales Data'!$C:$C,"Periodic")/1000</f>
        <v>44.341027902</v>
      </c>
      <c r="G13" s="129">
        <f>SUMIFS('Sales Data'!$E:$E,'Sales Data'!$A:$A,$E$2,'Sales Data'!$B:$B,G$12&amp;" "&amp;$A13,'Sales Data'!$C:$C,"Periodic")/1000</f>
        <v>53.100388281000001</v>
      </c>
      <c r="H13" s="129">
        <f>SUMIFS('Sales Data'!$E:$E,'Sales Data'!$A:$A,$E$2,'Sales Data'!$B:$B,H$12&amp;" "&amp;$A13,'Sales Data'!$C:$C,"Periodic")/1000</f>
        <v>68.090247261000002</v>
      </c>
      <c r="I13" s="129">
        <f>SUMIFS('Sales Data'!$E:$E,'Sales Data'!$A:$A,$E$2,'Sales Data'!$B:$B,I$12&amp;" "&amp;$A13,'Sales Data'!$C:$C,"Periodic")/1000</f>
        <v>50.651194191000002</v>
      </c>
      <c r="J13" s="129">
        <f>SUMIFS('Sales Data'!$E:$E,'Sales Data'!$A:$A,$E$2,'Sales Data'!$B:$B,J$12&amp;" "&amp;$A13,'Sales Data'!$C:$C,"Periodic")/1000</f>
        <v>33.437618643</v>
      </c>
      <c r="K13" s="129">
        <f>SUMIFS('Sales Data'!$E:$E,'Sales Data'!$A:$A,$E$2,'Sales Data'!$B:$B,K$12&amp;" "&amp;$A13,'Sales Data'!$C:$C,"Periodic")/1000</f>
        <v>45.843140394000002</v>
      </c>
      <c r="L13" s="129">
        <f>SUMIFS('Sales Data'!$E:$E,'Sales Data'!$A:$A,$E$2,'Sales Data'!$B:$B,L$12&amp;" "&amp;$A13,'Sales Data'!$C:$C,"Periodic")/1000</f>
        <v>35.726898678000005</v>
      </c>
      <c r="M13" s="129">
        <f>SUMIFS('Sales Data'!$E:$E,'Sales Data'!$A:$A,$E$2,'Sales Data'!$B:$B,M$12&amp;" "&amp;$A13,'Sales Data'!$C:$C,"Periodic")/1000</f>
        <v>54.933064674000001</v>
      </c>
      <c r="N13" s="129">
        <f>SUMIFS('Sales Data'!$E:$E,'Sales Data'!$A:$A,$E$2,'Sales Data'!$B:$B,N$12&amp;" "&amp;$A13,'Sales Data'!$C:$C,"Periodic")/1000</f>
        <v>50.288517923999997</v>
      </c>
      <c r="O13" s="129">
        <f>SUMIFS('Sales Data'!$E:$E,'Sales Data'!$A:$A,$E$2,'Sales Data'!$B:$B,O$12&amp;" "&amp;$A13,'Sales Data'!$C:$C,"Periodic")/1000</f>
        <v>56.579233688999999</v>
      </c>
      <c r="P13" s="129">
        <f>SUMIFS('Sales Data'!$E:$E,'Sales Data'!$A:$A,$E$2,'Sales Data'!$B:$B,P$12&amp;" "&amp;$A13,'Sales Data'!$C:$C,"Periodic")/1000</f>
        <v>-26.975803908000003</v>
      </c>
      <c r="Q13" s="129">
        <f>SUMIFS('Sales Data'!$E:$E,'Sales Data'!$A:$A,$E$2,'Sales Data'!$B:$B,Q$12&amp;" "&amp;$A13,'Sales Data'!$C:$C,"Periodic")/1000</f>
        <v>224.98300192800002</v>
      </c>
      <c r="R13" s="93">
        <f t="shared" ref="R13:R17" si="7">SUM(F13:Q13)</f>
        <v>690.99852965700006</v>
      </c>
      <c r="T13" s="101" t="str">
        <f>Z13</f>
        <v>GR%</v>
      </c>
      <c r="U13" s="130"/>
      <c r="V13" s="131">
        <f ca="1">IFERROR(($R$9/SUM(OFFSET(E7,,1,1,Summary!$D$3))-1),"")</f>
        <v>1.9491525423728815</v>
      </c>
      <c r="W13" s="132">
        <f ca="1">((R8-R9)/(R7-SUM(OFFSET(E7,0,1,1,Summary!$D$3))))-1</f>
        <v>2.6431847341523347</v>
      </c>
      <c r="X13" s="133">
        <f ca="1">IFERROR(W13-V13,"")</f>
        <v>0.69403219177945319</v>
      </c>
      <c r="Y13" s="125"/>
      <c r="Z13" s="134" t="s">
        <v>17</v>
      </c>
      <c r="AA13" s="135"/>
      <c r="AB13" s="131">
        <f ca="1">IFERROR(R16/SUM(OFFSET(E14,0,1,1,Summary!$D$3))-1,"")</f>
        <v>1.2943515706390731</v>
      </c>
      <c r="AC13" s="133">
        <f ca="1">IFERROR((R15-R16)/(R14-SUM(OFFSET(E14,0,1,1,Summary!$D$3)))-1,"")</f>
        <v>2.0746945294717594</v>
      </c>
      <c r="AD13" s="136">
        <f ca="1">IFERROR(AC13-AB13,"")</f>
        <v>0.78034295883268623</v>
      </c>
      <c r="AE13" s="87"/>
      <c r="AF13" s="87"/>
      <c r="AG13" s="137"/>
      <c r="AH13" s="128" t="s">
        <v>91</v>
      </c>
      <c r="AI13" s="69"/>
      <c r="AJ13" s="69"/>
      <c r="AW13" s="11">
        <f t="shared" ref="AW13:BR13" si="8">AV13+1</f>
        <v>1</v>
      </c>
      <c r="AX13" s="11">
        <f t="shared" si="8"/>
        <v>2</v>
      </c>
      <c r="AY13" s="11">
        <f t="shared" si="8"/>
        <v>3</v>
      </c>
      <c r="AZ13" s="11">
        <f t="shared" si="8"/>
        <v>4</v>
      </c>
      <c r="BA13" s="11">
        <f t="shared" si="8"/>
        <v>5</v>
      </c>
      <c r="BB13" s="11">
        <f t="shared" si="8"/>
        <v>6</v>
      </c>
      <c r="BC13" s="11">
        <f t="shared" si="8"/>
        <v>7</v>
      </c>
      <c r="BD13" s="11">
        <f t="shared" si="8"/>
        <v>8</v>
      </c>
      <c r="BE13" s="11">
        <f t="shared" si="8"/>
        <v>9</v>
      </c>
      <c r="BF13" s="11">
        <f t="shared" si="8"/>
        <v>10</v>
      </c>
      <c r="BG13" s="11">
        <f t="shared" si="8"/>
        <v>11</v>
      </c>
      <c r="BH13" s="11">
        <f t="shared" si="8"/>
        <v>12</v>
      </c>
      <c r="BI13" s="11">
        <f t="shared" si="8"/>
        <v>13</v>
      </c>
      <c r="BJ13" s="11">
        <f t="shared" si="8"/>
        <v>14</v>
      </c>
      <c r="BK13" s="11">
        <f t="shared" si="8"/>
        <v>15</v>
      </c>
      <c r="BL13" s="11">
        <f t="shared" si="8"/>
        <v>16</v>
      </c>
      <c r="BM13" s="11">
        <f t="shared" si="8"/>
        <v>17</v>
      </c>
      <c r="BN13" s="11">
        <f t="shared" si="8"/>
        <v>18</v>
      </c>
      <c r="BO13" s="11">
        <f t="shared" si="8"/>
        <v>19</v>
      </c>
      <c r="BP13" s="11">
        <f t="shared" si="8"/>
        <v>20</v>
      </c>
      <c r="BQ13" s="11">
        <f t="shared" si="8"/>
        <v>21</v>
      </c>
      <c r="BR13" s="11">
        <f t="shared" si="8"/>
        <v>22</v>
      </c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</row>
    <row r="14" spans="1:83" ht="13.5" customHeight="1" x14ac:dyDescent="0.2">
      <c r="A14" s="89">
        <f>Summary!$C$2-1</f>
        <v>2019</v>
      </c>
      <c r="B14" s="90" t="str">
        <f>Mapping!$B$2</f>
        <v>Actual</v>
      </c>
      <c r="E14" s="91" t="str">
        <f>A14&amp;" "&amp;B14</f>
        <v>2019 Actual</v>
      </c>
      <c r="F14" s="129">
        <f>SUMIFS('Sales Data'!$E:$E,'Sales Data'!$A:$A,$E$2,'Sales Data'!$B:$B,F$12&amp;" "&amp;$A14,'Sales Data'!$C:$C,"Periodic")/1000</f>
        <v>128.2637424294746</v>
      </c>
      <c r="G14" s="129">
        <f>SUMIFS('Sales Data'!$E:$E,'Sales Data'!$A:$A,$E$2,'Sales Data'!$B:$B,G$12&amp;" "&amp;$A14,'Sales Data'!$C:$C,"Periodic")/1000</f>
        <v>73.225479163447801</v>
      </c>
      <c r="H14" s="129">
        <f>SUMIFS('Sales Data'!$E:$E,'Sales Data'!$A:$A,$E$2,'Sales Data'!$B:$B,H$12&amp;" "&amp;$A14,'Sales Data'!$C:$C,"Periodic")/1000</f>
        <v>103.21733274663573</v>
      </c>
      <c r="I14" s="129">
        <f>SUMIFS('Sales Data'!$E:$E,'Sales Data'!$A:$A,$E$2,'Sales Data'!$B:$B,I$12&amp;" "&amp;$A14,'Sales Data'!$C:$C,"Periodic")/1000</f>
        <v>81.303604700199216</v>
      </c>
      <c r="J14" s="129">
        <f>SUMIFS('Sales Data'!$E:$E,'Sales Data'!$A:$A,$E$2,'Sales Data'!$B:$B,J$12&amp;" "&amp;$A14,'Sales Data'!$C:$C,"Periodic")/1000</f>
        <v>99.382012036533439</v>
      </c>
      <c r="K14" s="129">
        <f>SUMIFS('Sales Data'!$E:$E,'Sales Data'!$A:$A,$E$2,'Sales Data'!$B:$B,K$12&amp;" "&amp;$A14,'Sales Data'!$C:$C,"Periodic")/1000</f>
        <v>127.67019029246728</v>
      </c>
      <c r="L14" s="129">
        <f>SUMIFS('Sales Data'!$E:$E,'Sales Data'!$A:$A,$E$2,'Sales Data'!$B:$B,L$12&amp;" "&amp;$A14,'Sales Data'!$C:$C,"Periodic")/1000</f>
        <v>141.73287703650118</v>
      </c>
      <c r="M14" s="129">
        <f>SUMIFS('Sales Data'!$E:$E,'Sales Data'!$A:$A,$E$2,'Sales Data'!$B:$B,M$12&amp;" "&amp;$A14,'Sales Data'!$C:$C,"Periodic")/1000</f>
        <v>171.96272132692715</v>
      </c>
      <c r="N14" s="129">
        <f>SUMIFS('Sales Data'!$E:$E,'Sales Data'!$A:$A,$E$2,'Sales Data'!$B:$B,N$12&amp;" "&amp;$A14,'Sales Data'!$C:$C,"Periodic")/1000</f>
        <v>171.6325823685728</v>
      </c>
      <c r="O14" s="129">
        <f>SUMIFS('Sales Data'!$E:$E,'Sales Data'!$A:$A,$E$2,'Sales Data'!$B:$B,O$12&amp;" "&amp;$A14,'Sales Data'!$C:$C,"Periodic")/1000</f>
        <v>212.70068453824723</v>
      </c>
      <c r="P14" s="129">
        <f>SUMIFS('Sales Data'!$E:$E,'Sales Data'!$A:$A,$E$2,'Sales Data'!$B:$B,P$12&amp;" "&amp;$A14,'Sales Data'!$C:$C,"Periodic")/1000</f>
        <v>258.54867200973763</v>
      </c>
      <c r="Q14" s="129">
        <f>SUMIFS('Sales Data'!$E:$E,'Sales Data'!$A:$A,$E$2,'Sales Data'!$B:$B,Q$12&amp;" "&amp;$A14,'Sales Data'!$C:$C,"Periodic")/1000</f>
        <v>222.52373089299294</v>
      </c>
      <c r="R14" s="93">
        <f t="shared" si="7"/>
        <v>1792.163629541737</v>
      </c>
      <c r="T14" s="138" t="s">
        <v>87</v>
      </c>
      <c r="U14" s="139"/>
      <c r="V14" s="140">
        <f>IFERROR(R9/Summary!$D$3,"")</f>
        <v>397.71428571428572</v>
      </c>
      <c r="W14" s="141">
        <f>IFERROR((R8-R9)/Summary!$E$3,"")</f>
        <v>1186.2209494400001</v>
      </c>
      <c r="X14" s="142">
        <f>IFERROR(W14-V14,"")</f>
        <v>788.50666372571436</v>
      </c>
      <c r="Y14" s="68"/>
      <c r="Z14" s="143" t="s">
        <v>18</v>
      </c>
      <c r="AA14" s="141"/>
      <c r="AB14" s="140">
        <f>R16/Summary!$D$3</f>
        <v>247.39509153514285</v>
      </c>
      <c r="AC14" s="141">
        <f>IFERROR((R15-R16)/Summary!$E$3,"")</f>
        <v>637.91818345484967</v>
      </c>
      <c r="AD14" s="144">
        <f>IFERROR(AC14-AB14,"")</f>
        <v>390.52309191970681</v>
      </c>
      <c r="AE14" s="27"/>
      <c r="AF14" s="27"/>
      <c r="AG14" s="145" t="s">
        <v>54</v>
      </c>
      <c r="AH14" s="146"/>
      <c r="AI14" s="69"/>
      <c r="AJ14" s="69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</row>
    <row r="15" spans="1:83" ht="13.5" customHeight="1" x14ac:dyDescent="0.2">
      <c r="A15" s="89">
        <f>Summary!$C$2</f>
        <v>2020</v>
      </c>
      <c r="B15" s="90" t="str">
        <f>Mapping!$B$3</f>
        <v>Budget</v>
      </c>
      <c r="E15" s="105" t="str">
        <f>A15&amp;" "&amp;B15</f>
        <v>2020 Budget</v>
      </c>
      <c r="F15" s="106">
        <f>SUMIFS('Sales Data'!$D:$D,'Sales Data'!$A:$A,$E$2,'Sales Data'!$B:$B,F$12&amp;" "&amp;$A15,'Sales Data'!$C:$C,"Periodic")/1000</f>
        <v>267.07822491269371</v>
      </c>
      <c r="G15" s="106">
        <f>SUMIFS('Sales Data'!$D:$D,'Sales Data'!$A:$A,$E$2,'Sales Data'!$B:$B,G$12&amp;" "&amp;$A15,'Sales Data'!$C:$C,"Periodic")/1000</f>
        <v>284.01924127063745</v>
      </c>
      <c r="H15" s="106">
        <f>SUMIFS('Sales Data'!$D:$D,'Sales Data'!$A:$A,$E$2,'Sales Data'!$B:$B,H$12&amp;" "&amp;$A15,'Sales Data'!$C:$C,"Periodic")/1000</f>
        <v>302.03940041450676</v>
      </c>
      <c r="I15" s="106">
        <f>SUMIFS('Sales Data'!$D:$D,'Sales Data'!$A:$A,$E$2,'Sales Data'!$B:$B,I$12&amp;" "&amp;$A15,'Sales Data'!$C:$C,"Periodic")/1000</f>
        <v>311.97686332657958</v>
      </c>
      <c r="J15" s="106">
        <f>SUMIFS('Sales Data'!$D:$D,'Sales Data'!$A:$A,$E$2,'Sales Data'!$B:$B,J$12&amp;" "&amp;$A15,'Sales Data'!$C:$C,"Periodic")/1000</f>
        <v>337.87737277464396</v>
      </c>
      <c r="K15" s="106">
        <f>SUMIFS('Sales Data'!$D:$D,'Sales Data'!$A:$A,$E$2,'Sales Data'!$B:$B,K$12&amp;" "&amp;$A15,'Sales Data'!$C:$C,"Periodic")/1000</f>
        <v>361.82194257837216</v>
      </c>
      <c r="L15" s="106">
        <f>SUMIFS('Sales Data'!$D:$D,'Sales Data'!$A:$A,$E$2,'Sales Data'!$B:$B,L$12&amp;" "&amp;$A15,'Sales Data'!$C:$C,"Periodic")/1000</f>
        <v>417.69260545373788</v>
      </c>
      <c r="M15" s="106">
        <f>SUMIFS('Sales Data'!$D:$D,'Sales Data'!$A:$A,$E$2,'Sales Data'!$B:$B,M$12&amp;" "&amp;$A15,'Sales Data'!$C:$C,"Periodic")/1000</f>
        <v>448.6407287032506</v>
      </c>
      <c r="N15" s="106">
        <f>SUMIFS('Sales Data'!$D:$D,'Sales Data'!$A:$A,$E$2,'Sales Data'!$B:$B,N$12&amp;" "&amp;$A15,'Sales Data'!$C:$C,"Periodic")/1000</f>
        <v>483.50073124126294</v>
      </c>
      <c r="O15" s="106">
        <f>SUMIFS('Sales Data'!$D:$D,'Sales Data'!$A:$A,$E$2,'Sales Data'!$B:$B,O$12&amp;" "&amp;$A15,'Sales Data'!$C:$C,"Periodic")/1000</f>
        <v>523.94791897377274</v>
      </c>
      <c r="P15" s="106">
        <f>SUMIFS('Sales Data'!$D:$D,'Sales Data'!$A:$A,$E$2,'Sales Data'!$B:$B,P$12&amp;" "&amp;$A15,'Sales Data'!$C:$C,"Periodic")/1000</f>
        <v>567.92517929272958</v>
      </c>
      <c r="Q15" s="106">
        <f>SUMIFS('Sales Data'!$D:$D,'Sales Data'!$A:$A,$E$2,'Sales Data'!$B:$B,Q$12&amp;" "&amp;$A15,'Sales Data'!$C:$C,"Periodic")/1000</f>
        <v>614.83634907806095</v>
      </c>
      <c r="R15" s="107">
        <f t="shared" si="7"/>
        <v>4921.3565580202485</v>
      </c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G15" s="147" t="s">
        <v>29</v>
      </c>
      <c r="AI15" s="128" t="str">
        <f>'Bridges for Trends'!Y4</f>
        <v>Jan 2018</v>
      </c>
      <c r="AJ15" s="128" t="str">
        <f>'Bridges for Trends'!X4</f>
        <v>Feb 2018</v>
      </c>
      <c r="AK15" s="128" t="str">
        <f>'Bridges for Trends'!W4</f>
        <v>Mar 2018</v>
      </c>
      <c r="AL15" s="128" t="str">
        <f>'Bridges for Trends'!V4</f>
        <v>Apr 2018</v>
      </c>
      <c r="AM15" s="128" t="str">
        <f>'Bridges for Trends'!U4</f>
        <v>May 2018</v>
      </c>
      <c r="AN15" s="128" t="str">
        <f>'Bridges for Trends'!T4</f>
        <v>Jun 2018</v>
      </c>
      <c r="AO15" s="128" t="str">
        <f>'Bridges for Trends'!S4</f>
        <v>Jul 2018</v>
      </c>
      <c r="AP15" s="128" t="str">
        <f>'Bridges for Trends'!R4</f>
        <v>Aug 2018</v>
      </c>
      <c r="AQ15" s="128" t="str">
        <f>'Bridges for Trends'!Q4</f>
        <v>Sep 2018</v>
      </c>
      <c r="AR15" s="128" t="str">
        <f>'Bridges for Trends'!P4</f>
        <v>Oct 2018</v>
      </c>
      <c r="AS15" s="128" t="str">
        <f>'Bridges for Trends'!O4</f>
        <v>Nov 2018</v>
      </c>
      <c r="AT15" s="128" t="str">
        <f>'Bridges for Trends'!N4</f>
        <v>Dec 2018</v>
      </c>
      <c r="AU15" s="128" t="str">
        <f>'Bridges for Trends'!M4</f>
        <v>Jan 2019</v>
      </c>
      <c r="AV15" s="128" t="str">
        <f>'Bridges for Trends'!L4</f>
        <v>Feb 2019</v>
      </c>
      <c r="AW15" s="128" t="str">
        <f>'Bridges for Trends'!K4</f>
        <v>Mar 2019</v>
      </c>
      <c r="AX15" s="128" t="str">
        <f>'Bridges for Trends'!J4</f>
        <v>Apr 2019</v>
      </c>
      <c r="AY15" s="128" t="str">
        <f>'Bridges for Trends'!I4</f>
        <v>May 2019</v>
      </c>
      <c r="AZ15" s="128" t="str">
        <f>'Bridges for Trends'!H4</f>
        <v>Jun 2019</v>
      </c>
      <c r="BA15" s="128" t="str">
        <f>'Bridges for Trends'!G4</f>
        <v>Jul 2019</v>
      </c>
      <c r="BB15" s="128" t="str">
        <f>'Bridges for Trends'!F4</f>
        <v>Aug 2019</v>
      </c>
      <c r="BC15" s="128" t="str">
        <f>'Bridges for Trends'!E4</f>
        <v>Sep 2019</v>
      </c>
      <c r="BD15" s="128" t="str">
        <f>'Bridges for Trends'!D4</f>
        <v>Oct 2019</v>
      </c>
      <c r="BE15" s="128" t="str">
        <f>'Bridges for Trends'!C4</f>
        <v>Nov 2019</v>
      </c>
      <c r="BF15" s="128" t="str">
        <f>'Bridges for Trends'!B4</f>
        <v>Dec 2019</v>
      </c>
      <c r="BG15" s="128" t="str">
        <f>'Bridges for Trends'!A4</f>
        <v>Jan 2020</v>
      </c>
      <c r="BH15" s="128" t="str">
        <f>'Bridges for Trends'!A5</f>
        <v>Feb 2020</v>
      </c>
      <c r="BI15" s="128" t="str">
        <f>'Bridges for Trends'!A6</f>
        <v>Mar 2020</v>
      </c>
      <c r="BJ15" s="128" t="str">
        <f>'Bridges for Trends'!A7</f>
        <v>Apr 2020</v>
      </c>
      <c r="BK15" s="128" t="str">
        <f>'Bridges for Trends'!A8</f>
        <v>May 2020</v>
      </c>
      <c r="BL15" s="128" t="str">
        <f>'Bridges for Trends'!A9</f>
        <v>Jun 2020</v>
      </c>
      <c r="BM15" s="128" t="str">
        <f>'Bridges for Trends'!A10</f>
        <v>Jul 2020</v>
      </c>
      <c r="BN15" s="128" t="str">
        <f>'Bridges for Trends'!A11</f>
        <v>Aug 2020</v>
      </c>
      <c r="BO15" s="128" t="str">
        <f>'Bridges for Trends'!A12</f>
        <v>Sep 2020</v>
      </c>
      <c r="BP15" s="128" t="str">
        <f>'Bridges for Trends'!A13</f>
        <v>Oct 2020</v>
      </c>
      <c r="BQ15" s="128" t="str">
        <f>'Bridges for Trends'!A14</f>
        <v>Nov 2020</v>
      </c>
      <c r="BR15" s="128" t="str">
        <f>'Bridges for Trends'!A15</f>
        <v>Dec 2020</v>
      </c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</row>
    <row r="16" spans="1:83" ht="13.5" customHeight="1" x14ac:dyDescent="0.2">
      <c r="A16" s="89">
        <f>Summary!$C$2</f>
        <v>2020</v>
      </c>
      <c r="B16" s="90" t="str">
        <f>Mapping!$B$2</f>
        <v>Actual</v>
      </c>
      <c r="E16" s="91" t="str">
        <f>A16&amp;" "&amp;B16</f>
        <v>2020 Actual</v>
      </c>
      <c r="F16" s="148">
        <f>SUMIFS('Sales Data'!$E:$E,'Sales Data'!$A:$A,$E$2,'Sales Data'!$B:$B,F$12&amp;" "&amp;$A16,'Sales Data'!$C:$C,"Periodic")/1000</f>
        <v>215.61462076800001</v>
      </c>
      <c r="G16" s="148">
        <f>SUMIFS('Sales Data'!$E:$E,'Sales Data'!$A:$A,$E$2,'Sales Data'!$B:$B,G$12&amp;" "&amp;$A16,'Sales Data'!$C:$C,"Periodic")/1000</f>
        <v>214.22626620299999</v>
      </c>
      <c r="H16" s="148">
        <f>SUMIFS('Sales Data'!$E:$E,'Sales Data'!$A:$A,$E$2,'Sales Data'!$B:$B,H$12&amp;" "&amp;$A16,'Sales Data'!$C:$C,"Periodic")/1000</f>
        <v>306.67822567799999</v>
      </c>
      <c r="I16" s="148">
        <f>SUMIFS('Sales Data'!$E:$E,'Sales Data'!$A:$A,$E$2,'Sales Data'!$B:$B,I$12&amp;" "&amp;$A16,'Sales Data'!$C:$C,"Periodic")/1000</f>
        <v>206.04026443199999</v>
      </c>
      <c r="J16" s="148">
        <f>SUMIFS('Sales Data'!$E:$E,'Sales Data'!$A:$A,$E$2,'Sales Data'!$B:$B,J$12&amp;" "&amp;$A16,'Sales Data'!$C:$C,"Periodic")/1000</f>
        <v>244.29622353899998</v>
      </c>
      <c r="K16" s="148">
        <f>SUMIFS('Sales Data'!$E:$E,'Sales Data'!$A:$A,$E$2,'Sales Data'!$B:$B,K$12&amp;" "&amp;$A16,'Sales Data'!$C:$C,"Periodic")/1000</f>
        <v>249.93769601399998</v>
      </c>
      <c r="L16" s="148">
        <f>SUMIFS('Sales Data'!$E:$E,'Sales Data'!$A:$A,$E$2,'Sales Data'!$B:$B,L$12&amp;" "&amp;$A16,'Sales Data'!$C:$C,"Periodic")/1000</f>
        <v>294.97234411200003</v>
      </c>
      <c r="M16" s="148">
        <f>SUMIFS('Sales Data'!$E:$E,'Sales Data'!$A:$A,$E$2,'Sales Data'!$B:$B,M$12&amp;" "&amp;$A16,'Sales Data'!$C:$C,"Periodic")/1000</f>
        <v>0</v>
      </c>
      <c r="N16" s="148">
        <f>SUMIFS('Sales Data'!$E:$E,'Sales Data'!$A:$A,$E$2,'Sales Data'!$B:$B,N$12&amp;" "&amp;$A16,'Sales Data'!$C:$C,"Periodic")/1000</f>
        <v>0</v>
      </c>
      <c r="O16" s="148">
        <f>SUMIFS('Sales Data'!$E:$E,'Sales Data'!$A:$A,$E$2,'Sales Data'!$B:$B,O$12&amp;" "&amp;$A16,'Sales Data'!$C:$C,"Periodic")/1000</f>
        <v>0</v>
      </c>
      <c r="P16" s="148">
        <f>SUMIFS('Sales Data'!$E:$E,'Sales Data'!$A:$A,$E$2,'Sales Data'!$B:$B,P$12&amp;" "&amp;$A16,'Sales Data'!$C:$C,"Periodic")/1000</f>
        <v>0</v>
      </c>
      <c r="Q16" s="148">
        <f>SUMIFS('Sales Data'!$E:$E,'Sales Data'!$A:$A,$E$2,'Sales Data'!$B:$B,Q$12&amp;" "&amp;$A16,'Sales Data'!$C:$C,"Periodic")/1000</f>
        <v>0</v>
      </c>
      <c r="R16" s="109">
        <f t="shared" si="7"/>
        <v>1731.7656407459999</v>
      </c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115"/>
      <c r="AF16" s="115"/>
      <c r="AG16" s="118"/>
      <c r="AH16" s="149" t="s">
        <v>0</v>
      </c>
      <c r="AI16" s="150">
        <f>SUMIFS('Units sold'!$E:$E,'Units sold'!$A:$A,$E$2,'Units sold'!$B:$B,AI$15,'Units sold'!$C:$C,"Periodic")</f>
        <v>34</v>
      </c>
      <c r="AJ16" s="150">
        <f>SUMIFS('Units sold'!$E:$E,'Units sold'!$A:$A,$E$2,'Units sold'!$B:$B,AJ$15,'Units sold'!$C:$C,"Periodic")</f>
        <v>28</v>
      </c>
      <c r="AK16" s="150">
        <f>SUMIFS('Units sold'!$E:$E,'Units sold'!$A:$A,$E$2,'Units sold'!$B:$B,AK$15,'Units sold'!$C:$C,"Periodic")</f>
        <v>44</v>
      </c>
      <c r="AL16" s="150">
        <f>SUMIFS('Units sold'!$E:$E,'Units sold'!$A:$A,$E$2,'Units sold'!$B:$B,AL$15,'Units sold'!$C:$C,"Periodic")</f>
        <v>44</v>
      </c>
      <c r="AM16" s="150">
        <f>SUMIFS('Units sold'!$E:$E,'Units sold'!$A:$A,$E$2,'Units sold'!$B:$B,AM$15,'Units sold'!$C:$C,"Periodic")</f>
        <v>42</v>
      </c>
      <c r="AN16" s="150">
        <f>SUMIFS('Units sold'!$E:$E,'Units sold'!$A:$A,$E$2,'Units sold'!$B:$B,AN$15,'Units sold'!$C:$C,"Periodic")</f>
        <v>44</v>
      </c>
      <c r="AO16" s="150">
        <f>SUMIFS('Units sold'!$E:$E,'Units sold'!$A:$A,$E$2,'Units sold'!$B:$B,AO$15,'Units sold'!$C:$C,"Periodic")</f>
        <v>40</v>
      </c>
      <c r="AP16" s="150">
        <f>SUMIFS('Units sold'!$E:$E,'Units sold'!$A:$A,$E$2,'Units sold'!$B:$B,AP$15,'Units sold'!$C:$C,"Periodic")</f>
        <v>56</v>
      </c>
      <c r="AQ16" s="150">
        <f>SUMIFS('Units sold'!$E:$E,'Units sold'!$A:$A,$E$2,'Units sold'!$B:$B,AQ$15,'Units sold'!$C:$C,"Periodic")</f>
        <v>50</v>
      </c>
      <c r="AR16" s="150">
        <f>SUMIFS('Units sold'!$E:$E,'Units sold'!$A:$A,$E$2,'Units sold'!$B:$B,AR$15,'Units sold'!$C:$C,"Periodic")</f>
        <v>58</v>
      </c>
      <c r="AS16" s="150">
        <f>SUMIFS('Units sold'!$E:$E,'Units sold'!$A:$A,$E$2,'Units sold'!$B:$B,AS$15,'Units sold'!$C:$C,"Periodic")</f>
        <v>110</v>
      </c>
      <c r="AT16" s="150">
        <f>SUMIFS('Units sold'!$E:$E,'Units sold'!$A:$A,$E$2,'Units sold'!$B:$B,AT$15,'Units sold'!$C:$C,"Periodic")</f>
        <v>92</v>
      </c>
      <c r="AU16" s="150">
        <f>SUMIFS('Units sold'!$E:$E,'Units sold'!$A:$A,$E$2,'Units sold'!$B:$B,AU$15,'Units sold'!$C:$C,"Periodic")</f>
        <v>128</v>
      </c>
      <c r="AV16" s="150">
        <f>SUMIFS('Units sold'!$E:$E,'Units sold'!$A:$A,$E$2,'Units sold'!$B:$B,AV$15,'Units sold'!$C:$C,"Periodic")</f>
        <v>74</v>
      </c>
      <c r="AW16" s="150">
        <f>SUMIFS('Units sold'!$E:$E,'Units sold'!$A:$A,$E$2,'Units sold'!$B:$B,AW$15,'Units sold'!$C:$C,"Periodic")</f>
        <v>108</v>
      </c>
      <c r="AX16" s="150">
        <f>SUMIFS('Units sold'!$E:$E,'Units sold'!$A:$A,$E$2,'Units sold'!$B:$B,AX$15,'Units sold'!$C:$C,"Periodic")</f>
        <v>92</v>
      </c>
      <c r="AY16" s="150">
        <f>SUMIFS('Units sold'!$E:$E,'Units sold'!$A:$A,$E$2,'Units sold'!$B:$B,AY$15,'Units sold'!$C:$C,"Periodic")</f>
        <v>104</v>
      </c>
      <c r="AZ16" s="150">
        <f>SUMIFS('Units sold'!$E:$E,'Units sold'!$A:$A,$E$2,'Units sold'!$B:$B,AZ$15,'Units sold'!$C:$C,"Periodic")</f>
        <v>206</v>
      </c>
      <c r="BA16" s="150">
        <f>SUMIFS('Units sold'!$E:$E,'Units sold'!$A:$A,$E$2,'Units sold'!$B:$B,BA$15,'Units sold'!$C:$C,"Periodic")</f>
        <v>232</v>
      </c>
      <c r="BB16" s="150">
        <f>SUMIFS('Units sold'!$E:$E,'Units sold'!$A:$A,$E$2,'Units sold'!$B:$B,BB$15,'Units sold'!$C:$C,"Periodic")</f>
        <v>234</v>
      </c>
      <c r="BC16" s="150">
        <f>SUMIFS('Units sold'!$E:$E,'Units sold'!$A:$A,$E$2,'Units sold'!$B:$B,BC$15,'Units sold'!$C:$C,"Periodic")</f>
        <v>270</v>
      </c>
      <c r="BD16" s="150">
        <f>SUMIFS('Units sold'!$E:$E,'Units sold'!$A:$A,$E$2,'Units sold'!$B:$B,BD$15,'Units sold'!$C:$C,"Periodic")</f>
        <v>320</v>
      </c>
      <c r="BE16" s="150">
        <f>SUMIFS('Units sold'!$E:$E,'Units sold'!$A:$A,$E$2,'Units sold'!$B:$B,BE$15,'Units sold'!$C:$C,"Periodic")</f>
        <v>378</v>
      </c>
      <c r="BF16" s="150">
        <f>SUMIFS('Units sold'!$E:$E,'Units sold'!$A:$A,$E$2,'Units sold'!$B:$B,BF$15,'Units sold'!$C:$C,"Periodic")</f>
        <v>426</v>
      </c>
      <c r="BG16" s="150">
        <f>IF(OR(BG$8=1,BG$9=0),SUMIFS('Units sold'!$E:$E,'Units sold'!$A:$A,$E$2,'Units sold'!$B:$B,BG$15,'Units sold'!$C:$C,"Periodic"),"")</f>
        <v>336</v>
      </c>
      <c r="BH16" s="150">
        <f>IF(OR(BH$8=1,BH$9=0),SUMIFS('Units sold'!$E:$E,'Units sold'!$A:$A,$E$2,'Units sold'!$B:$B,BH$15,'Units sold'!$C:$C,"Periodic"),"")</f>
        <v>356</v>
      </c>
      <c r="BI16" s="150">
        <f>IF(OR(BI$8=1,BI$9=0),SUMIFS('Units sold'!$E:$E,'Units sold'!$A:$A,$E$2,'Units sold'!$B:$B,BI$15,'Units sold'!$C:$C,"Periodic"),"")</f>
        <v>498</v>
      </c>
      <c r="BJ16" s="150">
        <f>IF(OR(BJ$8=1,BJ$9=0),SUMIFS('Units sold'!$E:$E,'Units sold'!$A:$A,$E$2,'Units sold'!$B:$B,BJ$15,'Units sold'!$C:$C,"Periodic"),"")</f>
        <v>316</v>
      </c>
      <c r="BK16" s="150">
        <f>IF(OR(BK$8=1,BK$9=0),SUMIFS('Units sold'!$E:$E,'Units sold'!$A:$A,$E$2,'Units sold'!$B:$B,BK$15,'Units sold'!$C:$C,"Periodic"),"")</f>
        <v>384</v>
      </c>
      <c r="BL16" s="150">
        <f>IF(OR(BL$8=1,BL$9=0),SUMIFS('Units sold'!$E:$E,'Units sold'!$A:$A,$E$2,'Units sold'!$B:$B,BL$15,'Units sold'!$C:$C,"Periodic"),"")</f>
        <v>404</v>
      </c>
      <c r="BM16" s="150">
        <f>IF(OR(BM$8=1,BM$9=0),SUMIFS('Units sold'!$E:$E,'Units sold'!$A:$A,$E$2,'Units sold'!$B:$B,BM$15,'Units sold'!$C:$C,"Periodic"),"")</f>
        <v>490</v>
      </c>
      <c r="BN16" s="150" t="str">
        <f>IF(OR(BN$8=1,BN$9=0),SUMIFS('Units sold'!$E:$E,'Units sold'!$A:$A,$E$2,'Units sold'!$B:$B,BN$15,'Units sold'!$C:$C,"Periodic"),"")</f>
        <v/>
      </c>
      <c r="BO16" s="150" t="str">
        <f>IF(OR(BO$8=1,BO$9=0),SUMIFS('Units sold'!$E:$E,'Units sold'!$A:$A,$E$2,'Units sold'!$B:$B,BO$15,'Units sold'!$C:$C,"Periodic"),"")</f>
        <v/>
      </c>
      <c r="BP16" s="150" t="str">
        <f>IF(OR(BP$8=1,BP$9=0),SUMIFS('Units sold'!$E:$E,'Units sold'!$A:$A,$E$2,'Units sold'!$B:$B,BP$15,'Units sold'!$C:$C,"Periodic"),"")</f>
        <v/>
      </c>
      <c r="BQ16" s="150" t="str">
        <f>IF(OR(BQ$8=1,BQ$9=0),SUMIFS('Units sold'!$E:$E,'Units sold'!$A:$A,$E$2,'Units sold'!$B:$B,BQ$15,'Units sold'!$C:$C,"Periodic"),"")</f>
        <v/>
      </c>
      <c r="BR16" s="150" t="str">
        <f>IF(OR(BR$8=1,BR$9=0),SUMIFS('Units sold'!$E:$E,'Units sold'!$A:$A,$E$2,'Units sold'!$B:$B,BR$15,'Units sold'!$C:$C,"Periodic"),"")</f>
        <v/>
      </c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</row>
    <row r="17" spans="1:83" s="69" customFormat="1" x14ac:dyDescent="0.2">
      <c r="A17" s="1"/>
      <c r="B17" s="1"/>
      <c r="C17" s="1"/>
      <c r="D17" s="1"/>
      <c r="E17" s="91" t="s">
        <v>34</v>
      </c>
      <c r="F17" s="148">
        <f t="shared" ref="F17:Q17" si="9">IF(F16&lt;&gt;0,F16,F15)</f>
        <v>215.61462076800001</v>
      </c>
      <c r="G17" s="148">
        <f t="shared" si="9"/>
        <v>214.22626620299999</v>
      </c>
      <c r="H17" s="148">
        <f t="shared" si="9"/>
        <v>306.67822567799999</v>
      </c>
      <c r="I17" s="148">
        <f t="shared" si="9"/>
        <v>206.04026443199999</v>
      </c>
      <c r="J17" s="148">
        <f t="shared" si="9"/>
        <v>244.29622353899998</v>
      </c>
      <c r="K17" s="148">
        <f t="shared" si="9"/>
        <v>249.93769601399998</v>
      </c>
      <c r="L17" s="148">
        <f t="shared" si="9"/>
        <v>294.97234411200003</v>
      </c>
      <c r="M17" s="148">
        <f t="shared" si="9"/>
        <v>448.6407287032506</v>
      </c>
      <c r="N17" s="148">
        <f t="shared" si="9"/>
        <v>483.50073124126294</v>
      </c>
      <c r="O17" s="148">
        <f t="shared" si="9"/>
        <v>523.94791897377274</v>
      </c>
      <c r="P17" s="148">
        <f t="shared" si="9"/>
        <v>567.92517929272958</v>
      </c>
      <c r="Q17" s="148">
        <f t="shared" si="9"/>
        <v>614.83634907806095</v>
      </c>
      <c r="R17" s="109">
        <f t="shared" si="7"/>
        <v>4370.6165480350774</v>
      </c>
      <c r="T17" s="122" t="s">
        <v>54</v>
      </c>
      <c r="U17" s="151" t="str">
        <f>AA17</f>
        <v>Q1</v>
      </c>
      <c r="V17" s="151" t="str">
        <f t="shared" ref="V17:X17" si="10">AB17</f>
        <v>Q2</v>
      </c>
      <c r="W17" s="151" t="str">
        <f t="shared" si="10"/>
        <v>Q3</v>
      </c>
      <c r="X17" s="123" t="str">
        <f t="shared" si="10"/>
        <v>Q4</v>
      </c>
      <c r="Y17" s="68"/>
      <c r="Z17" s="122" t="s">
        <v>82</v>
      </c>
      <c r="AA17" s="151" t="s">
        <v>21</v>
      </c>
      <c r="AB17" s="151" t="s">
        <v>22</v>
      </c>
      <c r="AC17" s="151" t="s">
        <v>23</v>
      </c>
      <c r="AD17" s="123" t="s">
        <v>24</v>
      </c>
      <c r="AE17" s="152"/>
      <c r="AF17" s="152"/>
      <c r="AG17" s="118"/>
      <c r="AH17" s="153" t="s">
        <v>1</v>
      </c>
      <c r="BG17" s="150" t="str">
        <f>IF(OR(BG$8=1,BG$9=1),SUMIFS('Units sold'!$D:$D,'Units sold'!$A:$A,$E$2,'Units sold'!$B:$B,BG$15,'Units sold'!$C:$C,"Periodic"),"")</f>
        <v/>
      </c>
      <c r="BH17" s="150" t="str">
        <f>IF(OR(BH$8=1,BH$9=1),SUMIFS('Units sold'!$D:$D,'Units sold'!$A:$A,$E$2,'Units sold'!$B:$B,BH$15,'Units sold'!$C:$C,"Periodic"),"")</f>
        <v/>
      </c>
      <c r="BI17" s="150" t="str">
        <f>IF(OR(BI$8=1,BI$9=1),SUMIFS('Units sold'!$D:$D,'Units sold'!$A:$A,$E$2,'Units sold'!$B:$B,BI$15,'Units sold'!$C:$C,"Periodic"),"")</f>
        <v/>
      </c>
      <c r="BJ17" s="150" t="str">
        <f>IF(OR(BJ$8=1,BJ$9=1),SUMIFS('Units sold'!$D:$D,'Units sold'!$A:$A,$E$2,'Units sold'!$B:$B,BJ$15,'Units sold'!$C:$C,"Periodic"),"")</f>
        <v/>
      </c>
      <c r="BK17" s="150" t="str">
        <f>IF(OR(BK$8=1,BK$9=1),SUMIFS('Units sold'!$D:$D,'Units sold'!$A:$A,$E$2,'Units sold'!$B:$B,BK$15,'Units sold'!$C:$C,"Periodic"),"")</f>
        <v/>
      </c>
      <c r="BL17" s="150" t="str">
        <f>IF(OR(BL$8=1,BL$9=1),SUMIFS('Units sold'!$D:$D,'Units sold'!$A:$A,$E$2,'Units sold'!$B:$B,BL$15,'Units sold'!$C:$C,"Periodic"),"")</f>
        <v/>
      </c>
      <c r="BM17" s="150">
        <f>IF(OR(BM$8=1,BM$9=1),SUMIFS('Units sold'!$D:$D,'Units sold'!$A:$A,$E$2,'Units sold'!$B:$B,BM$15,'Units sold'!$C:$C,"Periodic"),"")</f>
        <v>739.48349380000002</v>
      </c>
      <c r="BN17" s="150">
        <f>IF(OR(BN$8=1,BN$9=1),SUMIFS('Units sold'!$D:$D,'Units sold'!$A:$A,$E$2,'Units sold'!$B:$B,BN$15,'Units sold'!$C:$C,"Periodic"),"")</f>
        <v>786.80442240000002</v>
      </c>
      <c r="BO17" s="150">
        <f>IF(OR(BO$8=1,BO$9=1),SUMIFS('Units sold'!$D:$D,'Units sold'!$A:$A,$E$2,'Units sold'!$B:$B,BO$15,'Units sold'!$C:$C,"Periodic"),"")</f>
        <v>842.37312420000001</v>
      </c>
      <c r="BP17" s="150">
        <f>IF(OR(BP$8=1,BP$9=1),SUMIFS('Units sold'!$D:$D,'Units sold'!$A:$A,$E$2,'Units sold'!$B:$B,BP$15,'Units sold'!$C:$C,"Periodic"),"")</f>
        <v>907.37609739999994</v>
      </c>
      <c r="BQ17" s="150">
        <f>IF(OR(BQ$8=1,BQ$9=1),SUMIFS('Units sold'!$D:$D,'Units sold'!$A:$A,$E$2,'Units sold'!$B:$B,BQ$15,'Units sold'!$C:$C,"Periodic"),"")</f>
        <v>972.86586119999993</v>
      </c>
      <c r="BR17" s="150">
        <f>IF(OR(BR$8=1,BR$9=1),SUMIFS('Units sold'!$D:$D,'Units sold'!$A:$A,$E$2,'Units sold'!$B:$B,BR$15,'Units sold'!$C:$C,"Periodic"),"")</f>
        <v>1044.5206582000001</v>
      </c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</row>
    <row r="18" spans="1:83" s="69" customFormat="1" x14ac:dyDescent="0.2">
      <c r="A18" s="1"/>
      <c r="B18" s="1"/>
      <c r="C18" s="1"/>
      <c r="D18" s="1"/>
      <c r="E18" s="118"/>
      <c r="T18" s="95" t="str">
        <f>E6</f>
        <v>2018 Actual</v>
      </c>
      <c r="U18" s="154">
        <f>SUM(F6:H6)</f>
        <v>106</v>
      </c>
      <c r="V18" s="154">
        <f>SUM(I6:K6)</f>
        <v>130</v>
      </c>
      <c r="W18" s="154">
        <f>SUM(L6:N6)</f>
        <v>146</v>
      </c>
      <c r="X18" s="155">
        <f>SUM(O6:Q6)</f>
        <v>260</v>
      </c>
      <c r="Y18" s="152"/>
      <c r="Z18" s="95" t="str">
        <f>+E13</f>
        <v>2018 Actual</v>
      </c>
      <c r="AA18" s="154">
        <f>SUM(F13:H13)</f>
        <v>165.531663444</v>
      </c>
      <c r="AB18" s="154">
        <f>SUM(I13:K13)</f>
        <v>129.931953228</v>
      </c>
      <c r="AC18" s="154">
        <f>SUM(L13:N13)</f>
        <v>140.948481276</v>
      </c>
      <c r="AD18" s="155">
        <f>SUM(O13:Q13)</f>
        <v>254.58643170900001</v>
      </c>
      <c r="AE18" s="152"/>
      <c r="AF18" s="152"/>
      <c r="AG18" s="9"/>
      <c r="AH18" s="156" t="s">
        <v>26</v>
      </c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8"/>
      <c r="BA18" s="158"/>
      <c r="BB18" s="158"/>
      <c r="BC18" s="158"/>
      <c r="BD18" s="158"/>
      <c r="BE18" s="158"/>
      <c r="BF18" s="158"/>
      <c r="BG18" s="159" t="str">
        <f>IF(BG$9,FORECAST(BG12,$AP16:BF16,$AP12:BF12), "")</f>
        <v/>
      </c>
      <c r="BH18" s="159" t="str">
        <f>IF(BH$9,FORECAST(BH12,$AP16:BG16,$AP12:BG12), "")</f>
        <v/>
      </c>
      <c r="BI18" s="159" t="str">
        <f>IF(BI$9,FORECAST(BI12,$AP16:BH16,$AP12:BH12), "")</f>
        <v/>
      </c>
      <c r="BJ18" s="159" t="str">
        <f>IF(BJ$9,FORECAST(BJ12,$AP16:BI16,$AP12:BI12), "")</f>
        <v/>
      </c>
      <c r="BK18" s="159" t="str">
        <f>IF(BK$9,FORECAST(BK12,$AP16:BJ16,$AP12:BJ12), "")</f>
        <v/>
      </c>
      <c r="BL18" s="159" t="str">
        <f>IF(BL$9,FORECAST(BL12,$AP16:BK16,$AP12:BK12), "")</f>
        <v/>
      </c>
      <c r="BM18" s="159" t="str">
        <f>IF(BM$9,FORECAST(BM12,$AP16:BL16,$AP12:BL12), "")</f>
        <v/>
      </c>
      <c r="BN18" s="159">
        <f>IF(BN$9,FORECAST(BN12,$AP16:BM16,$AP12:BM12), "")</f>
        <v>455.96363636363634</v>
      </c>
      <c r="BO18" s="159">
        <f>IF(BO$9,FORECAST(BO12,$AP16:BN16,$AP12:BN12), "")</f>
        <v>468.65454545454543</v>
      </c>
      <c r="BP18" s="159">
        <f>IF(BP$9,FORECAST(BP12,$AP16:BO16,$AP12:BO12), "")</f>
        <v>481.34545454545457</v>
      </c>
      <c r="BQ18" s="159">
        <f>IF(BQ$9,FORECAST(BQ12,$AP16:BP16,$AP12:BP12), "")</f>
        <v>494.0363636363636</v>
      </c>
      <c r="BR18" s="159">
        <f>IF(BR$9,FORECAST(BR12,$AP16:BQ16,$AP12:BQ12), "")</f>
        <v>506.72727272727275</v>
      </c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</row>
    <row r="19" spans="1:83" s="69" customFormat="1" ht="15.75" x14ac:dyDescent="0.2">
      <c r="A19" s="1"/>
      <c r="B19" s="1"/>
      <c r="C19" s="1"/>
      <c r="D19" s="1"/>
      <c r="E19" s="80" t="s">
        <v>99</v>
      </c>
      <c r="F19" s="79" t="str">
        <f t="shared" ref="F19:Q19" si="11">F$5</f>
        <v>Jan</v>
      </c>
      <c r="G19" s="79" t="str">
        <f t="shared" si="11"/>
        <v>Feb</v>
      </c>
      <c r="H19" s="79" t="str">
        <f t="shared" si="11"/>
        <v>Mar</v>
      </c>
      <c r="I19" s="79" t="str">
        <f t="shared" si="11"/>
        <v>Apr</v>
      </c>
      <c r="J19" s="79" t="str">
        <f t="shared" si="11"/>
        <v>May</v>
      </c>
      <c r="K19" s="79" t="str">
        <f t="shared" si="11"/>
        <v>Jun</v>
      </c>
      <c r="L19" s="79" t="str">
        <f t="shared" si="11"/>
        <v>Jul</v>
      </c>
      <c r="M19" s="79" t="str">
        <f t="shared" si="11"/>
        <v>Aug</v>
      </c>
      <c r="N19" s="79" t="str">
        <f t="shared" si="11"/>
        <v>Sep</v>
      </c>
      <c r="O19" s="79" t="str">
        <f t="shared" si="11"/>
        <v>Oct</v>
      </c>
      <c r="P19" s="79" t="str">
        <f t="shared" si="11"/>
        <v>Nov</v>
      </c>
      <c r="Q19" s="79" t="str">
        <f t="shared" si="11"/>
        <v>Dec</v>
      </c>
      <c r="R19" s="80" t="s">
        <v>14</v>
      </c>
      <c r="T19" s="101" t="str">
        <f>E7</f>
        <v>2019 Actual</v>
      </c>
      <c r="U19" s="137">
        <f>SUM(F7:H7)</f>
        <v>310</v>
      </c>
      <c r="V19" s="137">
        <f>SUM(I7:K7)</f>
        <v>402</v>
      </c>
      <c r="W19" s="137">
        <f>SUM(L7:N7)</f>
        <v>736</v>
      </c>
      <c r="X19" s="130">
        <f>SUM(O7:Q7)</f>
        <v>1124</v>
      </c>
      <c r="Y19" s="152"/>
      <c r="Z19" s="101" t="str">
        <f>+E14</f>
        <v>2019 Actual</v>
      </c>
      <c r="AA19" s="137">
        <f>SUM(F14:H14)</f>
        <v>304.70655433955812</v>
      </c>
      <c r="AB19" s="137">
        <f>SUM(I14:K14)</f>
        <v>308.35580702919992</v>
      </c>
      <c r="AC19" s="137">
        <f>SUM(L14:N14)</f>
        <v>485.3281807320011</v>
      </c>
      <c r="AD19" s="130">
        <f>SUM(O14:Q14)</f>
        <v>693.77308744097786</v>
      </c>
      <c r="AE19" s="152"/>
      <c r="AF19" s="152"/>
      <c r="AG19" s="160"/>
      <c r="AH19" s="156" t="s">
        <v>90</v>
      </c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8"/>
      <c r="AZ19" s="158"/>
      <c r="BA19" s="158"/>
      <c r="BB19" s="158"/>
      <c r="BC19" s="158"/>
      <c r="BD19" s="158"/>
      <c r="BE19" s="158"/>
      <c r="BF19" s="158"/>
      <c r="BG19" s="159" t="str">
        <f>IF(BG$9,FORECAST(BG13,$AP16:BF16,$AP13:BF13), "")</f>
        <v/>
      </c>
      <c r="BH19" s="159" t="str">
        <f>IF(BH$9,FORECAST(BH13,$AP16:BG16,$AP13:BG13), "")</f>
        <v/>
      </c>
      <c r="BI19" s="159" t="str">
        <f>IF(BI$9,FORECAST(BI13,$AP16:BH16,$AP13:BH13), "")</f>
        <v/>
      </c>
      <c r="BJ19" s="159" t="str">
        <f>IF(BJ$9,FORECAST(BJ13,$AP16:BI16,$AP13:BI13), "")</f>
        <v/>
      </c>
      <c r="BK19" s="159" t="str">
        <f>IF(BK$9,FORECAST(BK13,$AP16:BJ16,$AP13:BJ13), "")</f>
        <v/>
      </c>
      <c r="BL19" s="159" t="str">
        <f>IF(BL$9,FORECAST(BL13,$AP16:BK16,$AP13:BK13), "")</f>
        <v/>
      </c>
      <c r="BM19" s="159" t="str">
        <f>IF(BM$9,FORECAST(BM13,$AP16:BL16,$AP13:BL13), "")</f>
        <v/>
      </c>
      <c r="BN19" s="159">
        <f>IF(BN$9,FORECAST(BN13,$AP16:BM16,$AP13:BM13), "")</f>
        <v>504.75</v>
      </c>
      <c r="BO19" s="159">
        <f>IF(BO$9,FORECAST(BO13,$AP16:BN16,$AP13:BN13), "")</f>
        <v>527.14705882352939</v>
      </c>
      <c r="BP19" s="159">
        <f>IF(BP$9,FORECAST(BP13,$AP16:BO16,$AP13:BO13), "")</f>
        <v>549.5441176470589</v>
      </c>
      <c r="BQ19" s="159">
        <f>IF(BQ$9,FORECAST(BQ13,$AP16:BP16,$AP13:BP13), "")</f>
        <v>571.94117647058829</v>
      </c>
      <c r="BR19" s="159">
        <f>IF(BR$9,FORECAST(BR13,$AP16:BQ16,$AP13:BQ13), "")</f>
        <v>594.33823529411768</v>
      </c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</row>
    <row r="20" spans="1:83" s="69" customFormat="1" x14ac:dyDescent="0.2">
      <c r="A20" s="1"/>
      <c r="B20" s="1"/>
      <c r="C20" s="1"/>
      <c r="D20" s="1"/>
      <c r="E20" s="161" t="str">
        <f>+E13</f>
        <v>2018 Actual</v>
      </c>
      <c r="F20" s="162">
        <f t="shared" ref="F20:R20" si="12">IFERROR(F13/F6,"")</f>
        <v>1.3041478794705883</v>
      </c>
      <c r="G20" s="162">
        <f t="shared" si="12"/>
        <v>1.8964424386071428</v>
      </c>
      <c r="H20" s="162">
        <f t="shared" si="12"/>
        <v>1.5475056195681818</v>
      </c>
      <c r="I20" s="162">
        <f t="shared" si="12"/>
        <v>1.1511635043409092</v>
      </c>
      <c r="J20" s="162">
        <f t="shared" si="12"/>
        <v>0.79613377721428569</v>
      </c>
      <c r="K20" s="162">
        <f t="shared" si="12"/>
        <v>1.0418895544090909</v>
      </c>
      <c r="L20" s="162">
        <f t="shared" si="12"/>
        <v>0.89317246695000008</v>
      </c>
      <c r="M20" s="162">
        <f t="shared" si="12"/>
        <v>0.98094758346428568</v>
      </c>
      <c r="N20" s="162">
        <f t="shared" si="12"/>
        <v>1.00577035848</v>
      </c>
      <c r="O20" s="162">
        <f t="shared" si="12"/>
        <v>0.97550402912068968</v>
      </c>
      <c r="P20" s="162">
        <f t="shared" si="12"/>
        <v>-0.24523458098181822</v>
      </c>
      <c r="Q20" s="162">
        <f t="shared" si="12"/>
        <v>2.4454674122608697</v>
      </c>
      <c r="R20" s="163">
        <f t="shared" si="12"/>
        <v>1.0763216972850469</v>
      </c>
      <c r="T20" s="101" t="str">
        <f>E8</f>
        <v>2020 Budget</v>
      </c>
      <c r="U20" s="137">
        <f>SUM(F8:H8)</f>
        <v>1579.0702982</v>
      </c>
      <c r="V20" s="137">
        <f>SUM(I8:K8)</f>
        <v>1842.6107918000002</v>
      </c>
      <c r="W20" s="137">
        <f>SUM(L8:N8)</f>
        <v>2368.6610403999998</v>
      </c>
      <c r="X20" s="130">
        <f>SUM(O8:Q8)</f>
        <v>2924.7626167999997</v>
      </c>
      <c r="Y20" s="152"/>
      <c r="Z20" s="101" t="str">
        <f>+E15</f>
        <v>2020 Budget</v>
      </c>
      <c r="AA20" s="137">
        <f>SUM(F15:H15)</f>
        <v>853.13686659783787</v>
      </c>
      <c r="AB20" s="137">
        <f>SUM(I15:K15)</f>
        <v>1011.6761786795956</v>
      </c>
      <c r="AC20" s="137">
        <f>SUM(L15:N15)</f>
        <v>1349.8340653982514</v>
      </c>
      <c r="AD20" s="130">
        <f>SUM(O15:Q15)</f>
        <v>1706.7094473445634</v>
      </c>
      <c r="AE20" s="152"/>
      <c r="AF20" s="152"/>
      <c r="AG20" s="118"/>
      <c r="AH20" s="153" t="s">
        <v>1</v>
      </c>
      <c r="AI20" s="164"/>
      <c r="AJ20" s="164"/>
      <c r="AK20" s="164"/>
      <c r="AL20" s="1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65"/>
      <c r="BD20" s="165"/>
      <c r="BE20" s="165"/>
      <c r="BF20" s="165"/>
      <c r="BG20" s="150">
        <f>SUMIFS('Units sold'!$D:$D,'Units sold'!$A:$A,$E$2,'Units sold'!$B:$B,BG$15,'Units sold'!$C:$C,"Periodic")</f>
        <v>497.22690299999999</v>
      </c>
      <c r="BH20" s="150">
        <f>SUMIFS('Units sold'!$D:$D,'Units sold'!$A:$A,$E$2,'Units sold'!$B:$B,BH$15,'Units sold'!$C:$C,"Periodic")</f>
        <v>524.20670719999998</v>
      </c>
      <c r="BI20" s="150">
        <f>SUMIFS('Units sold'!$D:$D,'Units sold'!$A:$A,$E$2,'Units sold'!$B:$B,BI$15,'Units sold'!$C:$C,"Periodic")</f>
        <v>557.63668800000005</v>
      </c>
      <c r="BJ20" s="150">
        <f>SUMIFS('Units sold'!$D:$D,'Units sold'!$A:$A,$E$2,'Units sold'!$B:$B,BJ$15,'Units sold'!$C:$C,"Periodic")</f>
        <v>574.18219959999999</v>
      </c>
      <c r="BK20" s="150">
        <f>SUMIFS('Units sold'!$D:$D,'Units sold'!$A:$A,$E$2,'Units sold'!$B:$B,BK$15,'Units sold'!$C:$C,"Periodic")</f>
        <v>615.59459060000006</v>
      </c>
      <c r="BL20" s="150">
        <f>SUMIFS('Units sold'!$D:$D,'Units sold'!$A:$A,$E$2,'Units sold'!$B:$B,BL$15,'Units sold'!$C:$C,"Periodic")</f>
        <v>652.83400160000008</v>
      </c>
      <c r="BM20" s="150">
        <f>SUMIFS('Units sold'!$D:$D,'Units sold'!$A:$A,$E$2,'Units sold'!$B:$B,BM$15,'Units sold'!$C:$C,"Periodic")</f>
        <v>739.48349380000002</v>
      </c>
      <c r="BN20" s="150">
        <f>SUMIFS('Units sold'!$D:$D,'Units sold'!$A:$A,$E$2,'Units sold'!$B:$B,BN$15,'Units sold'!$C:$C,"Periodic")</f>
        <v>786.80442240000002</v>
      </c>
      <c r="BO20" s="150">
        <f>SUMIFS('Units sold'!$D:$D,'Units sold'!$A:$A,$E$2,'Units sold'!$B:$B,BO$15,'Units sold'!$C:$C,"Periodic")</f>
        <v>842.37312420000001</v>
      </c>
      <c r="BP20" s="150">
        <f>SUMIFS('Units sold'!$D:$D,'Units sold'!$A:$A,$E$2,'Units sold'!$B:$B,BP$15,'Units sold'!$C:$C,"Periodic")</f>
        <v>907.37609739999994</v>
      </c>
      <c r="BQ20" s="150">
        <f>SUMIFS('Units sold'!$D:$D,'Units sold'!$A:$A,$E$2,'Units sold'!$B:$B,BQ$15,'Units sold'!$C:$C,"Periodic")</f>
        <v>972.86586119999993</v>
      </c>
      <c r="BR20" s="150">
        <f>SUMIFS('Units sold'!$D:$D,'Units sold'!$A:$A,$E$2,'Units sold'!$B:$B,BR$15,'Units sold'!$C:$C,"Periodic")</f>
        <v>1044.5206582000001</v>
      </c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</row>
    <row r="21" spans="1:83" s="69" customFormat="1" x14ac:dyDescent="0.2">
      <c r="A21" s="1"/>
      <c r="B21" s="1"/>
      <c r="C21" s="1"/>
      <c r="D21" s="1"/>
      <c r="E21" s="161" t="str">
        <f>+E14</f>
        <v>2019 Actual</v>
      </c>
      <c r="F21" s="162">
        <f t="shared" ref="F21:R21" si="13">IFERROR(F14/F7,"")</f>
        <v>1.0020604877302703</v>
      </c>
      <c r="G21" s="162">
        <f t="shared" si="13"/>
        <v>0.98953350220875402</v>
      </c>
      <c r="H21" s="162">
        <f t="shared" si="13"/>
        <v>0.95571604395033083</v>
      </c>
      <c r="I21" s="162">
        <f t="shared" si="13"/>
        <v>0.88373483369781758</v>
      </c>
      <c r="J21" s="162">
        <f t="shared" si="13"/>
        <v>0.95559626958205235</v>
      </c>
      <c r="K21" s="162">
        <f t="shared" si="13"/>
        <v>0.61975820530323922</v>
      </c>
      <c r="L21" s="162">
        <f t="shared" si="13"/>
        <v>0.61091757343319475</v>
      </c>
      <c r="M21" s="162">
        <f t="shared" si="13"/>
        <v>0.73488342447404764</v>
      </c>
      <c r="N21" s="162">
        <f t="shared" si="13"/>
        <v>0.63567623099471404</v>
      </c>
      <c r="O21" s="162">
        <f t="shared" si="13"/>
        <v>0.66468963918202262</v>
      </c>
      <c r="P21" s="162">
        <f t="shared" si="13"/>
        <v>0.68399119579295664</v>
      </c>
      <c r="Q21" s="162">
        <f t="shared" si="13"/>
        <v>0.5223561758051477</v>
      </c>
      <c r="R21" s="163">
        <f t="shared" si="13"/>
        <v>0.69679767867097087</v>
      </c>
      <c r="T21" s="101" t="str">
        <f>E9</f>
        <v>2020 Actual</v>
      </c>
      <c r="U21" s="137">
        <f>SUM(F9:H9)</f>
        <v>1190</v>
      </c>
      <c r="V21" s="137">
        <f>SUM(I9:K9)</f>
        <v>1104</v>
      </c>
      <c r="W21" s="137">
        <f>SUM(L9:N9)</f>
        <v>490</v>
      </c>
      <c r="X21" s="130">
        <f>SUM(O9:Q9)</f>
        <v>0</v>
      </c>
      <c r="Y21" s="152"/>
      <c r="Z21" s="101" t="str">
        <f>+E16</f>
        <v>2020 Actual</v>
      </c>
      <c r="AA21" s="137">
        <f>SUM(F16:H16)</f>
        <v>736.51911264900002</v>
      </c>
      <c r="AB21" s="137">
        <f>SUM(I16:K16)</f>
        <v>700.27418398500004</v>
      </c>
      <c r="AC21" s="137">
        <f>SUM(L16:N16)</f>
        <v>294.97234411200003</v>
      </c>
      <c r="AD21" s="130">
        <f>SUM(O16:Q16)</f>
        <v>0</v>
      </c>
      <c r="AE21" s="118"/>
      <c r="AF21" s="118"/>
      <c r="AG21" s="118"/>
      <c r="AH21" s="153" t="s">
        <v>34</v>
      </c>
      <c r="AI21" s="118"/>
      <c r="AJ21" s="118"/>
      <c r="AK21" s="118"/>
      <c r="AL21" s="1"/>
      <c r="BD21" s="166"/>
      <c r="BE21" s="166"/>
      <c r="BF21" s="166"/>
      <c r="BG21" s="150" t="str">
        <f t="shared" ref="BG21:BR21" si="14">IF(OR(BG$8=1,BG$9=1),F10,"")</f>
        <v/>
      </c>
      <c r="BH21" s="150" t="str">
        <f t="shared" si="14"/>
        <v/>
      </c>
      <c r="BI21" s="150" t="str">
        <f t="shared" si="14"/>
        <v/>
      </c>
      <c r="BJ21" s="150" t="str">
        <f t="shared" si="14"/>
        <v/>
      </c>
      <c r="BK21" s="150" t="str">
        <f t="shared" si="14"/>
        <v/>
      </c>
      <c r="BL21" s="150" t="str">
        <f t="shared" si="14"/>
        <v/>
      </c>
      <c r="BM21" s="150">
        <f t="shared" si="14"/>
        <v>490</v>
      </c>
      <c r="BN21" s="150">
        <f t="shared" si="14"/>
        <v>721.23834733884996</v>
      </c>
      <c r="BO21" s="150">
        <f t="shared" si="14"/>
        <v>777.27956029652228</v>
      </c>
      <c r="BP21" s="150">
        <f t="shared" si="14"/>
        <v>842.30277590830678</v>
      </c>
      <c r="BQ21" s="150">
        <f t="shared" si="14"/>
        <v>913.00096384280994</v>
      </c>
      <c r="BR21" s="150">
        <f t="shared" si="14"/>
        <v>988.41572760154975</v>
      </c>
      <c r="BS21" s="165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</row>
    <row r="22" spans="1:83" s="69" customFormat="1" x14ac:dyDescent="0.2">
      <c r="A22" s="1"/>
      <c r="B22" s="1"/>
      <c r="C22" s="1"/>
      <c r="D22" s="1"/>
      <c r="E22" s="167" t="str">
        <f>+E15</f>
        <v>2020 Budget</v>
      </c>
      <c r="F22" s="168">
        <f t="shared" ref="F22:R22" si="15">IFERROR(F15/F8,"")</f>
        <v>0.53713550755457351</v>
      </c>
      <c r="G22" s="168">
        <f t="shared" si="15"/>
        <v>0.54180772082772288</v>
      </c>
      <c r="H22" s="168">
        <f t="shared" si="15"/>
        <v>0.54164190935462042</v>
      </c>
      <c r="I22" s="168">
        <f t="shared" si="15"/>
        <v>0.54334123130935807</v>
      </c>
      <c r="J22" s="168">
        <f t="shared" si="15"/>
        <v>0.54886345321086372</v>
      </c>
      <c r="K22" s="168">
        <f t="shared" si="15"/>
        <v>0.55423268655063895</v>
      </c>
      <c r="L22" s="168">
        <f t="shared" si="15"/>
        <v>0.56484371721041637</v>
      </c>
      <c r="M22" s="168">
        <f t="shared" si="15"/>
        <v>0.57020616042644479</v>
      </c>
      <c r="N22" s="168">
        <f t="shared" si="15"/>
        <v>0.57397454566281725</v>
      </c>
      <c r="O22" s="168">
        <f t="shared" si="15"/>
        <v>0.57743191657251691</v>
      </c>
      <c r="P22" s="168">
        <f t="shared" si="15"/>
        <v>0.5837651437292819</v>
      </c>
      <c r="Q22" s="168">
        <f t="shared" si="15"/>
        <v>0.58863014747606346</v>
      </c>
      <c r="R22" s="169">
        <f t="shared" si="15"/>
        <v>0.56469276053180972</v>
      </c>
      <c r="T22" s="138" t="s">
        <v>34</v>
      </c>
      <c r="U22" s="170">
        <f>SUM(F10:H10)</f>
        <v>1190</v>
      </c>
      <c r="V22" s="170">
        <f>SUM(I10:K10)</f>
        <v>1104</v>
      </c>
      <c r="W22" s="170">
        <f>SUM(L10:N10)</f>
        <v>1988.5179076353722</v>
      </c>
      <c r="X22" s="139">
        <f>SUM(O10:Q10)</f>
        <v>2743.7194673526665</v>
      </c>
      <c r="Y22" s="118"/>
      <c r="Z22" s="138" t="s">
        <v>34</v>
      </c>
      <c r="AA22" s="170">
        <f>SUM(F17:H17)</f>
        <v>736.51911264900002</v>
      </c>
      <c r="AB22" s="170">
        <f>SUM(I17:K17)</f>
        <v>700.27418398500004</v>
      </c>
      <c r="AC22" s="170">
        <f>SUM(L17:N17)</f>
        <v>1227.1138040565136</v>
      </c>
      <c r="AD22" s="139">
        <f>SUM(O17:Q17)</f>
        <v>1706.7094473445634</v>
      </c>
      <c r="AE22" s="118"/>
      <c r="AF22" s="118"/>
      <c r="AG22" s="6" t="s">
        <v>30</v>
      </c>
      <c r="AH22" s="171" t="s">
        <v>26</v>
      </c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8"/>
      <c r="BA22" s="158"/>
      <c r="BB22" s="158"/>
      <c r="BC22" s="158"/>
      <c r="BD22" s="158"/>
      <c r="BE22" s="158"/>
      <c r="BF22" s="158"/>
      <c r="BG22" s="159">
        <f t="shared" ref="BG22:BR22" si="16">IF(BG18="",BG20,BG18)</f>
        <v>497.22690299999999</v>
      </c>
      <c r="BH22" s="159">
        <f t="shared" si="16"/>
        <v>524.20670719999998</v>
      </c>
      <c r="BI22" s="159">
        <f t="shared" si="16"/>
        <v>557.63668800000005</v>
      </c>
      <c r="BJ22" s="159">
        <f t="shared" si="16"/>
        <v>574.18219959999999</v>
      </c>
      <c r="BK22" s="159">
        <f t="shared" si="16"/>
        <v>615.59459060000006</v>
      </c>
      <c r="BL22" s="159">
        <f t="shared" si="16"/>
        <v>652.83400160000008</v>
      </c>
      <c r="BM22" s="159">
        <f t="shared" si="16"/>
        <v>739.48349380000002</v>
      </c>
      <c r="BN22" s="159">
        <f t="shared" si="16"/>
        <v>455.96363636363634</v>
      </c>
      <c r="BO22" s="159">
        <f t="shared" si="16"/>
        <v>468.65454545454543</v>
      </c>
      <c r="BP22" s="159">
        <f t="shared" si="16"/>
        <v>481.34545454545457</v>
      </c>
      <c r="BQ22" s="159">
        <f t="shared" si="16"/>
        <v>494.0363636363636</v>
      </c>
      <c r="BR22" s="159">
        <f t="shared" si="16"/>
        <v>506.72727272727275</v>
      </c>
      <c r="BS22" s="174">
        <f>SUM(BG22:BR22)</f>
        <v>6567.8918565272734</v>
      </c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</row>
    <row r="23" spans="1:83" s="69" customFormat="1" x14ac:dyDescent="0.2">
      <c r="A23" s="1"/>
      <c r="B23" s="1"/>
      <c r="C23" s="1"/>
      <c r="D23" s="1"/>
      <c r="E23" s="161" t="str">
        <f>+E16</f>
        <v>2020 Actual</v>
      </c>
      <c r="F23" s="172">
        <f t="shared" ref="F23:R23" si="17">IFERROR(F16/F9,"")</f>
        <v>0.64171018085714293</v>
      </c>
      <c r="G23" s="172">
        <f t="shared" si="17"/>
        <v>0.60175917472752805</v>
      </c>
      <c r="H23" s="172">
        <f t="shared" si="17"/>
        <v>0.61581973027710846</v>
      </c>
      <c r="I23" s="172">
        <f t="shared" si="17"/>
        <v>0.65202615326582269</v>
      </c>
      <c r="J23" s="172">
        <f t="shared" si="17"/>
        <v>0.63618808213281242</v>
      </c>
      <c r="K23" s="172">
        <f t="shared" si="17"/>
        <v>0.61865766340099004</v>
      </c>
      <c r="L23" s="172">
        <f t="shared" si="17"/>
        <v>0.60198437573877561</v>
      </c>
      <c r="M23" s="172" t="str">
        <f t="shared" si="17"/>
        <v/>
      </c>
      <c r="N23" s="172" t="str">
        <f t="shared" si="17"/>
        <v/>
      </c>
      <c r="O23" s="172" t="str">
        <f t="shared" si="17"/>
        <v/>
      </c>
      <c r="P23" s="172" t="str">
        <f t="shared" si="17"/>
        <v/>
      </c>
      <c r="Q23" s="172" t="str">
        <f t="shared" si="17"/>
        <v/>
      </c>
      <c r="R23" s="173">
        <f t="shared" si="17"/>
        <v>0.62204225601508623</v>
      </c>
      <c r="AE23" s="127"/>
      <c r="AF23" s="127"/>
      <c r="AG23" s="164"/>
      <c r="AH23" s="171" t="s">
        <v>90</v>
      </c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8"/>
      <c r="AZ23" s="158"/>
      <c r="BA23" s="158"/>
      <c r="BB23" s="158"/>
      <c r="BC23" s="158"/>
      <c r="BD23" s="158"/>
      <c r="BE23" s="158"/>
      <c r="BF23" s="158"/>
      <c r="BG23" s="159">
        <f t="shared" ref="BG23:BR23" si="18">IF(BG19="",BG20,BG19)</f>
        <v>497.22690299999999</v>
      </c>
      <c r="BH23" s="159">
        <f t="shared" si="18"/>
        <v>524.20670719999998</v>
      </c>
      <c r="BI23" s="159">
        <f t="shared" si="18"/>
        <v>557.63668800000005</v>
      </c>
      <c r="BJ23" s="159">
        <f t="shared" si="18"/>
        <v>574.18219959999999</v>
      </c>
      <c r="BK23" s="159">
        <f t="shared" si="18"/>
        <v>615.59459060000006</v>
      </c>
      <c r="BL23" s="159">
        <f t="shared" si="18"/>
        <v>652.83400160000008</v>
      </c>
      <c r="BM23" s="159">
        <f t="shared" si="18"/>
        <v>739.48349380000002</v>
      </c>
      <c r="BN23" s="159">
        <f t="shared" si="18"/>
        <v>504.75</v>
      </c>
      <c r="BO23" s="159">
        <f t="shared" si="18"/>
        <v>527.14705882352939</v>
      </c>
      <c r="BP23" s="159">
        <f t="shared" si="18"/>
        <v>549.5441176470589</v>
      </c>
      <c r="BQ23" s="159">
        <f t="shared" si="18"/>
        <v>571.94117647058829</v>
      </c>
      <c r="BR23" s="159">
        <f t="shared" si="18"/>
        <v>594.33823529411768</v>
      </c>
      <c r="BS23" s="174">
        <f>SUM(BG23:BR23)</f>
        <v>6908.885172035295</v>
      </c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</row>
    <row r="24" spans="1:83" s="69" customFormat="1" x14ac:dyDescent="0.2">
      <c r="A24" s="1"/>
      <c r="B24" s="1"/>
      <c r="C24" s="1"/>
      <c r="D24" s="1"/>
      <c r="E24" s="161" t="str">
        <f>+E17</f>
        <v>Forecast</v>
      </c>
      <c r="F24" s="172">
        <f>IF(F23="",IFERROR(SUM(E17:$F17)/SUM(E10:$F10),""),F17/F10)</f>
        <v>0.64171018085714293</v>
      </c>
      <c r="G24" s="175">
        <f>IF(G23="",IFERROR(SUM(F17:$F17)/SUM(F10:$F10),""),G17/G10)</f>
        <v>0.60175917472752805</v>
      </c>
      <c r="H24" s="175">
        <f>IF(H23="",IFERROR(SUM($F17:G17)/SUM($F10:G10),""),H17/H10)</f>
        <v>0.61581973027710846</v>
      </c>
      <c r="I24" s="175">
        <f>IF(I23="",IFERROR(SUM($F17:H17)/SUM($F10:H10),""),I17/I10)</f>
        <v>0.65202615326582269</v>
      </c>
      <c r="J24" s="175">
        <f>IF(J23="",IFERROR(SUM($F17:I17)/SUM($F10:I10),""),J17/J10)</f>
        <v>0.63618808213281242</v>
      </c>
      <c r="K24" s="175">
        <f>IF(K23="",IFERROR(SUM($F17:J17)/SUM($F10:J10),""),K17/K10)</f>
        <v>0.61865766340099004</v>
      </c>
      <c r="L24" s="175">
        <f>IF(L23="",IFERROR(SUM($F17:K17)/SUM($F10:K10),""),L17/L10)</f>
        <v>0.60198437573877561</v>
      </c>
      <c r="M24" s="175">
        <f>IF(M23="",IFERROR(SUM($F17:L17)/SUM($F10:L10),""),M17/M10)</f>
        <v>0.62204225601508623</v>
      </c>
      <c r="N24" s="175">
        <f>IF(N23="",IFERROR(SUM($F17:M17)/SUM($F10:M10),""),N17/N10)</f>
        <v>0.62204225601508623</v>
      </c>
      <c r="O24" s="175">
        <f>IF(O23="",IFERROR(SUM($F17:N17)/SUM($F10:N10),""),O17/O10)</f>
        <v>0.62204225601508623</v>
      </c>
      <c r="P24" s="175">
        <f>IF(P23="",IFERROR(SUM($F17:O17)/SUM($F10:O10),""),P17/P10)</f>
        <v>0.62204225601508611</v>
      </c>
      <c r="Q24" s="175">
        <f>IF(Q23="",IFERROR(SUM($F17:P17)/SUM($F10:P10),""),Q17/Q10)</f>
        <v>0.62204225601508623</v>
      </c>
      <c r="R24" s="173">
        <f>IFERROR(R17/R10,"")</f>
        <v>0.62204225601508623</v>
      </c>
      <c r="T24" s="122" t="s">
        <v>97</v>
      </c>
      <c r="U24" s="151" t="str">
        <f>AA24</f>
        <v>Q1</v>
      </c>
      <c r="V24" s="151" t="str">
        <f t="shared" ref="V24:X24" si="19">AB24</f>
        <v>Q2</v>
      </c>
      <c r="W24" s="151" t="str">
        <f t="shared" si="19"/>
        <v>Q3</v>
      </c>
      <c r="X24" s="151" t="str">
        <f t="shared" si="19"/>
        <v>Q4</v>
      </c>
      <c r="Y24" s="127"/>
      <c r="Z24" s="122" t="s">
        <v>97</v>
      </c>
      <c r="AA24" s="151" t="s">
        <v>21</v>
      </c>
      <c r="AB24" s="151" t="s">
        <v>22</v>
      </c>
      <c r="AC24" s="151" t="s">
        <v>23</v>
      </c>
      <c r="AD24" s="123" t="s">
        <v>24</v>
      </c>
      <c r="AE24" s="137"/>
      <c r="AF24" s="137"/>
      <c r="AG24" s="6" t="s">
        <v>89</v>
      </c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</row>
    <row r="25" spans="1:83" s="69" customFormat="1" x14ac:dyDescent="0.2">
      <c r="A25" s="1"/>
      <c r="B25" s="1"/>
      <c r="C25" s="1"/>
      <c r="D25" s="1"/>
      <c r="T25" s="101" t="str">
        <f>"vs "&amp;$A$6</f>
        <v>vs 2018</v>
      </c>
      <c r="U25" s="176">
        <f t="shared" ref="U25:X26" si="20">IFERROR(U$21/U18-1,"")</f>
        <v>10.226415094339623</v>
      </c>
      <c r="V25" s="176">
        <f t="shared" si="20"/>
        <v>7.4923076923076923</v>
      </c>
      <c r="W25" s="176">
        <f t="shared" si="20"/>
        <v>2.3561643835616439</v>
      </c>
      <c r="X25" s="136">
        <f t="shared" si="20"/>
        <v>-1</v>
      </c>
      <c r="Y25" s="137"/>
      <c r="Z25" s="101" t="str">
        <f>"vs "&amp;$A$6</f>
        <v>vs 2018</v>
      </c>
      <c r="AA25" s="176">
        <f t="shared" ref="AA25:AD26" si="21">IFERROR(AA$21/AA18-1,"")</f>
        <v>3.4494152799845885</v>
      </c>
      <c r="AB25" s="176">
        <f t="shared" si="21"/>
        <v>4.3895455781857109</v>
      </c>
      <c r="AC25" s="176">
        <f t="shared" si="21"/>
        <v>1.0927670978901598</v>
      </c>
      <c r="AD25" s="136">
        <f t="shared" si="21"/>
        <v>-1</v>
      </c>
      <c r="AE25" s="137"/>
      <c r="AF25" s="137"/>
      <c r="AH25" s="118" t="str">
        <f>AH16</f>
        <v>Actual</v>
      </c>
      <c r="AU25" s="150">
        <f t="shared" ref="AU25:BR25" si="22">IF(AU16="",NA(),AU16)</f>
        <v>128</v>
      </c>
      <c r="AV25" s="150">
        <f t="shared" si="22"/>
        <v>74</v>
      </c>
      <c r="AW25" s="150">
        <f t="shared" si="22"/>
        <v>108</v>
      </c>
      <c r="AX25" s="150">
        <f t="shared" si="22"/>
        <v>92</v>
      </c>
      <c r="AY25" s="150">
        <f t="shared" si="22"/>
        <v>104</v>
      </c>
      <c r="AZ25" s="150">
        <f t="shared" si="22"/>
        <v>206</v>
      </c>
      <c r="BA25" s="150">
        <f t="shared" si="22"/>
        <v>232</v>
      </c>
      <c r="BB25" s="150">
        <f t="shared" si="22"/>
        <v>234</v>
      </c>
      <c r="BC25" s="150">
        <f t="shared" si="22"/>
        <v>270</v>
      </c>
      <c r="BD25" s="150">
        <f t="shared" si="22"/>
        <v>320</v>
      </c>
      <c r="BE25" s="150">
        <f t="shared" si="22"/>
        <v>378</v>
      </c>
      <c r="BF25" s="150">
        <f t="shared" si="22"/>
        <v>426</v>
      </c>
      <c r="BG25" s="150">
        <f t="shared" si="22"/>
        <v>336</v>
      </c>
      <c r="BH25" s="150">
        <f t="shared" si="22"/>
        <v>356</v>
      </c>
      <c r="BI25" s="150">
        <f t="shared" si="22"/>
        <v>498</v>
      </c>
      <c r="BJ25" s="150">
        <f t="shared" si="22"/>
        <v>316</v>
      </c>
      <c r="BK25" s="150">
        <f t="shared" si="22"/>
        <v>384</v>
      </c>
      <c r="BL25" s="150">
        <f t="shared" si="22"/>
        <v>404</v>
      </c>
      <c r="BM25" s="150">
        <f t="shared" si="22"/>
        <v>490</v>
      </c>
      <c r="BN25" s="150" t="e">
        <f t="shared" si="22"/>
        <v>#N/A</v>
      </c>
      <c r="BO25" s="150" t="e">
        <f t="shared" si="22"/>
        <v>#N/A</v>
      </c>
      <c r="BP25" s="150" t="e">
        <f t="shared" si="22"/>
        <v>#N/A</v>
      </c>
      <c r="BQ25" s="150" t="e">
        <f t="shared" si="22"/>
        <v>#N/A</v>
      </c>
      <c r="BR25" s="150" t="e">
        <f t="shared" si="22"/>
        <v>#N/A</v>
      </c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</row>
    <row r="26" spans="1:83" s="69" customForma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T26" s="101" t="str">
        <f>"vs "&amp;$A$7</f>
        <v>vs 2019</v>
      </c>
      <c r="U26" s="176">
        <f t="shared" si="20"/>
        <v>2.838709677419355</v>
      </c>
      <c r="V26" s="176">
        <f t="shared" si="20"/>
        <v>1.7462686567164178</v>
      </c>
      <c r="W26" s="176">
        <f t="shared" si="20"/>
        <v>-0.33423913043478259</v>
      </c>
      <c r="X26" s="136">
        <f t="shared" si="20"/>
        <v>-1</v>
      </c>
      <c r="Y26" s="137"/>
      <c r="Z26" s="101" t="str">
        <f>"vs "&amp;$A$7</f>
        <v>vs 2019</v>
      </c>
      <c r="AA26" s="176">
        <f t="shared" si="21"/>
        <v>1.4171423363221773</v>
      </c>
      <c r="AB26" s="176">
        <f t="shared" si="21"/>
        <v>1.2709939881841992</v>
      </c>
      <c r="AC26" s="176">
        <f t="shared" si="21"/>
        <v>-0.3922208603936721</v>
      </c>
      <c r="AD26" s="136">
        <f t="shared" si="21"/>
        <v>-1</v>
      </c>
      <c r="AE26" s="137"/>
      <c r="AF26" s="137"/>
      <c r="AH26" s="118" t="str">
        <f>AH20</f>
        <v>Budget</v>
      </c>
      <c r="AU26" s="150" t="e">
        <f t="shared" ref="AU26:BR26" si="23">IF(AU17="",NA(),AU17)</f>
        <v>#N/A</v>
      </c>
      <c r="AV26" s="150" t="e">
        <f t="shared" si="23"/>
        <v>#N/A</v>
      </c>
      <c r="AW26" s="150" t="e">
        <f t="shared" si="23"/>
        <v>#N/A</v>
      </c>
      <c r="AX26" s="150" t="e">
        <f t="shared" si="23"/>
        <v>#N/A</v>
      </c>
      <c r="AY26" s="150" t="e">
        <f t="shared" si="23"/>
        <v>#N/A</v>
      </c>
      <c r="AZ26" s="150" t="e">
        <f t="shared" si="23"/>
        <v>#N/A</v>
      </c>
      <c r="BA26" s="150" t="e">
        <f t="shared" si="23"/>
        <v>#N/A</v>
      </c>
      <c r="BB26" s="150" t="e">
        <f t="shared" si="23"/>
        <v>#N/A</v>
      </c>
      <c r="BC26" s="150" t="e">
        <f t="shared" si="23"/>
        <v>#N/A</v>
      </c>
      <c r="BD26" s="150" t="e">
        <f t="shared" si="23"/>
        <v>#N/A</v>
      </c>
      <c r="BE26" s="150" t="e">
        <f t="shared" si="23"/>
        <v>#N/A</v>
      </c>
      <c r="BF26" s="150" t="e">
        <f t="shared" si="23"/>
        <v>#N/A</v>
      </c>
      <c r="BG26" s="150" t="e">
        <f t="shared" si="23"/>
        <v>#N/A</v>
      </c>
      <c r="BH26" s="150" t="e">
        <f t="shared" si="23"/>
        <v>#N/A</v>
      </c>
      <c r="BI26" s="150" t="e">
        <f t="shared" si="23"/>
        <v>#N/A</v>
      </c>
      <c r="BJ26" s="150" t="e">
        <f t="shared" si="23"/>
        <v>#N/A</v>
      </c>
      <c r="BK26" s="150" t="e">
        <f t="shared" si="23"/>
        <v>#N/A</v>
      </c>
      <c r="BL26" s="150" t="e">
        <f t="shared" si="23"/>
        <v>#N/A</v>
      </c>
      <c r="BM26" s="150">
        <f t="shared" si="23"/>
        <v>739.48349380000002</v>
      </c>
      <c r="BN26" s="150">
        <f t="shared" si="23"/>
        <v>786.80442240000002</v>
      </c>
      <c r="BO26" s="150">
        <f t="shared" si="23"/>
        <v>842.37312420000001</v>
      </c>
      <c r="BP26" s="150">
        <f t="shared" si="23"/>
        <v>907.37609739999994</v>
      </c>
      <c r="BQ26" s="150">
        <f t="shared" si="23"/>
        <v>972.86586119999993</v>
      </c>
      <c r="BR26" s="150">
        <f t="shared" si="23"/>
        <v>1044.5206582000001</v>
      </c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</row>
    <row r="27" spans="1:83" s="69" customForma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T27" s="138" t="str">
        <f>"Forecast "&amp;"vs. "&amp;$A$7</f>
        <v>Forecast vs. 2019</v>
      </c>
      <c r="U27" s="177">
        <f>IFERROR(U22/U19-1,"")</f>
        <v>2.838709677419355</v>
      </c>
      <c r="V27" s="177">
        <f>IFERROR(V22/V19-1,"")</f>
        <v>1.7462686567164178</v>
      </c>
      <c r="W27" s="177">
        <f>IFERROR(W22/W19-1,"")</f>
        <v>1.701790635374147</v>
      </c>
      <c r="X27" s="178">
        <f>IFERROR(X22/X19-1,"")</f>
        <v>1.4410315545842227</v>
      </c>
      <c r="Y27" s="29"/>
      <c r="Z27" s="138" t="str">
        <f>"Forecast "&amp;"vs. "&amp;$A$7</f>
        <v>Forecast vs. 2019</v>
      </c>
      <c r="AA27" s="177">
        <f>IFERROR(AA22/AA19-1,"")</f>
        <v>1.4171423363221773</v>
      </c>
      <c r="AB27" s="177">
        <f>IFERROR(AB22/AB19-1,"")</f>
        <v>1.2709939881841992</v>
      </c>
      <c r="AC27" s="177">
        <f>IFERROR(AC22/AC19-1,"")</f>
        <v>1.52842067033014</v>
      </c>
      <c r="AD27" s="178">
        <f>IFERROR(AD22/AD19-1,"")</f>
        <v>1.4600398577579017</v>
      </c>
      <c r="AE27" s="137"/>
      <c r="AF27" s="137"/>
      <c r="AH27" s="118" t="str">
        <f>AH18</f>
        <v>Trend 6m</v>
      </c>
      <c r="AU27" s="150" t="e">
        <f t="shared" ref="AU27:BR27" si="24">IF(AU18="",NA(),AU18)</f>
        <v>#N/A</v>
      </c>
      <c r="AV27" s="150" t="e">
        <f t="shared" si="24"/>
        <v>#N/A</v>
      </c>
      <c r="AW27" s="150" t="e">
        <f t="shared" si="24"/>
        <v>#N/A</v>
      </c>
      <c r="AX27" s="150" t="e">
        <f t="shared" si="24"/>
        <v>#N/A</v>
      </c>
      <c r="AY27" s="150" t="e">
        <f t="shared" si="24"/>
        <v>#N/A</v>
      </c>
      <c r="AZ27" s="150" t="e">
        <f t="shared" si="24"/>
        <v>#N/A</v>
      </c>
      <c r="BA27" s="150" t="e">
        <f t="shared" si="24"/>
        <v>#N/A</v>
      </c>
      <c r="BB27" s="150" t="e">
        <f t="shared" si="24"/>
        <v>#N/A</v>
      </c>
      <c r="BC27" s="150" t="e">
        <f t="shared" si="24"/>
        <v>#N/A</v>
      </c>
      <c r="BD27" s="150" t="e">
        <f t="shared" si="24"/>
        <v>#N/A</v>
      </c>
      <c r="BE27" s="150" t="e">
        <f t="shared" si="24"/>
        <v>#N/A</v>
      </c>
      <c r="BF27" s="150" t="e">
        <f t="shared" si="24"/>
        <v>#N/A</v>
      </c>
      <c r="BG27" s="150" t="e">
        <f t="shared" si="24"/>
        <v>#N/A</v>
      </c>
      <c r="BH27" s="150" t="e">
        <f t="shared" si="24"/>
        <v>#N/A</v>
      </c>
      <c r="BI27" s="150" t="e">
        <f t="shared" si="24"/>
        <v>#N/A</v>
      </c>
      <c r="BJ27" s="150" t="e">
        <f t="shared" si="24"/>
        <v>#N/A</v>
      </c>
      <c r="BK27" s="150" t="e">
        <f t="shared" si="24"/>
        <v>#N/A</v>
      </c>
      <c r="BL27" s="150" t="e">
        <f t="shared" si="24"/>
        <v>#N/A</v>
      </c>
      <c r="BM27" s="150" t="e">
        <f t="shared" si="24"/>
        <v>#N/A</v>
      </c>
      <c r="BN27" s="150">
        <f t="shared" si="24"/>
        <v>455.96363636363634</v>
      </c>
      <c r="BO27" s="150">
        <f t="shared" si="24"/>
        <v>468.65454545454543</v>
      </c>
      <c r="BP27" s="150">
        <f t="shared" si="24"/>
        <v>481.34545454545457</v>
      </c>
      <c r="BQ27" s="150">
        <f t="shared" si="24"/>
        <v>494.0363636363636</v>
      </c>
      <c r="BR27" s="150">
        <f t="shared" si="24"/>
        <v>506.72727272727275</v>
      </c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</row>
    <row r="28" spans="1:83" s="69" customForma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AE28" s="137"/>
      <c r="AF28" s="137"/>
      <c r="AG28" s="1"/>
      <c r="AH28" s="118" t="str">
        <f>AH19</f>
        <v>Trend 12m</v>
      </c>
      <c r="AI28" s="1"/>
      <c r="AJ28" s="1"/>
      <c r="AK28" s="1"/>
      <c r="AL28" s="1"/>
      <c r="AU28" s="150" t="e">
        <f t="shared" ref="AU28:BR28" si="25">IF(AU19="",NA(),AU19)</f>
        <v>#N/A</v>
      </c>
      <c r="AV28" s="150" t="e">
        <f t="shared" si="25"/>
        <v>#N/A</v>
      </c>
      <c r="AW28" s="150" t="e">
        <f t="shared" si="25"/>
        <v>#N/A</v>
      </c>
      <c r="AX28" s="150" t="e">
        <f t="shared" si="25"/>
        <v>#N/A</v>
      </c>
      <c r="AY28" s="150" t="e">
        <f t="shared" si="25"/>
        <v>#N/A</v>
      </c>
      <c r="AZ28" s="150" t="e">
        <f t="shared" si="25"/>
        <v>#N/A</v>
      </c>
      <c r="BA28" s="150" t="e">
        <f t="shared" si="25"/>
        <v>#N/A</v>
      </c>
      <c r="BB28" s="150" t="e">
        <f t="shared" si="25"/>
        <v>#N/A</v>
      </c>
      <c r="BC28" s="150" t="e">
        <f t="shared" si="25"/>
        <v>#N/A</v>
      </c>
      <c r="BD28" s="150" t="e">
        <f t="shared" si="25"/>
        <v>#N/A</v>
      </c>
      <c r="BE28" s="150" t="e">
        <f t="shared" si="25"/>
        <v>#N/A</v>
      </c>
      <c r="BF28" s="150" t="e">
        <f t="shared" si="25"/>
        <v>#N/A</v>
      </c>
      <c r="BG28" s="150" t="e">
        <f t="shared" si="25"/>
        <v>#N/A</v>
      </c>
      <c r="BH28" s="150" t="e">
        <f t="shared" si="25"/>
        <v>#N/A</v>
      </c>
      <c r="BI28" s="150" t="e">
        <f t="shared" si="25"/>
        <v>#N/A</v>
      </c>
      <c r="BJ28" s="150" t="e">
        <f t="shared" si="25"/>
        <v>#N/A</v>
      </c>
      <c r="BK28" s="150" t="e">
        <f t="shared" si="25"/>
        <v>#N/A</v>
      </c>
      <c r="BL28" s="150" t="e">
        <f t="shared" si="25"/>
        <v>#N/A</v>
      </c>
      <c r="BM28" s="150" t="e">
        <f t="shared" si="25"/>
        <v>#N/A</v>
      </c>
      <c r="BN28" s="150">
        <f t="shared" si="25"/>
        <v>504.75</v>
      </c>
      <c r="BO28" s="150">
        <f t="shared" si="25"/>
        <v>527.14705882352939</v>
      </c>
      <c r="BP28" s="150">
        <f t="shared" si="25"/>
        <v>549.5441176470589</v>
      </c>
      <c r="BQ28" s="150">
        <f t="shared" si="25"/>
        <v>571.94117647058829</v>
      </c>
      <c r="BR28" s="150">
        <f t="shared" si="25"/>
        <v>594.33823529411768</v>
      </c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</row>
    <row r="29" spans="1:83" s="69" customForma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s="122" t="s">
        <v>97</v>
      </c>
      <c r="U29" s="151" t="str">
        <f>AA29</f>
        <v>Q1</v>
      </c>
      <c r="V29" s="151" t="str">
        <f t="shared" ref="V29:X29" si="26">AB29</f>
        <v>Q2</v>
      </c>
      <c r="W29" s="151" t="str">
        <f t="shared" si="26"/>
        <v>Q3</v>
      </c>
      <c r="X29" s="123" t="str">
        <f t="shared" si="26"/>
        <v>Q4</v>
      </c>
      <c r="Y29" s="29"/>
      <c r="Z29" s="122" t="s">
        <v>97</v>
      </c>
      <c r="AA29" s="151" t="s">
        <v>21</v>
      </c>
      <c r="AB29" s="151" t="s">
        <v>22</v>
      </c>
      <c r="AC29" s="151" t="s">
        <v>23</v>
      </c>
      <c r="AD29" s="123" t="s">
        <v>24</v>
      </c>
      <c r="AE29" s="9"/>
      <c r="AF29" s="9"/>
      <c r="AH29" s="118" t="s">
        <v>34</v>
      </c>
      <c r="AU29" s="150" t="e">
        <f t="shared" ref="AU29:BR29" si="27">IF(AU21="",NA(),AU21)</f>
        <v>#N/A</v>
      </c>
      <c r="AV29" s="150" t="e">
        <f t="shared" si="27"/>
        <v>#N/A</v>
      </c>
      <c r="AW29" s="150" t="e">
        <f t="shared" si="27"/>
        <v>#N/A</v>
      </c>
      <c r="AX29" s="150" t="e">
        <f t="shared" si="27"/>
        <v>#N/A</v>
      </c>
      <c r="AY29" s="150" t="e">
        <f t="shared" si="27"/>
        <v>#N/A</v>
      </c>
      <c r="AZ29" s="150" t="e">
        <f t="shared" si="27"/>
        <v>#N/A</v>
      </c>
      <c r="BA29" s="150" t="e">
        <f t="shared" si="27"/>
        <v>#N/A</v>
      </c>
      <c r="BB29" s="150" t="e">
        <f t="shared" si="27"/>
        <v>#N/A</v>
      </c>
      <c r="BC29" s="150" t="e">
        <f t="shared" si="27"/>
        <v>#N/A</v>
      </c>
      <c r="BD29" s="150" t="e">
        <f t="shared" si="27"/>
        <v>#N/A</v>
      </c>
      <c r="BE29" s="150" t="e">
        <f t="shared" si="27"/>
        <v>#N/A</v>
      </c>
      <c r="BF29" s="150" t="e">
        <f t="shared" si="27"/>
        <v>#N/A</v>
      </c>
      <c r="BG29" s="150" t="e">
        <f t="shared" si="27"/>
        <v>#N/A</v>
      </c>
      <c r="BH29" s="150" t="e">
        <f t="shared" si="27"/>
        <v>#N/A</v>
      </c>
      <c r="BI29" s="150" t="e">
        <f t="shared" si="27"/>
        <v>#N/A</v>
      </c>
      <c r="BJ29" s="150" t="e">
        <f t="shared" si="27"/>
        <v>#N/A</v>
      </c>
      <c r="BK29" s="150" t="e">
        <f t="shared" si="27"/>
        <v>#N/A</v>
      </c>
      <c r="BL29" s="150" t="e">
        <f t="shared" si="27"/>
        <v>#N/A</v>
      </c>
      <c r="BM29" s="150">
        <f t="shared" si="27"/>
        <v>490</v>
      </c>
      <c r="BN29" s="150">
        <f t="shared" si="27"/>
        <v>721.23834733884996</v>
      </c>
      <c r="BO29" s="150">
        <f t="shared" si="27"/>
        <v>777.27956029652228</v>
      </c>
      <c r="BP29" s="150">
        <f t="shared" si="27"/>
        <v>842.30277590830678</v>
      </c>
      <c r="BQ29" s="150">
        <f t="shared" si="27"/>
        <v>913.00096384280994</v>
      </c>
      <c r="BR29" s="150">
        <f t="shared" si="27"/>
        <v>988.41572760154975</v>
      </c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</row>
    <row r="30" spans="1:83" s="69" customForma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T30" s="179" t="str">
        <f>T25</f>
        <v>vs 2018</v>
      </c>
      <c r="U30" s="180">
        <f t="shared" ref="U30:X31" si="28">U$21-U18</f>
        <v>1084</v>
      </c>
      <c r="V30" s="180">
        <f t="shared" si="28"/>
        <v>974</v>
      </c>
      <c r="W30" s="180">
        <f t="shared" si="28"/>
        <v>344</v>
      </c>
      <c r="X30" s="99">
        <f t="shared" si="28"/>
        <v>-260</v>
      </c>
      <c r="Z30" s="179" t="str">
        <f>Z25</f>
        <v>vs 2018</v>
      </c>
      <c r="AA30" s="180">
        <f t="shared" ref="AA30:AD31" si="29">AA$21-AA18</f>
        <v>570.98744920500008</v>
      </c>
      <c r="AB30" s="180">
        <f t="shared" si="29"/>
        <v>570.34223075700004</v>
      </c>
      <c r="AC30" s="180">
        <f t="shared" si="29"/>
        <v>154.02386283600003</v>
      </c>
      <c r="AD30" s="99">
        <f t="shared" si="29"/>
        <v>-254.58643170900001</v>
      </c>
      <c r="AE30" s="160"/>
      <c r="AF30" s="160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</row>
    <row r="31" spans="1:83" s="69" customForma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T31" s="179" t="str">
        <f>T26</f>
        <v>vs 2019</v>
      </c>
      <c r="U31" s="180">
        <f t="shared" si="28"/>
        <v>880</v>
      </c>
      <c r="V31" s="180">
        <f t="shared" si="28"/>
        <v>702</v>
      </c>
      <c r="W31" s="180">
        <f t="shared" si="28"/>
        <v>-246</v>
      </c>
      <c r="X31" s="99">
        <f t="shared" si="28"/>
        <v>-1124</v>
      </c>
      <c r="Z31" s="179" t="str">
        <f>Z26</f>
        <v>vs 2019</v>
      </c>
      <c r="AA31" s="180">
        <f t="shared" si="29"/>
        <v>431.8125583094419</v>
      </c>
      <c r="AB31" s="180">
        <f t="shared" si="29"/>
        <v>391.91837695580011</v>
      </c>
      <c r="AC31" s="180">
        <f t="shared" si="29"/>
        <v>-190.35583662000107</v>
      </c>
      <c r="AD31" s="99">
        <f t="shared" si="29"/>
        <v>-693.77308744097786</v>
      </c>
      <c r="AE31" s="164"/>
      <c r="AF31" s="164"/>
      <c r="AH31" s="1"/>
      <c r="AI31" s="1"/>
      <c r="AJ31" s="1"/>
      <c r="AK31" s="1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</row>
    <row r="32" spans="1:83" s="69" customFormat="1" ht="16.149999999999999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18"/>
      <c r="T32" s="138" t="str">
        <f>"Forecast "&amp;"vs. "&amp;$A$7</f>
        <v>Forecast vs. 2019</v>
      </c>
      <c r="U32" s="181">
        <f>U22-U19</f>
        <v>880</v>
      </c>
      <c r="V32" s="181">
        <f t="shared" ref="V32:X32" si="30">V22-V19</f>
        <v>702</v>
      </c>
      <c r="W32" s="181">
        <f t="shared" si="30"/>
        <v>1252.5179076353722</v>
      </c>
      <c r="X32" s="114">
        <f t="shared" si="30"/>
        <v>1619.7194673526665</v>
      </c>
      <c r="Y32" s="160"/>
      <c r="Z32" s="138" t="str">
        <f>"Forecast "&amp;"vs. "&amp;$A$7</f>
        <v>Forecast vs. 2019</v>
      </c>
      <c r="AA32" s="181">
        <f>AA22-AA19</f>
        <v>431.8125583094419</v>
      </c>
      <c r="AB32" s="181">
        <f t="shared" ref="AB32:AD32" si="31">AB22-AB19</f>
        <v>391.91837695580011</v>
      </c>
      <c r="AC32" s="181">
        <f t="shared" si="31"/>
        <v>741.78562332451247</v>
      </c>
      <c r="AD32" s="114">
        <f t="shared" si="31"/>
        <v>1012.9363599035855</v>
      </c>
      <c r="AE32" s="118"/>
      <c r="AF32" s="118"/>
      <c r="AG32" s="1"/>
      <c r="BM32" s="182"/>
      <c r="BN32" s="182"/>
      <c r="BO32" s="182"/>
      <c r="BP32" s="182"/>
      <c r="BQ32" s="182"/>
      <c r="BR32" s="182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</row>
    <row r="33" spans="1:83" s="69" customFormat="1" ht="15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AE33" s="118"/>
      <c r="AF33" s="118"/>
      <c r="AG33" s="145" t="s">
        <v>82</v>
      </c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</row>
    <row r="34" spans="1:83" s="69" customForma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T34" s="122" t="s">
        <v>88</v>
      </c>
      <c r="U34" s="151" t="str">
        <f>AA34</f>
        <v>Q1</v>
      </c>
      <c r="V34" s="151" t="str">
        <f t="shared" ref="V34:X34" si="32">AB34</f>
        <v>Q2</v>
      </c>
      <c r="W34" s="151" t="str">
        <f t="shared" si="32"/>
        <v>Q3</v>
      </c>
      <c r="X34" s="151" t="str">
        <f t="shared" si="32"/>
        <v>Q4</v>
      </c>
      <c r="Y34" s="118"/>
      <c r="Z34" s="122" t="s">
        <v>88</v>
      </c>
      <c r="AA34" s="151" t="s">
        <v>21</v>
      </c>
      <c r="AB34" s="151" t="s">
        <v>22</v>
      </c>
      <c r="AC34" s="151" t="s">
        <v>23</v>
      </c>
      <c r="AD34" s="123" t="s">
        <v>24</v>
      </c>
      <c r="AE34" s="9"/>
      <c r="AF34" s="9"/>
      <c r="AG34" s="147" t="s">
        <v>29</v>
      </c>
      <c r="AH34" s="149" t="s">
        <v>0</v>
      </c>
      <c r="AI34" s="150">
        <f>SUMIFS('Sales Data'!$E:$E,'Sales Data'!$A:$A,$E$2,'Sales Data'!$B:$B,AI$15,'Sales Data'!$C:$C,"Periodic")/1000</f>
        <v>44.341027902</v>
      </c>
      <c r="AJ34" s="150">
        <f>SUMIFS('Sales Data'!$E:$E,'Sales Data'!$A:$A,$E$2,'Sales Data'!$B:$B,AJ$15,'Sales Data'!$C:$C,"Periodic")/1000</f>
        <v>53.100388281000001</v>
      </c>
      <c r="AK34" s="150">
        <f>SUMIFS('Sales Data'!$E:$E,'Sales Data'!$A:$A,$E$2,'Sales Data'!$B:$B,AK$15,'Sales Data'!$C:$C,"Periodic")/1000</f>
        <v>68.090247261000002</v>
      </c>
      <c r="AL34" s="150">
        <f>SUMIFS('Sales Data'!$E:$E,'Sales Data'!$A:$A,$E$2,'Sales Data'!$B:$B,AL$15,'Sales Data'!$C:$C,"Periodic")/1000</f>
        <v>50.651194191000002</v>
      </c>
      <c r="AM34" s="150">
        <f>SUMIFS('Sales Data'!$E:$E,'Sales Data'!$A:$A,$E$2,'Sales Data'!$B:$B,AM$15,'Sales Data'!$C:$C,"Periodic")/1000</f>
        <v>33.437618643</v>
      </c>
      <c r="AN34" s="150">
        <f>SUMIFS('Sales Data'!$E:$E,'Sales Data'!$A:$A,$E$2,'Sales Data'!$B:$B,AN$15,'Sales Data'!$C:$C,"Periodic")/1000</f>
        <v>45.843140394000002</v>
      </c>
      <c r="AO34" s="150">
        <f>SUMIFS('Sales Data'!$E:$E,'Sales Data'!$A:$A,$E$2,'Sales Data'!$B:$B,AO$15,'Sales Data'!$C:$C,"Periodic")/1000</f>
        <v>35.726898678000005</v>
      </c>
      <c r="AP34" s="150">
        <f>SUMIFS('Sales Data'!$E:$E,'Sales Data'!$A:$A,$E$2,'Sales Data'!$B:$B,AP$15,'Sales Data'!$C:$C,"Periodic")/1000</f>
        <v>54.933064674000001</v>
      </c>
      <c r="AQ34" s="150">
        <f>SUMIFS('Sales Data'!$E:$E,'Sales Data'!$A:$A,$E$2,'Sales Data'!$B:$B,AQ$15,'Sales Data'!$C:$C,"Periodic")/1000</f>
        <v>50.288517923999997</v>
      </c>
      <c r="AR34" s="150">
        <f>SUMIFS('Sales Data'!$E:$E,'Sales Data'!$A:$A,$E$2,'Sales Data'!$B:$B,AR$15,'Sales Data'!$C:$C,"Periodic")/1000</f>
        <v>56.579233688999999</v>
      </c>
      <c r="AS34" s="150">
        <f>SUMIFS('Sales Data'!$E:$E,'Sales Data'!$A:$A,$E$2,'Sales Data'!$B:$B,AS$15,'Sales Data'!$C:$C,"Periodic")/1000</f>
        <v>-26.975803908000003</v>
      </c>
      <c r="AT34" s="150">
        <f>SUMIFS('Sales Data'!$E:$E,'Sales Data'!$A:$A,$E$2,'Sales Data'!$B:$B,AT$15,'Sales Data'!$C:$C,"Periodic")/1000</f>
        <v>224.98300192800002</v>
      </c>
      <c r="AU34" s="150">
        <f>SUMIFS('Sales Data'!$E:$E,'Sales Data'!$A:$A,$E$2,'Sales Data'!$B:$B,AU$15,'Sales Data'!$C:$C,"Periodic")/1000</f>
        <v>128.2637424294746</v>
      </c>
      <c r="AV34" s="150">
        <f>SUMIFS('Sales Data'!$E:$E,'Sales Data'!$A:$A,$E$2,'Sales Data'!$B:$B,AV$15,'Sales Data'!$C:$C,"Periodic")/1000</f>
        <v>73.225479163447801</v>
      </c>
      <c r="AW34" s="150">
        <f>SUMIFS('Sales Data'!$E:$E,'Sales Data'!$A:$A,$E$2,'Sales Data'!$B:$B,AW$15,'Sales Data'!$C:$C,"Periodic")/1000</f>
        <v>103.21733274663573</v>
      </c>
      <c r="AX34" s="150">
        <f>SUMIFS('Sales Data'!$E:$E,'Sales Data'!$A:$A,$E$2,'Sales Data'!$B:$B,AX$15,'Sales Data'!$C:$C,"Periodic")/1000</f>
        <v>81.303604700199216</v>
      </c>
      <c r="AY34" s="150">
        <f>SUMIFS('Sales Data'!$E:$E,'Sales Data'!$A:$A,$E$2,'Sales Data'!$B:$B,AY$15,'Sales Data'!$C:$C,"Periodic")/1000</f>
        <v>99.382012036533439</v>
      </c>
      <c r="AZ34" s="150">
        <f>SUMIFS('Sales Data'!$E:$E,'Sales Data'!$A:$A,$E$2,'Sales Data'!$B:$B,AZ$15,'Sales Data'!$C:$C,"Periodic")/1000</f>
        <v>127.67019029246728</v>
      </c>
      <c r="BA34" s="150">
        <f>SUMIFS('Sales Data'!$E:$E,'Sales Data'!$A:$A,$E$2,'Sales Data'!$B:$B,BA$15,'Sales Data'!$C:$C,"Periodic")/1000</f>
        <v>141.73287703650118</v>
      </c>
      <c r="BB34" s="150">
        <f>SUMIFS('Sales Data'!$E:$E,'Sales Data'!$A:$A,$E$2,'Sales Data'!$B:$B,BB$15,'Sales Data'!$C:$C,"Periodic")/1000</f>
        <v>171.96272132692715</v>
      </c>
      <c r="BC34" s="150">
        <f>SUMIFS('Sales Data'!$E:$E,'Sales Data'!$A:$A,$E$2,'Sales Data'!$B:$B,BC$15,'Sales Data'!$C:$C,"Periodic")/1000</f>
        <v>171.6325823685728</v>
      </c>
      <c r="BD34" s="150">
        <f>SUMIFS('Sales Data'!$E:$E,'Sales Data'!$A:$A,$E$2,'Sales Data'!$B:$B,BD$15,'Sales Data'!$C:$C,"Periodic")/1000</f>
        <v>212.70068453824723</v>
      </c>
      <c r="BE34" s="150">
        <f>SUMIFS('Sales Data'!$E:$E,'Sales Data'!$A:$A,$E$2,'Sales Data'!$B:$B,BE$15,'Sales Data'!$C:$C,"Periodic")/1000</f>
        <v>258.54867200973763</v>
      </c>
      <c r="BF34" s="150">
        <f>SUMIFS('Sales Data'!$E:$E,'Sales Data'!$A:$A,$E$2,'Sales Data'!$B:$B,BF$15,'Sales Data'!$C:$C,"Periodic")/1000</f>
        <v>222.52373089299294</v>
      </c>
      <c r="BG34" s="150">
        <f>IF(OR(BG$8=1,BG$9=0),SUMIFS('Sales Data'!$E:$E,'Sales Data'!$A:$A,$E$2,'Sales Data'!$B:$B,BG$15,'Sales Data'!$C:$C,"Periodic")/1000,"")</f>
        <v>215.61462076800001</v>
      </c>
      <c r="BH34" s="150">
        <f>IF(OR(BH$8=1,BH$9=0),SUMIFS('Sales Data'!$E:$E,'Sales Data'!$A:$A,$E$2,'Sales Data'!$B:$B,BH$15,'Sales Data'!$C:$C,"Periodic")/1000,"")</f>
        <v>214.22626620299999</v>
      </c>
      <c r="BI34" s="150">
        <f>IF(OR(BI$8=1,BI$9=0),SUMIFS('Sales Data'!$E:$E,'Sales Data'!$A:$A,$E$2,'Sales Data'!$B:$B,BI$15,'Sales Data'!$C:$C,"Periodic")/1000,"")</f>
        <v>306.67822567799999</v>
      </c>
      <c r="BJ34" s="150">
        <f>IF(OR(BJ$8=1,BJ$9=0),SUMIFS('Sales Data'!$E:$E,'Sales Data'!$A:$A,$E$2,'Sales Data'!$B:$B,BJ$15,'Sales Data'!$C:$C,"Periodic")/1000,"")</f>
        <v>206.04026443199999</v>
      </c>
      <c r="BK34" s="150">
        <f>IF(OR(BK$8=1,BK$9=0),SUMIFS('Sales Data'!$E:$E,'Sales Data'!$A:$A,$E$2,'Sales Data'!$B:$B,BK$15,'Sales Data'!$C:$C,"Periodic")/1000,"")</f>
        <v>244.29622353899998</v>
      </c>
      <c r="BL34" s="150">
        <f>IF(OR(BL$8=1,BL$9=0),SUMIFS('Sales Data'!$E:$E,'Sales Data'!$A:$A,$E$2,'Sales Data'!$B:$B,BL$15,'Sales Data'!$C:$C,"Periodic")/1000,"")</f>
        <v>249.93769601399998</v>
      </c>
      <c r="BM34" s="150">
        <f>IF(OR(BM$8=1,BM$9=0),SUMIFS('Sales Data'!$E:$E,'Sales Data'!$A:$A,$E$2,'Sales Data'!$B:$B,BM$15,'Sales Data'!$C:$C,"Periodic")/1000,"")</f>
        <v>294.97234411200003</v>
      </c>
      <c r="BN34" s="150" t="str">
        <f>IF(OR(BN$8=1,BN$9=0),SUMIFS('Sales Data'!$E:$E,'Sales Data'!$A:$A,$E$2,'Sales Data'!$B:$B,BN$15,'Sales Data'!$C:$C,"Periodic")/1000,"")</f>
        <v/>
      </c>
      <c r="BO34" s="150" t="str">
        <f>IF(OR(BO$8=1,BO$9=0),SUMIFS('Sales Data'!$E:$E,'Sales Data'!$A:$A,$E$2,'Sales Data'!$B:$B,BO$15,'Sales Data'!$C:$C,"Periodic")/1000,"")</f>
        <v/>
      </c>
      <c r="BP34" s="150" t="str">
        <f>IF(OR(BP$8=1,BP$9=0),SUMIFS('Sales Data'!$E:$E,'Sales Data'!$A:$A,$E$2,'Sales Data'!$B:$B,BP$15,'Sales Data'!$C:$C,"Periodic")/1000,"")</f>
        <v/>
      </c>
      <c r="BQ34" s="150" t="str">
        <f>IF(OR(BQ$8=1,BQ$9=0),SUMIFS('Sales Data'!$E:$E,'Sales Data'!$A:$A,$E$2,'Sales Data'!$B:$B,BQ$15,'Sales Data'!$C:$C,"Periodic")/1000,"")</f>
        <v/>
      </c>
      <c r="BR34" s="150" t="str">
        <f>IF(OR(BR$8=1,BR$9=0),SUMIFS('Sales Data'!$E:$E,'Sales Data'!$A:$A,$E$2,'Sales Data'!$B:$B,BR$15,'Sales Data'!$C:$C,"Periodic")/1000,"")</f>
        <v/>
      </c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</row>
    <row r="35" spans="1:83" s="69" customFormat="1" ht="12.6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T35" s="101" t="str">
        <f>+T19</f>
        <v>2019 Actual</v>
      </c>
      <c r="U35" s="176">
        <f>IFERROR(U19/X18-1,"")</f>
        <v>0.19230769230769229</v>
      </c>
      <c r="V35" s="176">
        <f t="shared" ref="V35:X36" si="33">IFERROR(V19/U19-1,"")</f>
        <v>0.29677419354838719</v>
      </c>
      <c r="W35" s="176">
        <f t="shared" si="33"/>
        <v>0.83084577114427871</v>
      </c>
      <c r="X35" s="136">
        <f t="shared" si="33"/>
        <v>0.52717391304347827</v>
      </c>
      <c r="Y35" s="118"/>
      <c r="Z35" s="101" t="str">
        <f>+Z19</f>
        <v>2019 Actual</v>
      </c>
      <c r="AA35" s="176">
        <f>IFERROR(AA19/AD18-1,"")</f>
        <v>0.1968687894877561</v>
      </c>
      <c r="AB35" s="176">
        <f t="shared" ref="AB35:AD36" si="34">IFERROR(AB19/AA19-1,"")</f>
        <v>1.1976285503774164E-2</v>
      </c>
      <c r="AC35" s="176">
        <f t="shared" si="34"/>
        <v>0.57392262337398647</v>
      </c>
      <c r="AD35" s="136">
        <f t="shared" si="34"/>
        <v>0.42949269171756654</v>
      </c>
      <c r="AE35" s="183"/>
      <c r="AF35" s="164"/>
      <c r="AG35" s="118"/>
      <c r="AH35" s="153" t="s">
        <v>1</v>
      </c>
      <c r="AI35" s="1"/>
      <c r="AJ35" s="1"/>
      <c r="AK35" s="1"/>
      <c r="AL35" s="1"/>
      <c r="BG35" s="150" t="str">
        <f>IF(OR(BG$8=1,BG$9=1),SUMIFS('Sales Data'!$D:$D,'Sales Data'!$A:$A,$E$2,'Sales Data'!$B:$B,BG$15,'Sales Data'!$C:$C,"Periodic")/1000,"")</f>
        <v/>
      </c>
      <c r="BH35" s="150" t="str">
        <f>IF(OR(BH$8=1,BH$9=1),SUMIFS('Sales Data'!$D:$D,'Sales Data'!$A:$A,$E$2,'Sales Data'!$B:$B,BH$15,'Sales Data'!$C:$C,"Periodic")/1000,"")</f>
        <v/>
      </c>
      <c r="BI35" s="150" t="str">
        <f>IF(OR(BI$8=1,BI$9=1),SUMIFS('Sales Data'!$D:$D,'Sales Data'!$A:$A,$E$2,'Sales Data'!$B:$B,BI$15,'Sales Data'!$C:$C,"Periodic")/1000,"")</f>
        <v/>
      </c>
      <c r="BJ35" s="150" t="str">
        <f>IF(OR(BJ$8=1,BJ$9=1),SUMIFS('Sales Data'!$D:$D,'Sales Data'!$A:$A,$E$2,'Sales Data'!$B:$B,BJ$15,'Sales Data'!$C:$C,"Periodic")/1000,"")</f>
        <v/>
      </c>
      <c r="BK35" s="150" t="str">
        <f>IF(OR(BK$8=1,BK$9=1),SUMIFS('Sales Data'!$D:$D,'Sales Data'!$A:$A,$E$2,'Sales Data'!$B:$B,BK$15,'Sales Data'!$C:$C,"Periodic")/1000,"")</f>
        <v/>
      </c>
      <c r="BL35" s="150" t="str">
        <f>IF(OR(BL$8=1,BL$9=1),SUMIFS('Sales Data'!$D:$D,'Sales Data'!$A:$A,$E$2,'Sales Data'!$B:$B,BL$15,'Sales Data'!$C:$C,"Periodic")/1000,"")</f>
        <v/>
      </c>
      <c r="BM35" s="150">
        <f>IF(OR(BM$8=1,BM$9=1),SUMIFS('Sales Data'!$D:$D,'Sales Data'!$A:$A,$E$2,'Sales Data'!$B:$B,BM$15,'Sales Data'!$C:$C,"Periodic")/1000,"")</f>
        <v>417.69260545373788</v>
      </c>
      <c r="BN35" s="150">
        <f>IF(OR(BN$8=1,BN$9=1),SUMIFS('Sales Data'!$D:$D,'Sales Data'!$A:$A,$E$2,'Sales Data'!$B:$B,BN$15,'Sales Data'!$C:$C,"Periodic")/1000,"")</f>
        <v>448.6407287032506</v>
      </c>
      <c r="BO35" s="150">
        <f>IF(OR(BO$8=1,BO$9=1),SUMIFS('Sales Data'!$D:$D,'Sales Data'!$A:$A,$E$2,'Sales Data'!$B:$B,BO$15,'Sales Data'!$C:$C,"Periodic")/1000,"")</f>
        <v>483.50073124126294</v>
      </c>
      <c r="BP35" s="150">
        <f>IF(OR(BP$8=1,BP$9=1),SUMIFS('Sales Data'!$D:$D,'Sales Data'!$A:$A,$E$2,'Sales Data'!$B:$B,BP$15,'Sales Data'!$C:$C,"Periodic")/1000,"")</f>
        <v>523.94791897377274</v>
      </c>
      <c r="BQ35" s="150">
        <f>IF(OR(BQ$8=1,BQ$9=1),SUMIFS('Sales Data'!$D:$D,'Sales Data'!$A:$A,$E$2,'Sales Data'!$B:$B,BQ$15,'Sales Data'!$C:$C,"Periodic")/1000,"")</f>
        <v>567.92517929272958</v>
      </c>
      <c r="BR35" s="150">
        <f>IF(OR(BR$8=1,BR$9=1),SUMIFS('Sales Data'!$D:$D,'Sales Data'!$A:$A,$E$2,'Sales Data'!$B:$B,BR$15,'Sales Data'!$C:$C,"Periodic")/1000,"")</f>
        <v>614.83634907806095</v>
      </c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</row>
    <row r="36" spans="1:83" s="69" customForma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01" t="str">
        <f>+T20</f>
        <v>2020 Budget</v>
      </c>
      <c r="U36" s="176">
        <f>IFERROR(U20/X19-1,"")</f>
        <v>0.40486681334519581</v>
      </c>
      <c r="V36" s="176">
        <f t="shared" si="33"/>
        <v>0.16689598550515017</v>
      </c>
      <c r="W36" s="176">
        <f t="shared" si="33"/>
        <v>0.28549178749035464</v>
      </c>
      <c r="X36" s="136">
        <f t="shared" si="33"/>
        <v>0.23477465408308906</v>
      </c>
      <c r="Y36" s="9"/>
      <c r="Z36" s="101" t="str">
        <f>+Z20</f>
        <v>2020 Budget</v>
      </c>
      <c r="AA36" s="176">
        <f>IFERROR(AA20/AD19-1,"")</f>
        <v>0.22970591111379446</v>
      </c>
      <c r="AB36" s="176">
        <f t="shared" si="34"/>
        <v>0.18583104105439152</v>
      </c>
      <c r="AC36" s="176">
        <f t="shared" si="34"/>
        <v>0.33425506485682766</v>
      </c>
      <c r="AD36" s="136">
        <f t="shared" si="34"/>
        <v>0.26438463148507108</v>
      </c>
      <c r="AE36" s="164"/>
      <c r="AF36" s="164"/>
      <c r="AG36" s="118"/>
      <c r="AH36" s="156" t="s">
        <v>26</v>
      </c>
      <c r="BG36" s="159" t="str">
        <f>IF(BG$9,FORECAST(BG$12,$AP34:BF34,$AP12:BF12), "")</f>
        <v/>
      </c>
      <c r="BH36" s="159" t="str">
        <f>IF(BH$9,FORECAST(BH$12,$AP34:BG34,$AP12:BG12), "")</f>
        <v/>
      </c>
      <c r="BI36" s="159" t="str">
        <f>IF(BI$9,FORECAST(BI$12,$AP34:BH34,$AP12:BH12), "")</f>
        <v/>
      </c>
      <c r="BJ36" s="159" t="str">
        <f>IF(BJ$9,FORECAST(BJ$12,$AP34:BI34,$AP12:BI12), "")</f>
        <v/>
      </c>
      <c r="BK36" s="159" t="str">
        <f>IF(BK$9,FORECAST(BK$12,$AP34:BJ34,$AP12:BJ12), "")</f>
        <v/>
      </c>
      <c r="BL36" s="159" t="str">
        <f>IF(BL$9,FORECAST(BL$12,$AP34:BK34,$AP12:BK12), "")</f>
        <v/>
      </c>
      <c r="BM36" s="159" t="str">
        <f>IF(BM$9,FORECAST(BM$12,$AP34:BL34,$AP12:BL12), "")</f>
        <v/>
      </c>
      <c r="BN36" s="159">
        <f>IF(BN$9,FORECAST(BN$12,$AP34:BM34,$AP12:BM12), "")</f>
        <v>278.705729024829</v>
      </c>
      <c r="BO36" s="159">
        <f>IF(BO$9,FORECAST(BO$12,$AP34:BN34,$AP12:BN12), "")</f>
        <v>285.80560339933766</v>
      </c>
      <c r="BP36" s="159">
        <f>IF(BP$9,FORECAST(BP$12,$AP34:BO34,$AP12:BO12), "")</f>
        <v>292.90547777384626</v>
      </c>
      <c r="BQ36" s="159">
        <f>IF(BQ$9,FORECAST(BQ$12,$AP34:BP34,$AP12:BP12), "")</f>
        <v>300.00535214835486</v>
      </c>
      <c r="BR36" s="159">
        <f>IF(BR$9,FORECAST(BR$12,$AP34:BQ34,$AP12:BQ12), "")</f>
        <v>307.10522652286352</v>
      </c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</row>
    <row r="37" spans="1:83" s="69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01" t="str">
        <f>+T21</f>
        <v>2020 Actual</v>
      </c>
      <c r="U37" s="176">
        <f>IF(U21&lt;&gt;0,IFERROR(U21/X19-1,""),"")</f>
        <v>5.8718861209964501E-2</v>
      </c>
      <c r="V37" s="176">
        <f>IF(V21&lt;&gt;0,IFERROR(V21/U21-1,""),"")</f>
        <v>-7.2268907563025175E-2</v>
      </c>
      <c r="W37" s="176">
        <f>IF(W21&lt;&gt;0,IFERROR(W21/V21-1,""),"")</f>
        <v>-0.5561594202898551</v>
      </c>
      <c r="X37" s="136" t="str">
        <f>IF(X21&lt;&gt;0,IFERROR(X21/W21-1,""),"")</f>
        <v/>
      </c>
      <c r="Y37" s="164"/>
      <c r="Z37" s="101" t="str">
        <f>+Z21</f>
        <v>2020 Actual</v>
      </c>
      <c r="AA37" s="176">
        <f>IF(AA21&lt;&gt;0,IFERROR(AA21/AD19-1,""),"")</f>
        <v>6.1613841732738983E-2</v>
      </c>
      <c r="AB37" s="176">
        <f>IF(AB21&lt;&gt;0,IFERROR(AB21/AA21-1,""),"")</f>
        <v>-4.9211117595631348E-2</v>
      </c>
      <c r="AC37" s="176">
        <f>IF(AC21&lt;&gt;0,IFERROR(AC21/AB21-1,""),"")</f>
        <v>-0.57877592683279844</v>
      </c>
      <c r="AD37" s="136" t="str">
        <f>IF(AD21&lt;&gt;0,IFERROR(AD21/AC21-1,""),"")</f>
        <v/>
      </c>
      <c r="AE37" s="164"/>
      <c r="AF37" s="164"/>
      <c r="AG37" s="9"/>
      <c r="AH37" s="156" t="s">
        <v>90</v>
      </c>
      <c r="BG37" s="159" t="str">
        <f>IF(BG$9,FORECAST(BG$13,$AP34:BF34,$AP13:BF13), "")</f>
        <v/>
      </c>
      <c r="BH37" s="159" t="str">
        <f>IF(BH$9,FORECAST(BH$13,$AP34:BG34,$AP13:BG13), "")</f>
        <v/>
      </c>
      <c r="BI37" s="159" t="str">
        <f>IF(BI$9,FORECAST(BI$13,$AP34:BH34,$AP13:BH13), "")</f>
        <v/>
      </c>
      <c r="BJ37" s="159" t="str">
        <f>IF(BJ$9,FORECAST(BJ$13,$AP34:BI34,$AP13:BI13), "")</f>
        <v/>
      </c>
      <c r="BK37" s="159" t="str">
        <f>IF(BK$9,FORECAST(BK$13,$AP34:BJ34,$AP13:BJ13), "")</f>
        <v/>
      </c>
      <c r="BL37" s="159" t="str">
        <f>IF(BL$9,FORECAST(BL$13,$AP34:BK34,$AP13:BK13), "")</f>
        <v/>
      </c>
      <c r="BM37" s="159" t="str">
        <f>IF(BM$9,FORECAST(BM$13,$AP34:BL34,$AP13:BL13), "")</f>
        <v/>
      </c>
      <c r="BN37" s="159">
        <f>IF(BN$9,FORECAST(BN$13,$AP34:BM34,$AP13:BM13), "")</f>
        <v>302.64735997130816</v>
      </c>
      <c r="BO37" s="159">
        <f>IF(BO$9,FORECAST(BO$13,$AP34:BN34,$AP13:BN13), "")</f>
        <v>314.55954997665083</v>
      </c>
      <c r="BP37" s="159">
        <f>IF(BP$9,FORECAST(BP$13,$AP34:BO34,$AP13:BO13), "")</f>
        <v>326.47173998199344</v>
      </c>
      <c r="BQ37" s="159">
        <f>IF(BQ$9,FORECAST(BQ$13,$AP34:BP34,$AP13:BP13), "")</f>
        <v>338.3839299873361</v>
      </c>
      <c r="BR37" s="159">
        <f>IF(BR$9,FORECAST(BR$13,$AP34:BQ34,$AP13:BQ13), "")</f>
        <v>350.29611999267871</v>
      </c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</row>
    <row r="38" spans="1:83" s="69" customForma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38" t="s">
        <v>34</v>
      </c>
      <c r="U38" s="177">
        <f>IFERROR(U22/X19-1,"")</f>
        <v>5.8718861209964501E-2</v>
      </c>
      <c r="V38" s="177">
        <f>IFERROR(V22/U22-1,"")</f>
        <v>-7.2268907563025175E-2</v>
      </c>
      <c r="W38" s="177">
        <f>IFERROR(W22/V22-1,"")</f>
        <v>0.80119375691609807</v>
      </c>
      <c r="X38" s="178">
        <f>IFERROR(X22/W22-1,"")</f>
        <v>0.37978112081240201</v>
      </c>
      <c r="Y38" s="164"/>
      <c r="Z38" s="138" t="s">
        <v>34</v>
      </c>
      <c r="AA38" s="177">
        <f>IFERROR(AA22/AD19-1,"")</f>
        <v>6.1613841732738983E-2</v>
      </c>
      <c r="AB38" s="177">
        <f>IFERROR(AB22/AA22-1,"")</f>
        <v>-4.9211117595631348E-2</v>
      </c>
      <c r="AC38" s="177">
        <f>IFERROR(AC22/AB22-1,"")</f>
        <v>0.7523333461665902</v>
      </c>
      <c r="AD38" s="178">
        <f>IFERROR(AD22/AC22-1,"")</f>
        <v>0.39083224530816407</v>
      </c>
      <c r="AE38" s="1"/>
      <c r="AF38" s="1"/>
      <c r="AG38" s="164"/>
      <c r="AH38" s="153" t="s">
        <v>1</v>
      </c>
      <c r="AI38" s="1"/>
      <c r="AJ38" s="1"/>
      <c r="AK38" s="1"/>
      <c r="BG38" s="150">
        <f>SUMIFS('Sales Data'!$D:$D,'Sales Data'!$A:$A,$E$2,'Sales Data'!$B:$B,BG$15,'Sales Data'!$C:$C,"Periodic")/1000</f>
        <v>267.07822491269371</v>
      </c>
      <c r="BH38" s="150">
        <f>SUMIFS('Sales Data'!$D:$D,'Sales Data'!$A:$A,$E$2,'Sales Data'!$B:$B,BH$15,'Sales Data'!$C:$C,"Periodic")/1000</f>
        <v>284.01924127063745</v>
      </c>
      <c r="BI38" s="150">
        <f>SUMIFS('Sales Data'!$D:$D,'Sales Data'!$A:$A,$E$2,'Sales Data'!$B:$B,BI$15,'Sales Data'!$C:$C,"Periodic")/1000</f>
        <v>302.03940041450676</v>
      </c>
      <c r="BJ38" s="150">
        <f>SUMIFS('Sales Data'!$D:$D,'Sales Data'!$A:$A,$E$2,'Sales Data'!$B:$B,BJ$15,'Sales Data'!$C:$C,"Periodic")/1000</f>
        <v>311.97686332657958</v>
      </c>
      <c r="BK38" s="150">
        <f>SUMIFS('Sales Data'!$D:$D,'Sales Data'!$A:$A,$E$2,'Sales Data'!$B:$B,BK$15,'Sales Data'!$C:$C,"Periodic")/1000</f>
        <v>337.87737277464396</v>
      </c>
      <c r="BL38" s="150">
        <f>SUMIFS('Sales Data'!$D:$D,'Sales Data'!$A:$A,$E$2,'Sales Data'!$B:$B,BL$15,'Sales Data'!$C:$C,"Periodic")/1000</f>
        <v>361.82194257837216</v>
      </c>
      <c r="BM38" s="150">
        <f>SUMIFS('Sales Data'!$D:$D,'Sales Data'!$A:$A,$E$2,'Sales Data'!$B:$B,BM$15,'Sales Data'!$C:$C,"Periodic")/1000</f>
        <v>417.69260545373788</v>
      </c>
      <c r="BN38" s="150">
        <f>SUMIFS('Sales Data'!$D:$D,'Sales Data'!$A:$A,$E$2,'Sales Data'!$B:$B,BN$15,'Sales Data'!$C:$C,"Periodic")/1000</f>
        <v>448.6407287032506</v>
      </c>
      <c r="BO38" s="150">
        <f>SUMIFS('Sales Data'!$D:$D,'Sales Data'!$A:$A,$E$2,'Sales Data'!$B:$B,BO$15,'Sales Data'!$C:$C,"Periodic")/1000</f>
        <v>483.50073124126294</v>
      </c>
      <c r="BP38" s="150">
        <f>SUMIFS('Sales Data'!$D:$D,'Sales Data'!$A:$A,$E$2,'Sales Data'!$B:$B,BP$15,'Sales Data'!$C:$C,"Periodic")/1000</f>
        <v>523.94791897377274</v>
      </c>
      <c r="BQ38" s="150">
        <f>SUMIFS('Sales Data'!$D:$D,'Sales Data'!$A:$A,$E$2,'Sales Data'!$B:$B,BQ$15,'Sales Data'!$C:$C,"Periodic")/1000</f>
        <v>567.92517929272958</v>
      </c>
      <c r="BR38" s="150">
        <f>SUMIFS('Sales Data'!$D:$D,'Sales Data'!$A:$A,$E$2,'Sales Data'!$B:$B,BR$15,'Sales Data'!$C:$C,"Periodic")/1000</f>
        <v>614.83634907806095</v>
      </c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</row>
    <row r="39" spans="1:83" s="69" customFormat="1" x14ac:dyDescent="0.2">
      <c r="A39" s="1"/>
      <c r="B39" s="1"/>
      <c r="C39" s="1"/>
      <c r="D39" s="1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"/>
      <c r="Y39" s="1"/>
      <c r="Z39" s="1"/>
      <c r="AA39" s="1"/>
      <c r="AB39" s="1"/>
      <c r="AC39" s="1"/>
      <c r="AD39" s="1"/>
      <c r="AE39" s="1"/>
      <c r="AF39" s="1"/>
      <c r="AG39" s="118"/>
      <c r="AH39" s="153" t="s">
        <v>34</v>
      </c>
      <c r="AI39" s="1"/>
      <c r="AJ39" s="1"/>
      <c r="AK39" s="1"/>
      <c r="BG39" s="150" t="str">
        <f t="shared" ref="BG39:BR39" si="35">IF(OR(BG$8=1,BG$9=1),F17,"")</f>
        <v/>
      </c>
      <c r="BH39" s="150" t="str">
        <f t="shared" si="35"/>
        <v/>
      </c>
      <c r="BI39" s="150" t="str">
        <f t="shared" si="35"/>
        <v/>
      </c>
      <c r="BJ39" s="150" t="str">
        <f t="shared" si="35"/>
        <v/>
      </c>
      <c r="BK39" s="150" t="str">
        <f t="shared" si="35"/>
        <v/>
      </c>
      <c r="BL39" s="150" t="str">
        <f t="shared" si="35"/>
        <v/>
      </c>
      <c r="BM39" s="150">
        <f t="shared" si="35"/>
        <v>294.97234411200003</v>
      </c>
      <c r="BN39" s="150">
        <f t="shared" si="35"/>
        <v>448.6407287032506</v>
      </c>
      <c r="BO39" s="150">
        <f t="shared" si="35"/>
        <v>483.50073124126294</v>
      </c>
      <c r="BP39" s="150">
        <f t="shared" si="35"/>
        <v>523.94791897377274</v>
      </c>
      <c r="BQ39" s="150">
        <f t="shared" si="35"/>
        <v>567.92517929272958</v>
      </c>
      <c r="BR39" s="150">
        <f t="shared" si="35"/>
        <v>614.83634907806095</v>
      </c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</row>
    <row r="40" spans="1:83" s="69" customForma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"/>
      <c r="AF40" s="1"/>
      <c r="AG40" s="118"/>
      <c r="AH40" s="171" t="s">
        <v>26</v>
      </c>
      <c r="AI40" s="1"/>
      <c r="AJ40" s="1"/>
      <c r="AK40" s="1"/>
      <c r="BG40" s="159">
        <f t="shared" ref="BG40:BR40" si="36">IF(BG36="",BG38,BG36)</f>
        <v>267.07822491269371</v>
      </c>
      <c r="BH40" s="159">
        <f t="shared" si="36"/>
        <v>284.01924127063745</v>
      </c>
      <c r="BI40" s="159">
        <f t="shared" si="36"/>
        <v>302.03940041450676</v>
      </c>
      <c r="BJ40" s="159">
        <f t="shared" si="36"/>
        <v>311.97686332657958</v>
      </c>
      <c r="BK40" s="159">
        <f t="shared" si="36"/>
        <v>337.87737277464396</v>
      </c>
      <c r="BL40" s="159">
        <f t="shared" si="36"/>
        <v>361.82194257837216</v>
      </c>
      <c r="BM40" s="159">
        <f t="shared" si="36"/>
        <v>417.69260545373788</v>
      </c>
      <c r="BN40" s="159">
        <f t="shared" si="36"/>
        <v>278.705729024829</v>
      </c>
      <c r="BO40" s="159">
        <f t="shared" si="36"/>
        <v>285.80560339933766</v>
      </c>
      <c r="BP40" s="159">
        <f t="shared" si="36"/>
        <v>292.90547777384626</v>
      </c>
      <c r="BQ40" s="159">
        <f t="shared" si="36"/>
        <v>300.00535214835486</v>
      </c>
      <c r="BR40" s="159">
        <f t="shared" si="36"/>
        <v>307.10522652286352</v>
      </c>
      <c r="BS40" s="174">
        <f>SUM(BG40:BR40)</f>
        <v>3747.0330396004028</v>
      </c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</row>
    <row r="41" spans="1:83" s="69" customFormat="1" x14ac:dyDescent="0.2">
      <c r="A41" s="127"/>
      <c r="B41" s="12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27"/>
      <c r="Y41" s="1"/>
      <c r="Z41" s="1"/>
      <c r="AA41" s="1"/>
      <c r="AB41" s="1"/>
      <c r="AC41" s="1"/>
      <c r="AD41" s="1"/>
      <c r="AE41" s="1"/>
      <c r="AF41" s="1"/>
      <c r="AG41" s="6" t="s">
        <v>30</v>
      </c>
      <c r="AH41" s="171" t="s">
        <v>90</v>
      </c>
      <c r="AI41" s="1"/>
      <c r="AJ41" s="1"/>
      <c r="AK41" s="1"/>
      <c r="BG41" s="159">
        <f t="shared" ref="BG41:BR41" si="37">IF(BG37="",BG38,BG37)</f>
        <v>267.07822491269371</v>
      </c>
      <c r="BH41" s="159">
        <f t="shared" si="37"/>
        <v>284.01924127063745</v>
      </c>
      <c r="BI41" s="159">
        <f t="shared" si="37"/>
        <v>302.03940041450676</v>
      </c>
      <c r="BJ41" s="159">
        <f t="shared" si="37"/>
        <v>311.97686332657958</v>
      </c>
      <c r="BK41" s="159">
        <f t="shared" si="37"/>
        <v>337.87737277464396</v>
      </c>
      <c r="BL41" s="159">
        <f t="shared" si="37"/>
        <v>361.82194257837216</v>
      </c>
      <c r="BM41" s="159">
        <f t="shared" si="37"/>
        <v>417.69260545373788</v>
      </c>
      <c r="BN41" s="159">
        <f t="shared" si="37"/>
        <v>302.64735997130816</v>
      </c>
      <c r="BO41" s="159">
        <f t="shared" si="37"/>
        <v>314.55954997665083</v>
      </c>
      <c r="BP41" s="159">
        <f t="shared" si="37"/>
        <v>326.47173998199344</v>
      </c>
      <c r="BQ41" s="159">
        <f t="shared" si="37"/>
        <v>338.3839299873361</v>
      </c>
      <c r="BR41" s="159">
        <f t="shared" si="37"/>
        <v>350.29611999267871</v>
      </c>
      <c r="BS41" s="174">
        <f>SUM(BG41:BR41)</f>
        <v>3914.8643506411386</v>
      </c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</row>
    <row r="42" spans="1:83" s="69" customForma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27"/>
      <c r="Y42" s="1"/>
      <c r="Z42" s="1"/>
      <c r="AA42" s="1"/>
      <c r="AB42" s="1"/>
      <c r="AC42" s="1"/>
      <c r="AD42" s="1"/>
      <c r="AE42" s="1"/>
      <c r="AF42" s="1"/>
      <c r="AG42" s="164"/>
      <c r="AI42" s="1"/>
      <c r="AJ42" s="1"/>
      <c r="AK42" s="1"/>
      <c r="AL42" s="1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</row>
    <row r="43" spans="1:83" s="69" customFormat="1" x14ac:dyDescent="0.2">
      <c r="A43" s="1"/>
      <c r="B43" s="1"/>
      <c r="C43" s="127"/>
      <c r="D43" s="12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27"/>
      <c r="Y43" s="1"/>
      <c r="Z43" s="1"/>
      <c r="AA43" s="1"/>
      <c r="AB43" s="1"/>
      <c r="AC43" s="1"/>
      <c r="AD43" s="1"/>
      <c r="AE43" s="1"/>
      <c r="AF43" s="1"/>
      <c r="AG43" s="6" t="s">
        <v>89</v>
      </c>
      <c r="AH43" s="118" t="str">
        <f>AH34</f>
        <v>Actual</v>
      </c>
      <c r="AI43" s="1"/>
      <c r="AJ43" s="1"/>
      <c r="AK43" s="1"/>
      <c r="AL43" s="1"/>
      <c r="AU43" s="150">
        <f t="shared" ref="AU43:BR43" si="38">IF(AU34="",NA(),AU34)</f>
        <v>128.2637424294746</v>
      </c>
      <c r="AV43" s="150">
        <f t="shared" si="38"/>
        <v>73.225479163447801</v>
      </c>
      <c r="AW43" s="150">
        <f t="shared" si="38"/>
        <v>103.21733274663573</v>
      </c>
      <c r="AX43" s="150">
        <f t="shared" si="38"/>
        <v>81.303604700199216</v>
      </c>
      <c r="AY43" s="150">
        <f t="shared" si="38"/>
        <v>99.382012036533439</v>
      </c>
      <c r="AZ43" s="150">
        <f t="shared" si="38"/>
        <v>127.67019029246728</v>
      </c>
      <c r="BA43" s="150">
        <f t="shared" si="38"/>
        <v>141.73287703650118</v>
      </c>
      <c r="BB43" s="150">
        <f t="shared" si="38"/>
        <v>171.96272132692715</v>
      </c>
      <c r="BC43" s="150">
        <f t="shared" si="38"/>
        <v>171.6325823685728</v>
      </c>
      <c r="BD43" s="150">
        <f t="shared" si="38"/>
        <v>212.70068453824723</v>
      </c>
      <c r="BE43" s="150">
        <f t="shared" si="38"/>
        <v>258.54867200973763</v>
      </c>
      <c r="BF43" s="150">
        <f t="shared" si="38"/>
        <v>222.52373089299294</v>
      </c>
      <c r="BG43" s="150">
        <f t="shared" si="38"/>
        <v>215.61462076800001</v>
      </c>
      <c r="BH43" s="150">
        <f t="shared" si="38"/>
        <v>214.22626620299999</v>
      </c>
      <c r="BI43" s="150">
        <f t="shared" si="38"/>
        <v>306.67822567799999</v>
      </c>
      <c r="BJ43" s="150">
        <f t="shared" si="38"/>
        <v>206.04026443199999</v>
      </c>
      <c r="BK43" s="150">
        <f t="shared" si="38"/>
        <v>244.29622353899998</v>
      </c>
      <c r="BL43" s="150">
        <f t="shared" si="38"/>
        <v>249.93769601399998</v>
      </c>
      <c r="BM43" s="150">
        <f t="shared" si="38"/>
        <v>294.97234411200003</v>
      </c>
      <c r="BN43" s="150" t="e">
        <f t="shared" si="38"/>
        <v>#N/A</v>
      </c>
      <c r="BO43" s="150" t="e">
        <f t="shared" si="38"/>
        <v>#N/A</v>
      </c>
      <c r="BP43" s="150" t="e">
        <f t="shared" si="38"/>
        <v>#N/A</v>
      </c>
      <c r="BQ43" s="150" t="e">
        <f t="shared" si="38"/>
        <v>#N/A</v>
      </c>
      <c r="BR43" s="150" t="e">
        <f t="shared" si="38"/>
        <v>#N/A</v>
      </c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</row>
    <row r="44" spans="1:83" s="127" customFormat="1" ht="13.1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U44" s="69"/>
      <c r="V44" s="69"/>
      <c r="W44" s="69"/>
      <c r="X44" s="69"/>
      <c r="Y44" s="1"/>
      <c r="Z44" s="1"/>
      <c r="AA44" s="1"/>
      <c r="AB44" s="1"/>
      <c r="AC44" s="1"/>
      <c r="AD44" s="1"/>
      <c r="AG44" s="69"/>
      <c r="AH44" s="118" t="str">
        <f>AH38</f>
        <v>Budget</v>
      </c>
      <c r="AI44" s="1"/>
      <c r="AJ44" s="1"/>
      <c r="AK44" s="1"/>
      <c r="AL44" s="1"/>
      <c r="AM44" s="69"/>
      <c r="AN44" s="69"/>
      <c r="AO44" s="69"/>
      <c r="AP44" s="69"/>
      <c r="AQ44" s="69"/>
      <c r="AR44" s="69"/>
      <c r="AS44" s="69"/>
      <c r="AT44" s="69"/>
      <c r="AU44" s="150" t="e">
        <f t="shared" ref="AU44:BR44" si="39">IF(AU35="",NA(),AU35)</f>
        <v>#N/A</v>
      </c>
      <c r="AV44" s="150" t="e">
        <f t="shared" si="39"/>
        <v>#N/A</v>
      </c>
      <c r="AW44" s="150" t="e">
        <f t="shared" si="39"/>
        <v>#N/A</v>
      </c>
      <c r="AX44" s="150" t="e">
        <f t="shared" si="39"/>
        <v>#N/A</v>
      </c>
      <c r="AY44" s="150" t="e">
        <f t="shared" si="39"/>
        <v>#N/A</v>
      </c>
      <c r="AZ44" s="150" t="e">
        <f t="shared" si="39"/>
        <v>#N/A</v>
      </c>
      <c r="BA44" s="150" t="e">
        <f t="shared" si="39"/>
        <v>#N/A</v>
      </c>
      <c r="BB44" s="150" t="e">
        <f t="shared" si="39"/>
        <v>#N/A</v>
      </c>
      <c r="BC44" s="150" t="e">
        <f t="shared" si="39"/>
        <v>#N/A</v>
      </c>
      <c r="BD44" s="150" t="e">
        <f t="shared" si="39"/>
        <v>#N/A</v>
      </c>
      <c r="BE44" s="150" t="e">
        <f t="shared" si="39"/>
        <v>#N/A</v>
      </c>
      <c r="BF44" s="150" t="e">
        <f t="shared" si="39"/>
        <v>#N/A</v>
      </c>
      <c r="BG44" s="150" t="e">
        <f t="shared" si="39"/>
        <v>#N/A</v>
      </c>
      <c r="BH44" s="150" t="e">
        <f t="shared" si="39"/>
        <v>#N/A</v>
      </c>
      <c r="BI44" s="150" t="e">
        <f t="shared" si="39"/>
        <v>#N/A</v>
      </c>
      <c r="BJ44" s="150" t="e">
        <f t="shared" si="39"/>
        <v>#N/A</v>
      </c>
      <c r="BK44" s="150" t="e">
        <f t="shared" si="39"/>
        <v>#N/A</v>
      </c>
      <c r="BL44" s="150" t="e">
        <f t="shared" si="39"/>
        <v>#N/A</v>
      </c>
      <c r="BM44" s="150">
        <f t="shared" si="39"/>
        <v>417.69260545373788</v>
      </c>
      <c r="BN44" s="150">
        <f t="shared" si="39"/>
        <v>448.6407287032506</v>
      </c>
      <c r="BO44" s="150">
        <f t="shared" si="39"/>
        <v>483.50073124126294</v>
      </c>
      <c r="BP44" s="150">
        <f t="shared" si="39"/>
        <v>523.94791897377274</v>
      </c>
      <c r="BQ44" s="150">
        <f t="shared" si="39"/>
        <v>567.92517929272958</v>
      </c>
      <c r="BR44" s="150">
        <f t="shared" si="39"/>
        <v>614.83634907806095</v>
      </c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</row>
    <row r="45" spans="1:83" s="69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Y45" s="1"/>
      <c r="Z45" s="1"/>
      <c r="AA45" s="1"/>
      <c r="AB45" s="1"/>
      <c r="AC45" s="1"/>
      <c r="AD45" s="1"/>
      <c r="AE45" s="1"/>
      <c r="AF45" s="1"/>
      <c r="AH45" s="118" t="str">
        <f>AH36</f>
        <v>Trend 6m</v>
      </c>
      <c r="AI45" s="1"/>
      <c r="AJ45" s="1"/>
      <c r="AK45" s="1"/>
      <c r="AL45" s="1"/>
      <c r="AU45" s="150" t="e">
        <f t="shared" ref="AU45:BR45" si="40">IF(AU36="",NA(),AU36)</f>
        <v>#N/A</v>
      </c>
      <c r="AV45" s="150" t="e">
        <f t="shared" si="40"/>
        <v>#N/A</v>
      </c>
      <c r="AW45" s="150" t="e">
        <f t="shared" si="40"/>
        <v>#N/A</v>
      </c>
      <c r="AX45" s="150" t="e">
        <f t="shared" si="40"/>
        <v>#N/A</v>
      </c>
      <c r="AY45" s="150" t="e">
        <f t="shared" si="40"/>
        <v>#N/A</v>
      </c>
      <c r="AZ45" s="150" t="e">
        <f t="shared" si="40"/>
        <v>#N/A</v>
      </c>
      <c r="BA45" s="150" t="e">
        <f t="shared" si="40"/>
        <v>#N/A</v>
      </c>
      <c r="BB45" s="150" t="e">
        <f t="shared" si="40"/>
        <v>#N/A</v>
      </c>
      <c r="BC45" s="150" t="e">
        <f t="shared" si="40"/>
        <v>#N/A</v>
      </c>
      <c r="BD45" s="150" t="e">
        <f t="shared" si="40"/>
        <v>#N/A</v>
      </c>
      <c r="BE45" s="150" t="e">
        <f t="shared" si="40"/>
        <v>#N/A</v>
      </c>
      <c r="BF45" s="150" t="e">
        <f t="shared" si="40"/>
        <v>#N/A</v>
      </c>
      <c r="BG45" s="150" t="e">
        <f t="shared" si="40"/>
        <v>#N/A</v>
      </c>
      <c r="BH45" s="150" t="e">
        <f t="shared" si="40"/>
        <v>#N/A</v>
      </c>
      <c r="BI45" s="150" t="e">
        <f t="shared" si="40"/>
        <v>#N/A</v>
      </c>
      <c r="BJ45" s="150" t="e">
        <f t="shared" si="40"/>
        <v>#N/A</v>
      </c>
      <c r="BK45" s="150" t="e">
        <f t="shared" si="40"/>
        <v>#N/A</v>
      </c>
      <c r="BL45" s="150" t="e">
        <f t="shared" si="40"/>
        <v>#N/A</v>
      </c>
      <c r="BM45" s="150" t="e">
        <f t="shared" si="40"/>
        <v>#N/A</v>
      </c>
      <c r="BN45" s="150">
        <f t="shared" si="40"/>
        <v>278.705729024829</v>
      </c>
      <c r="BO45" s="150">
        <f t="shared" si="40"/>
        <v>285.80560339933766</v>
      </c>
      <c r="BP45" s="150">
        <f t="shared" si="40"/>
        <v>292.90547777384626</v>
      </c>
      <c r="BQ45" s="150">
        <f t="shared" si="40"/>
        <v>300.00535214835486</v>
      </c>
      <c r="BR45" s="150">
        <f t="shared" si="40"/>
        <v>307.10522652286352</v>
      </c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</row>
    <row r="46" spans="1:83" s="69" customForma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Y46" s="1"/>
      <c r="Z46" s="1"/>
      <c r="AA46" s="1"/>
      <c r="AB46" s="1"/>
      <c r="AC46" s="1"/>
      <c r="AD46" s="1"/>
      <c r="AE46" s="1"/>
      <c r="AF46" s="1"/>
      <c r="AH46" s="118" t="str">
        <f>AH37</f>
        <v>Trend 12m</v>
      </c>
      <c r="AI46" s="1"/>
      <c r="AJ46" s="1"/>
      <c r="AK46" s="1"/>
      <c r="AL46" s="1"/>
      <c r="AU46" s="150" t="e">
        <f t="shared" ref="AU46:BR46" si="41">IF(AU37="",NA(),AU37)</f>
        <v>#N/A</v>
      </c>
      <c r="AV46" s="150" t="e">
        <f t="shared" si="41"/>
        <v>#N/A</v>
      </c>
      <c r="AW46" s="150" t="e">
        <f t="shared" si="41"/>
        <v>#N/A</v>
      </c>
      <c r="AX46" s="150" t="e">
        <f t="shared" si="41"/>
        <v>#N/A</v>
      </c>
      <c r="AY46" s="150" t="e">
        <f t="shared" si="41"/>
        <v>#N/A</v>
      </c>
      <c r="AZ46" s="150" t="e">
        <f t="shared" si="41"/>
        <v>#N/A</v>
      </c>
      <c r="BA46" s="150" t="e">
        <f t="shared" si="41"/>
        <v>#N/A</v>
      </c>
      <c r="BB46" s="150" t="e">
        <f t="shared" si="41"/>
        <v>#N/A</v>
      </c>
      <c r="BC46" s="150" t="e">
        <f t="shared" si="41"/>
        <v>#N/A</v>
      </c>
      <c r="BD46" s="150" t="e">
        <f t="shared" si="41"/>
        <v>#N/A</v>
      </c>
      <c r="BE46" s="150" t="e">
        <f t="shared" si="41"/>
        <v>#N/A</v>
      </c>
      <c r="BF46" s="150" t="e">
        <f t="shared" si="41"/>
        <v>#N/A</v>
      </c>
      <c r="BG46" s="150" t="e">
        <f t="shared" si="41"/>
        <v>#N/A</v>
      </c>
      <c r="BH46" s="150" t="e">
        <f t="shared" si="41"/>
        <v>#N/A</v>
      </c>
      <c r="BI46" s="150" t="e">
        <f t="shared" si="41"/>
        <v>#N/A</v>
      </c>
      <c r="BJ46" s="150" t="e">
        <f t="shared" si="41"/>
        <v>#N/A</v>
      </c>
      <c r="BK46" s="150" t="e">
        <f t="shared" si="41"/>
        <v>#N/A</v>
      </c>
      <c r="BL46" s="150" t="e">
        <f t="shared" si="41"/>
        <v>#N/A</v>
      </c>
      <c r="BM46" s="150" t="e">
        <f t="shared" si="41"/>
        <v>#N/A</v>
      </c>
      <c r="BN46" s="150">
        <f t="shared" si="41"/>
        <v>302.64735997130816</v>
      </c>
      <c r="BO46" s="150">
        <f t="shared" si="41"/>
        <v>314.55954997665083</v>
      </c>
      <c r="BP46" s="150">
        <f t="shared" si="41"/>
        <v>326.47173998199344</v>
      </c>
      <c r="BQ46" s="150">
        <f t="shared" si="41"/>
        <v>338.3839299873361</v>
      </c>
      <c r="BR46" s="150">
        <f t="shared" si="41"/>
        <v>350.29611999267871</v>
      </c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</row>
    <row r="47" spans="1:83" s="69" customForma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Y47" s="1"/>
      <c r="Z47" s="1"/>
      <c r="AA47" s="1"/>
      <c r="AB47" s="1"/>
      <c r="AC47" s="1"/>
      <c r="AD47" s="1"/>
      <c r="AE47" s="1"/>
      <c r="AF47" s="1"/>
      <c r="AG47" s="1"/>
      <c r="AH47" s="118" t="s">
        <v>34</v>
      </c>
      <c r="AI47" s="1"/>
      <c r="AJ47" s="1"/>
      <c r="AK47" s="1"/>
      <c r="AL47" s="146"/>
      <c r="AM47" s="1"/>
      <c r="AN47" s="1"/>
      <c r="AO47" s="1"/>
      <c r="AP47" s="1"/>
      <c r="AQ47" s="1"/>
      <c r="AR47" s="1"/>
      <c r="AS47" s="1"/>
      <c r="AT47" s="1"/>
      <c r="AU47" s="150" t="e">
        <f>IF(AU39="",NA(),AU39)</f>
        <v>#N/A</v>
      </c>
      <c r="AV47" s="150" t="e">
        <f t="shared" ref="AV47:BR47" si="42">IF(AV39="",NA(),AV39)</f>
        <v>#N/A</v>
      </c>
      <c r="AW47" s="150" t="e">
        <f t="shared" si="42"/>
        <v>#N/A</v>
      </c>
      <c r="AX47" s="150" t="e">
        <f t="shared" si="42"/>
        <v>#N/A</v>
      </c>
      <c r="AY47" s="150" t="e">
        <f t="shared" si="42"/>
        <v>#N/A</v>
      </c>
      <c r="AZ47" s="150" t="e">
        <f t="shared" si="42"/>
        <v>#N/A</v>
      </c>
      <c r="BA47" s="150" t="e">
        <f t="shared" si="42"/>
        <v>#N/A</v>
      </c>
      <c r="BB47" s="150" t="e">
        <f t="shared" si="42"/>
        <v>#N/A</v>
      </c>
      <c r="BC47" s="150" t="e">
        <f t="shared" si="42"/>
        <v>#N/A</v>
      </c>
      <c r="BD47" s="150" t="e">
        <f t="shared" si="42"/>
        <v>#N/A</v>
      </c>
      <c r="BE47" s="150" t="e">
        <f t="shared" si="42"/>
        <v>#N/A</v>
      </c>
      <c r="BF47" s="150" t="e">
        <f t="shared" si="42"/>
        <v>#N/A</v>
      </c>
      <c r="BG47" s="150" t="e">
        <f t="shared" si="42"/>
        <v>#N/A</v>
      </c>
      <c r="BH47" s="150" t="e">
        <f t="shared" si="42"/>
        <v>#N/A</v>
      </c>
      <c r="BI47" s="150" t="e">
        <f t="shared" si="42"/>
        <v>#N/A</v>
      </c>
      <c r="BJ47" s="150" t="e">
        <f t="shared" si="42"/>
        <v>#N/A</v>
      </c>
      <c r="BK47" s="150" t="e">
        <f t="shared" si="42"/>
        <v>#N/A</v>
      </c>
      <c r="BL47" s="150" t="e">
        <f t="shared" si="42"/>
        <v>#N/A</v>
      </c>
      <c r="BM47" s="150">
        <f t="shared" si="42"/>
        <v>294.97234411200003</v>
      </c>
      <c r="BN47" s="150">
        <f t="shared" si="42"/>
        <v>448.6407287032506</v>
      </c>
      <c r="BO47" s="150">
        <f t="shared" si="42"/>
        <v>483.50073124126294</v>
      </c>
      <c r="BP47" s="150">
        <f t="shared" si="42"/>
        <v>523.94791897377274</v>
      </c>
      <c r="BQ47" s="150">
        <f t="shared" si="42"/>
        <v>567.92517929272958</v>
      </c>
      <c r="BR47" s="150">
        <f t="shared" si="42"/>
        <v>614.83634907806095</v>
      </c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</row>
    <row r="48" spans="1:83" s="69" customForma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Y48" s="1"/>
      <c r="Z48" s="1"/>
      <c r="AA48" s="1"/>
      <c r="AB48" s="1"/>
      <c r="AC48" s="1"/>
      <c r="AD48" s="1"/>
      <c r="AE48" s="1"/>
      <c r="AF48" s="1"/>
      <c r="AH48" s="1"/>
      <c r="AI48" s="1"/>
      <c r="BW48" s="1"/>
      <c r="BX48" s="1"/>
      <c r="BY48" s="1"/>
      <c r="BZ48" s="1"/>
      <c r="CA48" s="1"/>
    </row>
    <row r="49" spans="1:79" s="69" customForma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Y49" s="1"/>
      <c r="Z49" s="1"/>
      <c r="AA49" s="1"/>
      <c r="AB49" s="1"/>
      <c r="AC49" s="1"/>
      <c r="AD49" s="1"/>
      <c r="AE49" s="1"/>
      <c r="AF49" s="1"/>
      <c r="AH49" s="1"/>
      <c r="AI49" s="1"/>
      <c r="BW49" s="1"/>
      <c r="BX49" s="1"/>
      <c r="BY49" s="1"/>
      <c r="BZ49" s="1"/>
      <c r="CA49" s="1"/>
    </row>
    <row r="50" spans="1:79" s="69" customForma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BW50" s="1"/>
      <c r="BX50" s="1"/>
      <c r="BY50" s="1"/>
      <c r="BZ50" s="1"/>
      <c r="CA50" s="1"/>
    </row>
    <row r="51" spans="1:79" s="69" customForma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BW51" s="1"/>
      <c r="BX51" s="1"/>
      <c r="BY51" s="1"/>
      <c r="BZ51" s="1"/>
      <c r="CA51" s="1"/>
    </row>
    <row r="52" spans="1:79" s="69" customForma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BW52" s="1"/>
      <c r="BX52" s="1"/>
      <c r="BY52" s="1"/>
      <c r="BZ52" s="1"/>
      <c r="CA52" s="1"/>
    </row>
    <row r="53" spans="1:79" s="69" customForma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BW53" s="1"/>
      <c r="BX53" s="1"/>
      <c r="BY53" s="1"/>
      <c r="BZ53" s="1"/>
      <c r="CA53" s="1"/>
    </row>
    <row r="54" spans="1:79" s="69" customForma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BW54" s="1"/>
      <c r="BX54" s="1"/>
      <c r="BY54" s="1"/>
      <c r="BZ54" s="1"/>
      <c r="CA54" s="1"/>
    </row>
    <row r="55" spans="1:79" s="69" customForma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BW55" s="1"/>
      <c r="BX55" s="1"/>
      <c r="BY55" s="1"/>
      <c r="BZ55" s="1"/>
      <c r="CA55" s="1"/>
    </row>
    <row r="56" spans="1:79" s="69" customForma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BW56" s="1"/>
      <c r="BX56" s="1"/>
      <c r="BY56" s="1"/>
      <c r="BZ56" s="1"/>
      <c r="CA56" s="1"/>
    </row>
    <row r="57" spans="1:79" s="69" customForma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BW57" s="1"/>
      <c r="BX57" s="1"/>
      <c r="BY57" s="1"/>
      <c r="BZ57" s="1"/>
      <c r="CA57" s="1"/>
    </row>
    <row r="58" spans="1:79" s="69" customForma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BW58" s="1"/>
      <c r="BX58" s="1"/>
      <c r="BY58" s="1"/>
      <c r="BZ58" s="1"/>
      <c r="CA58" s="1"/>
    </row>
    <row r="59" spans="1:79" x14ac:dyDescent="0.2">
      <c r="T59" s="69"/>
      <c r="U59" s="69"/>
      <c r="V59" s="69"/>
      <c r="W59" s="69"/>
      <c r="X59" s="69"/>
      <c r="AJ59" s="69"/>
    </row>
    <row r="60" spans="1:79" s="69" customForma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BW60" s="1"/>
      <c r="BX60" s="1"/>
      <c r="BY60" s="1"/>
      <c r="BZ60" s="1"/>
      <c r="CA60" s="1"/>
    </row>
    <row r="61" spans="1:79" s="69" customForma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BW61" s="1"/>
      <c r="BX61" s="1"/>
      <c r="BY61" s="1"/>
      <c r="BZ61" s="1"/>
      <c r="CA61" s="1"/>
    </row>
    <row r="62" spans="1:79" s="69" customForma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BW62" s="1"/>
      <c r="BX62" s="1"/>
      <c r="BY62" s="1"/>
      <c r="BZ62" s="1"/>
      <c r="CA62" s="1"/>
    </row>
    <row r="63" spans="1:79" s="69" customForma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BW63" s="1"/>
      <c r="BX63" s="1"/>
      <c r="BY63" s="1"/>
      <c r="BZ63" s="1"/>
      <c r="CA63" s="1"/>
    </row>
    <row r="64" spans="1:79" s="69" customForma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BW64" s="1"/>
      <c r="BX64" s="1"/>
      <c r="BY64" s="1"/>
      <c r="BZ64" s="1"/>
      <c r="CA64" s="1"/>
    </row>
    <row r="65" spans="1:79" s="69" customForma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BW65" s="1"/>
      <c r="BX65" s="1"/>
      <c r="BY65" s="1"/>
      <c r="BZ65" s="1"/>
      <c r="CA65" s="1"/>
    </row>
    <row r="66" spans="1:79" s="69" customForma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BW66" s="1"/>
      <c r="BX66" s="1"/>
      <c r="BY66" s="1"/>
      <c r="BZ66" s="1"/>
      <c r="CA66" s="1"/>
    </row>
    <row r="67" spans="1:79" s="69" customForma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BW67" s="1"/>
      <c r="BX67" s="1"/>
      <c r="BY67" s="1"/>
      <c r="BZ67" s="1"/>
      <c r="CA67" s="1"/>
    </row>
    <row r="68" spans="1:79" s="69" customForma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BW68" s="1"/>
      <c r="BX68" s="1"/>
      <c r="BY68" s="1"/>
      <c r="BZ68" s="1"/>
      <c r="CA68" s="1"/>
    </row>
    <row r="69" spans="1:79" s="69" customForma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BW69" s="1"/>
      <c r="BX69" s="1"/>
      <c r="BY69" s="1"/>
      <c r="BZ69" s="1"/>
      <c r="CA69" s="1"/>
    </row>
    <row r="70" spans="1:79" s="69" customForma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BW70" s="1"/>
      <c r="BX70" s="1"/>
      <c r="BY70" s="1"/>
      <c r="BZ70" s="1"/>
      <c r="CA70" s="1"/>
    </row>
    <row r="71" spans="1:79" s="69" customForma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BW71" s="1"/>
      <c r="BX71" s="1"/>
      <c r="BY71" s="1"/>
      <c r="BZ71" s="1"/>
      <c r="CA71" s="1"/>
    </row>
    <row r="72" spans="1:79" s="69" customForma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BW72" s="1"/>
      <c r="BX72" s="1"/>
      <c r="BY72" s="1"/>
      <c r="BZ72" s="1"/>
      <c r="CA72" s="1"/>
    </row>
    <row r="73" spans="1:79" s="69" customForma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BW73" s="1"/>
      <c r="BX73" s="1"/>
      <c r="BY73" s="1"/>
      <c r="BZ73" s="1"/>
      <c r="CA73" s="1"/>
    </row>
    <row r="74" spans="1:79" s="69" customForma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BW74" s="1"/>
      <c r="BX74" s="1"/>
      <c r="BY74" s="1"/>
      <c r="BZ74" s="1"/>
      <c r="CA74" s="1"/>
    </row>
    <row r="75" spans="1:79" s="69" customForma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BW75" s="1"/>
      <c r="BX75" s="1"/>
      <c r="BY75" s="1"/>
      <c r="BZ75" s="1"/>
      <c r="CA75" s="1"/>
    </row>
    <row r="76" spans="1:79" s="69" customForma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BW76" s="1"/>
      <c r="BX76" s="1"/>
      <c r="BY76" s="1"/>
      <c r="BZ76" s="1"/>
      <c r="CA76" s="1"/>
    </row>
    <row r="77" spans="1:79" s="69" customForma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BW77" s="1"/>
      <c r="BX77" s="1"/>
      <c r="BY77" s="1"/>
      <c r="BZ77" s="1"/>
      <c r="CA77" s="1"/>
    </row>
    <row r="78" spans="1:79" s="69" customForma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BW78" s="1"/>
      <c r="BX78" s="1"/>
      <c r="BY78" s="1"/>
      <c r="BZ78" s="1"/>
      <c r="CA78" s="1"/>
    </row>
    <row r="79" spans="1:79" s="69" customForma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BW79" s="1"/>
      <c r="BX79" s="1"/>
      <c r="BY79" s="1"/>
      <c r="BZ79" s="1"/>
      <c r="CA79" s="1"/>
    </row>
    <row r="80" spans="1:79" s="69" customForma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BW80" s="1"/>
      <c r="BX80" s="1"/>
      <c r="BY80" s="1"/>
      <c r="BZ80" s="1"/>
      <c r="CA80" s="1"/>
    </row>
    <row r="81" spans="1:79" s="69" customForma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BW81" s="1"/>
      <c r="BX81" s="1"/>
      <c r="BY81" s="1"/>
      <c r="BZ81" s="1"/>
      <c r="CA81" s="1"/>
    </row>
    <row r="82" spans="1:79" s="69" customForma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BW82" s="1"/>
      <c r="BX82" s="1"/>
      <c r="BY82" s="1"/>
      <c r="BZ82" s="1"/>
      <c r="CA82" s="1"/>
    </row>
    <row r="83" spans="1:79" s="69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BW83" s="1"/>
      <c r="BX83" s="1"/>
      <c r="BY83" s="1"/>
      <c r="BZ83" s="1"/>
      <c r="CA83" s="1"/>
    </row>
    <row r="84" spans="1:79" s="69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BW84" s="1"/>
      <c r="BX84" s="1"/>
      <c r="BY84" s="1"/>
      <c r="BZ84" s="1"/>
      <c r="CA84" s="1"/>
    </row>
    <row r="85" spans="1:79" s="69" customForma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BW85" s="1"/>
      <c r="BX85" s="1"/>
      <c r="BY85" s="1"/>
      <c r="BZ85" s="1"/>
      <c r="CA85" s="1"/>
    </row>
    <row r="86" spans="1:79" s="69" customForma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BW86" s="1"/>
      <c r="BX86" s="1"/>
      <c r="BY86" s="1"/>
      <c r="BZ86" s="1"/>
      <c r="CA86" s="1"/>
    </row>
    <row r="87" spans="1:79" s="69" customForma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BW87" s="1"/>
      <c r="BX87" s="1"/>
      <c r="BY87" s="1"/>
      <c r="BZ87" s="1"/>
      <c r="CA87" s="1"/>
    </row>
    <row r="88" spans="1:79" x14ac:dyDescent="0.2">
      <c r="AJ88" s="69"/>
    </row>
    <row r="89" spans="1:79" s="69" customForma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BW89" s="1"/>
      <c r="BX89" s="1"/>
      <c r="BY89" s="1"/>
      <c r="BZ89" s="1"/>
      <c r="CA89" s="1"/>
    </row>
    <row r="90" spans="1:79" s="69" customForma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BW90" s="1"/>
      <c r="BX90" s="1"/>
      <c r="BY90" s="1"/>
      <c r="BZ90" s="1"/>
      <c r="CA90" s="1"/>
    </row>
    <row r="91" spans="1:79" s="69" customForma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BW91" s="1"/>
      <c r="BX91" s="1"/>
      <c r="BY91" s="1"/>
      <c r="BZ91" s="1"/>
      <c r="CA91" s="1"/>
    </row>
    <row r="92" spans="1:79" s="69" customForma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BW92" s="1"/>
      <c r="BX92" s="1"/>
      <c r="BY92" s="1"/>
      <c r="BZ92" s="1"/>
      <c r="CA92" s="1"/>
    </row>
    <row r="93" spans="1:79" s="69" customForma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BW93" s="1"/>
      <c r="BX93" s="1"/>
      <c r="BY93" s="1"/>
      <c r="BZ93" s="1"/>
      <c r="CA93" s="1"/>
    </row>
    <row r="94" spans="1:79" s="69" customForma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BW94" s="1"/>
      <c r="BX94" s="1"/>
      <c r="BY94" s="1"/>
      <c r="BZ94" s="1"/>
      <c r="CA94" s="1"/>
    </row>
    <row r="95" spans="1:79" s="69" customForma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BW95" s="1"/>
      <c r="BX95" s="1"/>
      <c r="BY95" s="1"/>
      <c r="BZ95" s="1"/>
      <c r="CA95" s="1"/>
    </row>
    <row r="96" spans="1:79" s="69" customForma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BW96" s="1"/>
      <c r="BX96" s="1"/>
      <c r="BY96" s="1"/>
      <c r="BZ96" s="1"/>
      <c r="CA96" s="1"/>
    </row>
    <row r="97" spans="1:79" s="69" customForma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BW97" s="1"/>
      <c r="BX97" s="1"/>
      <c r="BY97" s="1"/>
      <c r="BZ97" s="1"/>
      <c r="CA97" s="1"/>
    </row>
    <row r="98" spans="1:79" s="69" customForma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BW98" s="1"/>
      <c r="BX98" s="1"/>
      <c r="BY98" s="1"/>
      <c r="BZ98" s="1"/>
      <c r="CA98" s="1"/>
    </row>
    <row r="99" spans="1:79" s="69" customForma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BW99" s="1"/>
      <c r="BX99" s="1"/>
      <c r="BY99" s="1"/>
      <c r="BZ99" s="1"/>
      <c r="CA99" s="1"/>
    </row>
    <row r="100" spans="1:79" s="69" customForma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BW100" s="1"/>
      <c r="BX100" s="1"/>
      <c r="BY100" s="1"/>
      <c r="BZ100" s="1"/>
      <c r="CA100" s="1"/>
    </row>
    <row r="101" spans="1:79" s="69" customForma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BW101" s="1"/>
      <c r="BX101" s="1"/>
      <c r="BY101" s="1"/>
      <c r="BZ101" s="1"/>
      <c r="CA101" s="1"/>
    </row>
    <row r="102" spans="1:79" s="69" customForma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BW102" s="1"/>
      <c r="BX102" s="1"/>
      <c r="BY102" s="1"/>
      <c r="BZ102" s="1"/>
      <c r="CA102" s="1"/>
    </row>
    <row r="103" spans="1:79" s="69" customForma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BW103" s="1"/>
      <c r="BX103" s="1"/>
      <c r="BY103" s="1"/>
      <c r="BZ103" s="1"/>
      <c r="CA103" s="1"/>
    </row>
    <row r="104" spans="1:79" s="69" customForma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BW104" s="1"/>
      <c r="BX104" s="1"/>
      <c r="BY104" s="1"/>
      <c r="BZ104" s="1"/>
      <c r="CA104" s="1"/>
    </row>
    <row r="105" spans="1:79" s="69" customForma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BW105" s="1"/>
      <c r="BX105" s="1"/>
      <c r="BY105" s="1"/>
      <c r="BZ105" s="1"/>
      <c r="CA105" s="1"/>
    </row>
    <row r="106" spans="1:79" s="69" customForma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BW106" s="1"/>
      <c r="BX106" s="1"/>
      <c r="BY106" s="1"/>
      <c r="BZ106" s="1"/>
      <c r="CA106" s="1"/>
    </row>
    <row r="107" spans="1:79" s="69" customForma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BW107" s="1"/>
      <c r="BX107" s="1"/>
      <c r="BY107" s="1"/>
      <c r="BZ107" s="1"/>
      <c r="CA107" s="1"/>
    </row>
    <row r="108" spans="1:79" s="69" customForma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84"/>
      <c r="AK108" s="185"/>
      <c r="AL108" s="118"/>
      <c r="AM108" s="186"/>
      <c r="AN108" s="187"/>
      <c r="AP108" s="188"/>
      <c r="AR108" s="188"/>
      <c r="AT108" s="188"/>
      <c r="AV108" s="188"/>
      <c r="AX108" s="188"/>
      <c r="AZ108" s="188"/>
      <c r="BB108" s="188"/>
      <c r="BD108" s="188"/>
      <c r="BF108" s="188"/>
      <c r="BH108" s="188"/>
      <c r="BJ108" s="188"/>
      <c r="BW108" s="1"/>
      <c r="BX108" s="1"/>
      <c r="BY108" s="1"/>
      <c r="BZ108" s="1"/>
      <c r="CA108" s="1"/>
    </row>
    <row r="109" spans="1:79" s="69" customForma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BW109" s="1"/>
      <c r="BX109" s="1"/>
      <c r="BY109" s="1"/>
      <c r="BZ109" s="1"/>
      <c r="CA109" s="1"/>
    </row>
    <row r="110" spans="1:79" s="69" customForma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BW110" s="1"/>
      <c r="BX110" s="1"/>
      <c r="BY110" s="1"/>
      <c r="BZ110" s="1"/>
      <c r="CA110" s="1"/>
    </row>
    <row r="111" spans="1:79" s="69" customForma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BW111" s="1"/>
      <c r="BX111" s="1"/>
      <c r="BY111" s="1"/>
      <c r="BZ111" s="1"/>
      <c r="CA111" s="1"/>
    </row>
    <row r="112" spans="1:79" s="69" customForma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BW112" s="1"/>
      <c r="BX112" s="1"/>
      <c r="BY112" s="1"/>
      <c r="BZ112" s="1"/>
      <c r="CA112" s="1"/>
    </row>
    <row r="113" spans="1:79" s="69" customForma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BW113" s="1"/>
      <c r="BX113" s="1"/>
      <c r="BY113" s="1"/>
      <c r="BZ113" s="1"/>
      <c r="CA113" s="1"/>
    </row>
    <row r="114" spans="1:79" s="69" customForma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BW114" s="1"/>
      <c r="BX114" s="1"/>
      <c r="BY114" s="1"/>
      <c r="BZ114" s="1"/>
      <c r="CA114" s="1"/>
    </row>
    <row r="115" spans="1:79" s="69" customForma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BW115" s="1"/>
      <c r="BX115" s="1"/>
      <c r="BY115" s="1"/>
      <c r="BZ115" s="1"/>
      <c r="CA115" s="1"/>
    </row>
    <row r="116" spans="1:79" s="69" customForma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BW116" s="1"/>
      <c r="BX116" s="1"/>
      <c r="BY116" s="1"/>
      <c r="BZ116" s="1"/>
      <c r="CA116" s="1"/>
    </row>
  </sheetData>
  <conditionalFormatting sqref="S6:S11">
    <cfRule type="cellIs" dxfId="53" priority="61" operator="lessThan">
      <formula>0</formula>
    </cfRule>
    <cfRule type="cellIs" dxfId="52" priority="62" operator="greaterThan">
      <formula>0</formula>
    </cfRule>
  </conditionalFormatting>
  <conditionalFormatting sqref="U25:X27">
    <cfRule type="cellIs" dxfId="51" priority="26" operator="greaterThan">
      <formula>0</formula>
    </cfRule>
    <cfRule type="cellIs" dxfId="50" priority="25" operator="lessThan">
      <formula>0</formula>
    </cfRule>
  </conditionalFormatting>
  <conditionalFormatting sqref="U30:X32">
    <cfRule type="cellIs" dxfId="49" priority="17" operator="lessThan">
      <formula>0</formula>
    </cfRule>
    <cfRule type="cellIs" dxfId="48" priority="18" operator="greaterThan">
      <formula>0</formula>
    </cfRule>
  </conditionalFormatting>
  <conditionalFormatting sqref="U35:X38">
    <cfRule type="cellIs" dxfId="47" priority="37" operator="lessThan">
      <formula>0</formula>
    </cfRule>
    <cfRule type="cellIs" dxfId="46" priority="38" operator="greaterThan">
      <formula>0</formula>
    </cfRule>
  </conditionalFormatting>
  <conditionalFormatting sqref="V13:W13">
    <cfRule type="cellIs" dxfId="45" priority="35" operator="lessThan">
      <formula>0</formula>
    </cfRule>
  </conditionalFormatting>
  <conditionalFormatting sqref="V13:X13">
    <cfRule type="cellIs" dxfId="44" priority="34" operator="greaterThan">
      <formula>0</formula>
    </cfRule>
  </conditionalFormatting>
  <conditionalFormatting sqref="W14 AC14">
    <cfRule type="expression" dxfId="43" priority="75">
      <formula>#REF!&gt;#REF!</formula>
    </cfRule>
  </conditionalFormatting>
  <conditionalFormatting sqref="X6:X9 T10:U10">
    <cfRule type="cellIs" dxfId="42" priority="49" operator="lessThan">
      <formula>0</formula>
    </cfRule>
    <cfRule type="cellIs" dxfId="41" priority="50" operator="greaterThan">
      <formula>0</formula>
    </cfRule>
  </conditionalFormatting>
  <conditionalFormatting sqref="X13:X14">
    <cfRule type="cellIs" dxfId="40" priority="31" operator="lessThan">
      <formula>0</formula>
    </cfRule>
  </conditionalFormatting>
  <conditionalFormatting sqref="X14">
    <cfRule type="cellIs" dxfId="39" priority="32" operator="greaterThan">
      <formula>0</formula>
    </cfRule>
  </conditionalFormatting>
  <conditionalFormatting sqref="AA25:AD27">
    <cfRule type="cellIs" dxfId="38" priority="1" operator="lessThan">
      <formula>0</formula>
    </cfRule>
    <cfRule type="cellIs" dxfId="37" priority="2" operator="greaterThan">
      <formula>0</formula>
    </cfRule>
  </conditionalFormatting>
  <conditionalFormatting sqref="AA30:AD32">
    <cfRule type="cellIs" dxfId="36" priority="7" operator="lessThan">
      <formula>0</formula>
    </cfRule>
    <cfRule type="cellIs" dxfId="35" priority="8" operator="greaterThan">
      <formula>0</formula>
    </cfRule>
  </conditionalFormatting>
  <conditionalFormatting sqref="AA35:AD38">
    <cfRule type="cellIs" dxfId="34" priority="63" operator="lessThan">
      <formula>0</formula>
    </cfRule>
    <cfRule type="cellIs" dxfId="33" priority="64" operator="greaterThan">
      <formula>0</formula>
    </cfRule>
  </conditionalFormatting>
  <conditionalFormatting sqref="AB13:AD13">
    <cfRule type="cellIs" dxfId="32" priority="57" operator="lessThan">
      <formula>0</formula>
    </cfRule>
    <cfRule type="cellIs" dxfId="31" priority="58" operator="greaterThan">
      <formula>0</formula>
    </cfRule>
  </conditionalFormatting>
  <conditionalFormatting sqref="AD6:AD9 Z10:AA10">
    <cfRule type="cellIs" dxfId="30" priority="73" operator="lessThan">
      <formula>0</formula>
    </cfRule>
    <cfRule type="cellIs" dxfId="29" priority="74" operator="greaterThan">
      <formula>0</formula>
    </cfRule>
  </conditionalFormatting>
  <conditionalFormatting sqref="AD14">
    <cfRule type="cellIs" dxfId="28" priority="55" operator="lessThan">
      <formula>0</formula>
    </cfRule>
    <cfRule type="cellIs" dxfId="27" priority="56" operator="greaterThan">
      <formula>0</formula>
    </cfRule>
  </conditionalFormatting>
  <pageMargins left="0.7" right="0.7" top="0.75" bottom="0.75" header="0.3" footer="0.3"/>
  <pageSetup orientation="portrait" verticalDpi="300" r:id="rId1"/>
  <ignoredErrors>
    <ignoredError sqref="F8:R8 F15:R15" formula="1"/>
  </ignoredErrors>
  <drawing r:id="rId2"/>
  <legacyDrawing r:id="rId3"/>
  <controls>
    <mc:AlternateContent xmlns:mc="http://schemas.openxmlformats.org/markup-compatibility/2006">
      <mc:Choice Requires="x14">
        <control shapeId="576513" r:id="rId4" name="FPMExcelClientSheetOptionstb1">
          <controlPr defaultSize="0" autoLine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576513" r:id="rId4" name="FPMExcelClientSheetOptionstb1"/>
      </mc:Fallback>
    </mc:AlternateContent>
    <mc:AlternateContent xmlns:mc="http://schemas.openxmlformats.org/markup-compatibility/2006">
      <mc:Choice Requires="x14">
        <control shapeId="576514" r:id="rId6" name="ConnectionDescriptorsInfotb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314325</xdr:colOff>
                <xdr:row>0</xdr:row>
                <xdr:rowOff>0</xdr:rowOff>
              </to>
            </anchor>
          </controlPr>
        </control>
      </mc:Choice>
      <mc:Fallback>
        <control shapeId="576514" r:id="rId6" name="ConnectionDescriptorsInfotb1"/>
      </mc:Fallback>
    </mc:AlternateContent>
    <mc:AlternateContent xmlns:mc="http://schemas.openxmlformats.org/markup-compatibility/2006">
      <mc:Choice Requires="x14">
        <control shapeId="576515" r:id="rId8" name="MultipleReportManagerInfotb1">
          <controlPr defaultSize="0" autoLine="0" autoPict="0" r:id="rId9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314325</xdr:colOff>
                <xdr:row>0</xdr:row>
                <xdr:rowOff>0</xdr:rowOff>
              </to>
            </anchor>
          </controlPr>
        </control>
      </mc:Choice>
      <mc:Fallback>
        <control shapeId="576515" r:id="rId8" name="MultipleReportManagerInfotb1"/>
      </mc:Fallback>
    </mc:AlternateContent>
    <mc:AlternateContent xmlns:mc="http://schemas.openxmlformats.org/markup-compatibility/2006">
      <mc:Choice Requires="x14">
        <control shapeId="576516" r:id="rId10" name="AnalyzerDynReport000tb1">
          <controlPr defaultSize="0" autoLine="0" autoPict="0" r:id="rId11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314325</xdr:colOff>
                <xdr:row>0</xdr:row>
                <xdr:rowOff>0</xdr:rowOff>
              </to>
            </anchor>
          </controlPr>
        </control>
      </mc:Choice>
      <mc:Fallback>
        <control shapeId="576516" r:id="rId10" name="AnalyzerDynReport000tb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EF52D2-6001-465A-A8A4-4B53661B34F6}">
          <x14:formula1>
            <xm:f>Mapping!$A$2:$A$19</xm:f>
          </x14:formula1>
          <xm:sqref>E2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2FD260C0EBCD4E91A53891CC8A485B" ma:contentTypeVersion="13" ma:contentTypeDescription="Create a new document." ma:contentTypeScope="" ma:versionID="351de0b444d287a2673bd796e8b46def">
  <xsd:schema xmlns:xsd="http://www.w3.org/2001/XMLSchema" xmlns:xs="http://www.w3.org/2001/XMLSchema" xmlns:p="http://schemas.microsoft.com/office/2006/metadata/properties" xmlns:ns3="19dfdce6-3da8-47c2-83ed-2044855683c6" xmlns:ns4="adcc72fa-723a-4d9d-ad85-3aa454337524" targetNamespace="http://schemas.microsoft.com/office/2006/metadata/properties" ma:root="true" ma:fieldsID="d21f82a527d534b7e959f84c6d93a4f7" ns3:_="" ns4:_="">
    <xsd:import namespace="19dfdce6-3da8-47c2-83ed-2044855683c6"/>
    <xsd:import namespace="adcc72fa-723a-4d9d-ad85-3aa45433752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dfdce6-3da8-47c2-83ed-2044855683c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cc72fa-723a-4d9d-ad85-3aa4543375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B62FF5-FD6E-402B-9A79-DE02F9E34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dfdce6-3da8-47c2-83ed-2044855683c6"/>
    <ds:schemaRef ds:uri="adcc72fa-723a-4d9d-ad85-3aa4543375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466703-2963-45A2-8861-11E94C5CDF67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adcc72fa-723a-4d9d-ad85-3aa454337524"/>
    <ds:schemaRef ds:uri="19dfdce6-3da8-47c2-83ed-2044855683c6"/>
  </ds:schemaRefs>
</ds:datastoreItem>
</file>

<file path=customXml/itemProps3.xml><?xml version="1.0" encoding="utf-8"?>
<ds:datastoreItem xmlns:ds="http://schemas.openxmlformats.org/officeDocument/2006/customXml" ds:itemID="{FEC988D1-051B-456C-A307-2B4938C6A7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Introduction</vt:lpstr>
      <vt:lpstr>Mapping</vt:lpstr>
      <vt:lpstr>Bridges for Trends</vt:lpstr>
      <vt:lpstr>Sales Data</vt:lpstr>
      <vt:lpstr>Units sold</vt:lpstr>
      <vt:lpstr>Summary</vt:lpstr>
      <vt:lpstr>Chairs</vt:lpstr>
      <vt:lpstr>Tables</vt:lpstr>
      <vt:lpstr>Kitchen</vt:lpstr>
      <vt:lpstr>Accessories</vt:lpstr>
    </vt:vector>
  </TitlesOfParts>
  <Company>Novartis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Joligewar, Chandrakanth</dc:creator>
  <cp:lastModifiedBy>QSK1184</cp:lastModifiedBy>
  <dcterms:created xsi:type="dcterms:W3CDTF">2019-03-20T09:12:48Z</dcterms:created>
  <dcterms:modified xsi:type="dcterms:W3CDTF">2024-09-20T12:14:31Z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CH Sales Input  Phasing 01.20 -Management Sales (004).xlsx</vt:lpwstr>
  </property>
  <property fmtid="{D5CDD505-2E9C-101B-9397-08002B2CF9AE}" pid="3" name="MSIP_Label_4929bff8-5b33-42aa-95d2-28f72e792cb0_Enabled">
    <vt:lpwstr>True</vt:lpwstr>
  </property>
  <property fmtid="{D5CDD505-2E9C-101B-9397-08002B2CF9AE}" pid="4" name="MSIP_Label_4929bff8-5b33-42aa-95d2-28f72e792cb0_SiteId">
    <vt:lpwstr>f35a6974-607f-47d4-82d7-ff31d7dc53a5</vt:lpwstr>
  </property>
  <property fmtid="{D5CDD505-2E9C-101B-9397-08002B2CF9AE}" pid="5" name="MSIP_Label_4929bff8-5b33-42aa-95d2-28f72e792cb0_Owner">
    <vt:lpwstr>DEPAOAL1@novartis.net</vt:lpwstr>
  </property>
  <property fmtid="{D5CDD505-2E9C-101B-9397-08002B2CF9AE}" pid="6" name="MSIP_Label_4929bff8-5b33-42aa-95d2-28f72e792cb0_SetDate">
    <vt:lpwstr>2020-06-04T06:27:50.8432302Z</vt:lpwstr>
  </property>
  <property fmtid="{D5CDD505-2E9C-101B-9397-08002B2CF9AE}" pid="7" name="MSIP_Label_4929bff8-5b33-42aa-95d2-28f72e792cb0_Name">
    <vt:lpwstr>Business Use Only</vt:lpwstr>
  </property>
  <property fmtid="{D5CDD505-2E9C-101B-9397-08002B2CF9AE}" pid="8" name="MSIP_Label_4929bff8-5b33-42aa-95d2-28f72e792cb0_Application">
    <vt:lpwstr>Microsoft Azure Information Protection</vt:lpwstr>
  </property>
  <property fmtid="{D5CDD505-2E9C-101B-9397-08002B2CF9AE}" pid="9" name="MSIP_Label_4929bff8-5b33-42aa-95d2-28f72e792cb0_ActionId">
    <vt:lpwstr>9a469345-1911-4047-8aa3-04db85e2b0c9</vt:lpwstr>
  </property>
  <property fmtid="{D5CDD505-2E9C-101B-9397-08002B2CF9AE}" pid="10" name="MSIP_Label_4929bff8-5b33-42aa-95d2-28f72e792cb0_Extended_MSFT_Method">
    <vt:lpwstr>Automatic</vt:lpwstr>
  </property>
  <property fmtid="{D5CDD505-2E9C-101B-9397-08002B2CF9AE}" pid="11" name="Confidentiality">
    <vt:lpwstr>Business Use Only</vt:lpwstr>
  </property>
  <property fmtid="{D5CDD505-2E9C-101B-9397-08002B2CF9AE}" pid="12" name="ContentTypeId">
    <vt:lpwstr>0x010100062FD260C0EBCD4E91A53891CC8A485B</vt:lpwstr>
  </property>
  <property fmtid="{D5CDD505-2E9C-101B-9397-08002B2CF9AE}" pid="13" name="CustomUiType">
    <vt:lpwstr>2</vt:lpwstr>
  </property>
</Properties>
</file>