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verissimo\OneDrive - BRQ\TCC-PUC\"/>
    </mc:Choice>
  </mc:AlternateContent>
  <bookViews>
    <workbookView xWindow="0" yWindow="0" windowWidth="20490" windowHeight="7755" tabRatio="734" activeTab="1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4" l="1"/>
  <c r="K13" i="2"/>
  <c r="K41" i="2"/>
  <c r="L41" i="2"/>
  <c r="K42" i="2"/>
  <c r="L42" i="2"/>
  <c r="K43" i="2"/>
  <c r="L43" i="2"/>
  <c r="K40" i="2"/>
  <c r="L40" i="2"/>
  <c r="K37" i="2"/>
  <c r="L37" i="2"/>
  <c r="K38" i="2"/>
  <c r="L38" i="2"/>
  <c r="K39" i="2"/>
  <c r="L39" i="2"/>
  <c r="I43" i="2"/>
  <c r="G43" i="2" s="1"/>
  <c r="I39" i="2"/>
  <c r="F39" i="2" s="1"/>
  <c r="I38" i="2"/>
  <c r="F38" i="2" s="1"/>
  <c r="H38" i="2"/>
  <c r="I37" i="2"/>
  <c r="F37" i="2" s="1"/>
  <c r="I36" i="2"/>
  <c r="H36" i="2" s="1"/>
  <c r="K36" i="2" s="1"/>
  <c r="L36" i="2"/>
  <c r="I34" i="2"/>
  <c r="G34" i="2" s="1"/>
  <c r="L34" i="2"/>
  <c r="I35" i="2"/>
  <c r="H35" i="2" s="1"/>
  <c r="K35" i="2" s="1"/>
  <c r="L35" i="2"/>
  <c r="G35" i="2"/>
  <c r="I13" i="2"/>
  <c r="G13" i="2" s="1"/>
  <c r="I14" i="2"/>
  <c r="H14" i="2" s="1"/>
  <c r="K14" i="2" s="1"/>
  <c r="J14" i="2"/>
  <c r="L14" i="2"/>
  <c r="I15" i="2"/>
  <c r="G15" i="2" s="1"/>
  <c r="J15" i="2"/>
  <c r="L15" i="2"/>
  <c r="I9" i="2"/>
  <c r="H9" i="2" s="1"/>
  <c r="K9" i="2" s="1"/>
  <c r="J9" i="2"/>
  <c r="L9" i="2"/>
  <c r="I10" i="2"/>
  <c r="G10" i="2" s="1"/>
  <c r="J10" i="2"/>
  <c r="L10" i="2"/>
  <c r="I11" i="2"/>
  <c r="F11" i="2" s="1"/>
  <c r="J11" i="2"/>
  <c r="L11" i="2"/>
  <c r="I12" i="2"/>
  <c r="F12" i="2" s="1"/>
  <c r="J12" i="2"/>
  <c r="L12" i="2"/>
  <c r="I16" i="2"/>
  <c r="F16" i="2" s="1"/>
  <c r="J16" i="2"/>
  <c r="L16" i="2"/>
  <c r="I17" i="2"/>
  <c r="F17" i="2" s="1"/>
  <c r="J17" i="2"/>
  <c r="L17" i="2"/>
  <c r="L18" i="2"/>
  <c r="L32" i="2"/>
  <c r="L33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I23" i="2"/>
  <c r="F23" i="2" s="1"/>
  <c r="I21" i="2"/>
  <c r="G21" i="2" s="1"/>
  <c r="I22" i="2"/>
  <c r="F22" i="2" s="1"/>
  <c r="F43" i="2" l="1"/>
  <c r="H43" i="2"/>
  <c r="H39" i="2"/>
  <c r="G39" i="2"/>
  <c r="G38" i="2"/>
  <c r="H37" i="2"/>
  <c r="G37" i="2"/>
  <c r="G36" i="2"/>
  <c r="F36" i="2"/>
  <c r="F34" i="2"/>
  <c r="H34" i="2"/>
  <c r="K34" i="2" s="1"/>
  <c r="F35" i="2"/>
  <c r="F15" i="2"/>
  <c r="H15" i="2"/>
  <c r="K15" i="2" s="1"/>
  <c r="H13" i="2"/>
  <c r="F13" i="2"/>
  <c r="H16" i="2"/>
  <c r="K16" i="2" s="1"/>
  <c r="G16" i="2"/>
  <c r="G14" i="2"/>
  <c r="F14" i="2"/>
  <c r="H11" i="2"/>
  <c r="K11" i="2" s="1"/>
  <c r="G11" i="2"/>
  <c r="F10" i="2"/>
  <c r="H10" i="2"/>
  <c r="K10" i="2" s="1"/>
  <c r="G9" i="2"/>
  <c r="F9" i="2"/>
  <c r="G12" i="2"/>
  <c r="H12" i="2"/>
  <c r="K12" i="2" s="1"/>
  <c r="H17" i="2"/>
  <c r="K17" i="2" s="1"/>
  <c r="G17" i="2"/>
  <c r="H23" i="2"/>
  <c r="K23" i="2" s="1"/>
  <c r="F21" i="2"/>
  <c r="H21" i="2"/>
  <c r="K21" i="2" s="1"/>
  <c r="G22" i="2"/>
  <c r="H22" i="2"/>
  <c r="K22" i="2" s="1"/>
  <c r="I33" i="2"/>
  <c r="F33" i="2" s="1"/>
  <c r="I31" i="2"/>
  <c r="F31" i="2" s="1"/>
  <c r="I20" i="2"/>
  <c r="F20" i="2" s="1"/>
  <c r="H33" i="2" l="1"/>
  <c r="K33" i="2" s="1"/>
  <c r="G33" i="2"/>
  <c r="H31" i="2"/>
  <c r="K31" i="2" s="1"/>
  <c r="G31" i="2"/>
  <c r="H20" i="2"/>
  <c r="K20" i="2" s="1"/>
  <c r="G20" i="2"/>
  <c r="A5" i="4"/>
  <c r="A5" i="2" l="1"/>
  <c r="B6" i="2" l="1"/>
  <c r="B5" i="2"/>
  <c r="B4" i="2"/>
  <c r="H41" i="5"/>
  <c r="G41" i="5"/>
  <c r="F41" i="5"/>
  <c r="D41" i="5"/>
  <c r="E41" i="5"/>
  <c r="B41" i="5"/>
  <c r="H40" i="5"/>
  <c r="G40" i="5"/>
  <c r="F40" i="5"/>
  <c r="D40" i="5"/>
  <c r="E40" i="5"/>
  <c r="B40" i="5"/>
  <c r="H39" i="5"/>
  <c r="G39" i="5"/>
  <c r="F39" i="5"/>
  <c r="D39" i="5"/>
  <c r="E39" i="5"/>
  <c r="B39" i="5"/>
  <c r="H38" i="5"/>
  <c r="G38" i="5"/>
  <c r="F38" i="5"/>
  <c r="D38" i="5"/>
  <c r="E38" i="5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58" i="2"/>
  <c r="L59" i="2"/>
  <c r="L60" i="2"/>
  <c r="L61" i="2"/>
  <c r="L62" i="2"/>
  <c r="L63" i="2"/>
  <c r="L64" i="2"/>
  <c r="L65" i="2"/>
  <c r="L66" i="2"/>
  <c r="L67" i="2"/>
  <c r="L68" i="2"/>
  <c r="L71" i="2"/>
  <c r="L72" i="2"/>
  <c r="L75" i="2"/>
  <c r="L76" i="2"/>
  <c r="L80" i="2"/>
  <c r="L81" i="2"/>
  <c r="L84" i="2"/>
  <c r="L85" i="2"/>
  <c r="L86" i="2"/>
  <c r="L88" i="2"/>
  <c r="L89" i="2"/>
  <c r="L90" i="2"/>
  <c r="L91" i="2"/>
  <c r="L92" i="2"/>
  <c r="L93" i="2"/>
  <c r="L94" i="2"/>
  <c r="L95" i="2"/>
  <c r="L96" i="2"/>
  <c r="L97" i="2"/>
  <c r="L102" i="2"/>
  <c r="L103" i="2"/>
  <c r="L104" i="2"/>
  <c r="L107" i="2"/>
  <c r="L108" i="2"/>
  <c r="L109" i="2"/>
  <c r="L110" i="2"/>
  <c r="L111" i="2"/>
  <c r="L112" i="2"/>
  <c r="L113" i="2"/>
  <c r="L114" i="2"/>
  <c r="L119" i="2"/>
  <c r="L120" i="2"/>
  <c r="L125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/>
  <c r="B20" i="5"/>
  <c r="J14" i="3"/>
  <c r="K14" i="3" s="1"/>
  <c r="I20" i="5" s="1"/>
  <c r="H21" i="5"/>
  <c r="G21" i="5"/>
  <c r="F21" i="5"/>
  <c r="D21" i="5"/>
  <c r="E21" i="5"/>
  <c r="B21" i="5"/>
  <c r="H17" i="5"/>
  <c r="G17" i="5"/>
  <c r="F17" i="5"/>
  <c r="D17" i="5"/>
  <c r="E17" i="5" s="1"/>
  <c r="B17" i="5"/>
  <c r="J6" i="3"/>
  <c r="K6" i="3" s="1"/>
  <c r="J7" i="3"/>
  <c r="K7" i="3" s="1"/>
  <c r="I13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J22" i="3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0" i="3"/>
  <c r="K30" i="3" s="1"/>
  <c r="I36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K42" i="3"/>
  <c r="L42" i="3"/>
  <c r="J43" i="3"/>
  <c r="E48" i="5" s="1"/>
  <c r="I48" i="5" s="1"/>
  <c r="K43" i="3"/>
  <c r="L43" i="3"/>
  <c r="J44" i="3"/>
  <c r="E49" i="5" s="1"/>
  <c r="I49" i="5" s="1"/>
  <c r="L44" i="3"/>
  <c r="J45" i="3"/>
  <c r="E50" i="5" s="1"/>
  <c r="L45" i="3"/>
  <c r="J46" i="3"/>
  <c r="E51" i="5" s="1"/>
  <c r="L46" i="3"/>
  <c r="J47" i="3"/>
  <c r="E52" i="5" s="1"/>
  <c r="L47" i="3"/>
  <c r="J48" i="3"/>
  <c r="E53" i="5" s="1"/>
  <c r="L48" i="3"/>
  <c r="J49" i="3"/>
  <c r="E54" i="5" s="1"/>
  <c r="L49" i="3"/>
  <c r="J50" i="3"/>
  <c r="E55" i="5" s="1"/>
  <c r="L50" i="3"/>
  <c r="J51" i="3"/>
  <c r="E56" i="5" s="1"/>
  <c r="L51" i="3"/>
  <c r="J52" i="3"/>
  <c r="E57" i="5" s="1"/>
  <c r="L52" i="3"/>
  <c r="J53" i="3"/>
  <c r="E58" i="5" s="1"/>
  <c r="L53" i="3"/>
  <c r="J54" i="3"/>
  <c r="E59" i="5" s="1"/>
  <c r="L54" i="3"/>
  <c r="J55" i="3"/>
  <c r="E60" i="5" s="1"/>
  <c r="L55" i="3"/>
  <c r="J56" i="3"/>
  <c r="E61" i="5" s="1"/>
  <c r="L56" i="3"/>
  <c r="J57" i="3"/>
  <c r="E62" i="5" s="1"/>
  <c r="L57" i="3"/>
  <c r="J58" i="3"/>
  <c r="E63" i="5" s="1"/>
  <c r="L58" i="3"/>
  <c r="J59" i="3"/>
  <c r="E64" i="5" s="1"/>
  <c r="L59" i="3"/>
  <c r="J60" i="3"/>
  <c r="E65" i="5" s="1"/>
  <c r="L60" i="3"/>
  <c r="J61" i="3"/>
  <c r="E66" i="5" s="1"/>
  <c r="L61" i="3"/>
  <c r="J62" i="3"/>
  <c r="E67" i="5" s="1"/>
  <c r="L62" i="3"/>
  <c r="J63" i="3"/>
  <c r="E68" i="5" s="1"/>
  <c r="L63" i="3"/>
  <c r="J64" i="3"/>
  <c r="E69" i="5" s="1"/>
  <c r="L64" i="3"/>
  <c r="A4" i="2"/>
  <c r="A6" i="2"/>
  <c r="I8" i="2"/>
  <c r="F8" i="2" s="1"/>
  <c r="J8" i="2"/>
  <c r="I18" i="2"/>
  <c r="H18" i="2" s="1"/>
  <c r="K18" i="2" s="1"/>
  <c r="J18" i="2"/>
  <c r="I19" i="2"/>
  <c r="F19" i="2" s="1"/>
  <c r="J19" i="2"/>
  <c r="I24" i="2"/>
  <c r="F24" i="2" s="1"/>
  <c r="J24" i="2"/>
  <c r="I25" i="2"/>
  <c r="G25" i="2" s="1"/>
  <c r="J25" i="2"/>
  <c r="I26" i="2"/>
  <c r="G26" i="2" s="1"/>
  <c r="J26" i="2"/>
  <c r="I27" i="2"/>
  <c r="F27" i="2" s="1"/>
  <c r="J27" i="2"/>
  <c r="I28" i="2"/>
  <c r="G28" i="2" s="1"/>
  <c r="J28" i="2"/>
  <c r="I29" i="2"/>
  <c r="G29" i="2" s="1"/>
  <c r="J29" i="2"/>
  <c r="I30" i="2"/>
  <c r="F30" i="2" s="1"/>
  <c r="J30" i="2"/>
  <c r="I32" i="2"/>
  <c r="G32" i="2" s="1"/>
  <c r="J32" i="2"/>
  <c r="I40" i="2"/>
  <c r="G40" i="2" s="1"/>
  <c r="J40" i="2"/>
  <c r="I41" i="2"/>
  <c r="G41" i="2" s="1"/>
  <c r="J41" i="2"/>
  <c r="I42" i="2"/>
  <c r="F42" i="2" s="1"/>
  <c r="J42" i="2"/>
  <c r="F58" i="2"/>
  <c r="H58" i="2"/>
  <c r="I58" i="2"/>
  <c r="G58" i="2" s="1"/>
  <c r="J58" i="2"/>
  <c r="F59" i="2"/>
  <c r="H59" i="2"/>
  <c r="I59" i="2"/>
  <c r="G59" i="2" s="1"/>
  <c r="J59" i="2"/>
  <c r="F60" i="2"/>
  <c r="H60" i="2"/>
  <c r="I60" i="2"/>
  <c r="G60" i="2" s="1"/>
  <c r="J60" i="2"/>
  <c r="F61" i="2"/>
  <c r="H61" i="2"/>
  <c r="I61" i="2"/>
  <c r="G61" i="2" s="1"/>
  <c r="J61" i="2"/>
  <c r="F62" i="2"/>
  <c r="H62" i="2"/>
  <c r="I62" i="2"/>
  <c r="G62" i="2" s="1"/>
  <c r="J62" i="2"/>
  <c r="F63" i="2"/>
  <c r="H63" i="2"/>
  <c r="I63" i="2"/>
  <c r="G63" i="2" s="1"/>
  <c r="J63" i="2"/>
  <c r="F64" i="2"/>
  <c r="H64" i="2"/>
  <c r="I64" i="2"/>
  <c r="G64" i="2" s="1"/>
  <c r="J64" i="2"/>
  <c r="F65" i="2"/>
  <c r="H65" i="2"/>
  <c r="I65" i="2"/>
  <c r="G65" i="2" s="1"/>
  <c r="J65" i="2"/>
  <c r="F66" i="2"/>
  <c r="H66" i="2"/>
  <c r="I66" i="2"/>
  <c r="G66" i="2" s="1"/>
  <c r="J66" i="2"/>
  <c r="F67" i="2"/>
  <c r="H67" i="2"/>
  <c r="I67" i="2"/>
  <c r="G67" i="2" s="1"/>
  <c r="J67" i="2"/>
  <c r="F68" i="2"/>
  <c r="H68" i="2"/>
  <c r="I68" i="2"/>
  <c r="G68" i="2" s="1"/>
  <c r="J68" i="2"/>
  <c r="I69" i="2"/>
  <c r="G69" i="2" s="1"/>
  <c r="F69" i="2"/>
  <c r="J69" i="2"/>
  <c r="H70" i="2"/>
  <c r="I70" i="2"/>
  <c r="G70" i="2" s="1"/>
  <c r="J70" i="2"/>
  <c r="F71" i="2"/>
  <c r="H71" i="2"/>
  <c r="I71" i="2"/>
  <c r="G71" i="2" s="1"/>
  <c r="J71" i="2"/>
  <c r="F72" i="2"/>
  <c r="H72" i="2"/>
  <c r="I72" i="2"/>
  <c r="G72" i="2" s="1"/>
  <c r="J72" i="2"/>
  <c r="F73" i="2"/>
  <c r="H73" i="2"/>
  <c r="I73" i="2"/>
  <c r="G73" i="2" s="1"/>
  <c r="J73" i="2"/>
  <c r="F74" i="2"/>
  <c r="H74" i="2"/>
  <c r="I74" i="2"/>
  <c r="G74" i="2" s="1"/>
  <c r="J74" i="2"/>
  <c r="F75" i="2"/>
  <c r="H75" i="2"/>
  <c r="I75" i="2"/>
  <c r="G75" i="2" s="1"/>
  <c r="J75" i="2"/>
  <c r="F76" i="2"/>
  <c r="H76" i="2"/>
  <c r="I76" i="2"/>
  <c r="G76" i="2" s="1"/>
  <c r="J76" i="2"/>
  <c r="H77" i="2"/>
  <c r="L77" i="2"/>
  <c r="I77" i="2"/>
  <c r="G77" i="2" s="1"/>
  <c r="F77" i="2"/>
  <c r="J77" i="2"/>
  <c r="I78" i="2"/>
  <c r="G78" i="2" s="1"/>
  <c r="F78" i="2"/>
  <c r="J78" i="2"/>
  <c r="I79" i="2"/>
  <c r="G79" i="2" s="1"/>
  <c r="J79" i="2"/>
  <c r="F80" i="2"/>
  <c r="H80" i="2"/>
  <c r="I80" i="2"/>
  <c r="G80" i="2" s="1"/>
  <c r="J80" i="2"/>
  <c r="F81" i="2"/>
  <c r="H81" i="2"/>
  <c r="I81" i="2"/>
  <c r="G81" i="2" s="1"/>
  <c r="J81" i="2"/>
  <c r="I82" i="2"/>
  <c r="G82" i="2" s="1"/>
  <c r="J82" i="2"/>
  <c r="H83" i="2"/>
  <c r="I83" i="2"/>
  <c r="G83" i="2" s="1"/>
  <c r="J83" i="2"/>
  <c r="F84" i="2"/>
  <c r="H84" i="2"/>
  <c r="I84" i="2"/>
  <c r="G84" i="2" s="1"/>
  <c r="J84" i="2"/>
  <c r="F85" i="2"/>
  <c r="H85" i="2"/>
  <c r="I85" i="2"/>
  <c r="G85" i="2" s="1"/>
  <c r="J85" i="2"/>
  <c r="F86" i="2"/>
  <c r="H86" i="2"/>
  <c r="I86" i="2"/>
  <c r="G86" i="2" s="1"/>
  <c r="J86" i="2"/>
  <c r="I87" i="2"/>
  <c r="G87" i="2" s="1"/>
  <c r="F87" i="2"/>
  <c r="J87" i="2"/>
  <c r="F88" i="2"/>
  <c r="H88" i="2"/>
  <c r="I88" i="2"/>
  <c r="G88" i="2" s="1"/>
  <c r="J88" i="2"/>
  <c r="F89" i="2"/>
  <c r="H89" i="2"/>
  <c r="I89" i="2"/>
  <c r="G89" i="2" s="1"/>
  <c r="J89" i="2"/>
  <c r="H90" i="2"/>
  <c r="I90" i="2"/>
  <c r="G90" i="2" s="1"/>
  <c r="J90" i="2"/>
  <c r="H91" i="2"/>
  <c r="I91" i="2"/>
  <c r="G91" i="2" s="1"/>
  <c r="F91" i="2"/>
  <c r="J91" i="2"/>
  <c r="F92" i="2"/>
  <c r="H92" i="2"/>
  <c r="I92" i="2"/>
  <c r="G92" i="2" s="1"/>
  <c r="J92" i="2"/>
  <c r="F93" i="2"/>
  <c r="H93" i="2"/>
  <c r="I93" i="2"/>
  <c r="G93" i="2" s="1"/>
  <c r="J93" i="2"/>
  <c r="F94" i="2"/>
  <c r="H94" i="2"/>
  <c r="I94" i="2"/>
  <c r="G94" i="2" s="1"/>
  <c r="J94" i="2"/>
  <c r="F95" i="2"/>
  <c r="H95" i="2"/>
  <c r="I95" i="2"/>
  <c r="G95" i="2" s="1"/>
  <c r="J95" i="2"/>
  <c r="F96" i="2"/>
  <c r="H96" i="2"/>
  <c r="I96" i="2"/>
  <c r="G96" i="2" s="1"/>
  <c r="J96" i="2"/>
  <c r="F97" i="2"/>
  <c r="H97" i="2"/>
  <c r="I97" i="2"/>
  <c r="G97" i="2" s="1"/>
  <c r="J97" i="2"/>
  <c r="H98" i="2"/>
  <c r="I98" i="2"/>
  <c r="G98" i="2" s="1"/>
  <c r="J98" i="2"/>
  <c r="I99" i="2"/>
  <c r="G99" i="2" s="1"/>
  <c r="F99" i="2"/>
  <c r="J99" i="2"/>
  <c r="I100" i="2"/>
  <c r="G100" i="2" s="1"/>
  <c r="J100" i="2"/>
  <c r="I101" i="2"/>
  <c r="G101" i="2" s="1"/>
  <c r="J101" i="2"/>
  <c r="F102" i="2"/>
  <c r="H102" i="2"/>
  <c r="I102" i="2"/>
  <c r="G102" i="2" s="1"/>
  <c r="J102" i="2"/>
  <c r="F103" i="2"/>
  <c r="H103" i="2"/>
  <c r="I103" i="2"/>
  <c r="G103" i="2" s="1"/>
  <c r="J103" i="2"/>
  <c r="F104" i="2"/>
  <c r="H104" i="2"/>
  <c r="I104" i="2"/>
  <c r="G104" i="2" s="1"/>
  <c r="J104" i="2"/>
  <c r="I105" i="2"/>
  <c r="G105" i="2" s="1"/>
  <c r="F105" i="2"/>
  <c r="J105" i="2"/>
  <c r="I106" i="2"/>
  <c r="G106" i="2" s="1"/>
  <c r="H106" i="2"/>
  <c r="L106" i="2"/>
  <c r="J106" i="2"/>
  <c r="F107" i="2"/>
  <c r="H107" i="2"/>
  <c r="I107" i="2"/>
  <c r="G107" i="2" s="1"/>
  <c r="J107" i="2"/>
  <c r="F108" i="2"/>
  <c r="H108" i="2"/>
  <c r="I108" i="2"/>
  <c r="G108" i="2" s="1"/>
  <c r="J108" i="2"/>
  <c r="H109" i="2"/>
  <c r="I109" i="2"/>
  <c r="G109" i="2" s="1"/>
  <c r="F109" i="2"/>
  <c r="J109" i="2"/>
  <c r="F110" i="2"/>
  <c r="H110" i="2"/>
  <c r="I110" i="2"/>
  <c r="G110" i="2" s="1"/>
  <c r="J110" i="2"/>
  <c r="H111" i="2"/>
  <c r="I111" i="2"/>
  <c r="G111" i="2" s="1"/>
  <c r="F111" i="2"/>
  <c r="J111" i="2"/>
  <c r="F112" i="2"/>
  <c r="H112" i="2"/>
  <c r="I112" i="2"/>
  <c r="G112" i="2" s="1"/>
  <c r="J112" i="2"/>
  <c r="F113" i="2"/>
  <c r="H113" i="2"/>
  <c r="I113" i="2"/>
  <c r="G113" i="2" s="1"/>
  <c r="J113" i="2"/>
  <c r="F114" i="2"/>
  <c r="H114" i="2"/>
  <c r="I114" i="2"/>
  <c r="G114" i="2" s="1"/>
  <c r="J114" i="2"/>
  <c r="I115" i="2"/>
  <c r="G115" i="2" s="1"/>
  <c r="J115" i="2"/>
  <c r="I116" i="2"/>
  <c r="G116" i="2" s="1"/>
  <c r="H116" i="2"/>
  <c r="L116" i="2"/>
  <c r="J116" i="2"/>
  <c r="F117" i="2"/>
  <c r="H117" i="2"/>
  <c r="L117" i="2"/>
  <c r="I117" i="2"/>
  <c r="G117" i="2" s="1"/>
  <c r="J117" i="2"/>
  <c r="I118" i="2"/>
  <c r="G118" i="2" s="1"/>
  <c r="H118" i="2"/>
  <c r="L118" i="2"/>
  <c r="J118" i="2"/>
  <c r="F119" i="2"/>
  <c r="H119" i="2"/>
  <c r="I119" i="2"/>
  <c r="G119" i="2" s="1"/>
  <c r="J119" i="2"/>
  <c r="F120" i="2"/>
  <c r="H120" i="2"/>
  <c r="I120" i="2"/>
  <c r="G120" i="2" s="1"/>
  <c r="J120" i="2"/>
  <c r="I121" i="2"/>
  <c r="G121" i="2" s="1"/>
  <c r="J121" i="2"/>
  <c r="I122" i="2"/>
  <c r="G122" i="2" s="1"/>
  <c r="F122" i="2"/>
  <c r="J122" i="2"/>
  <c r="I123" i="2"/>
  <c r="G123" i="2" s="1"/>
  <c r="H123" i="2"/>
  <c r="J123" i="2"/>
  <c r="I124" i="2"/>
  <c r="G124" i="2" s="1"/>
  <c r="J124" i="2"/>
  <c r="F125" i="2"/>
  <c r="H125" i="2"/>
  <c r="I125" i="2"/>
  <c r="G125" i="2" s="1"/>
  <c r="J125" i="2"/>
  <c r="A4" i="4"/>
  <c r="F4" i="4"/>
  <c r="F5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G11" i="5"/>
  <c r="H11" i="5"/>
  <c r="B12" i="5"/>
  <c r="D12" i="5"/>
  <c r="E12" i="5"/>
  <c r="F12" i="5"/>
  <c r="G12" i="5"/>
  <c r="H12" i="5"/>
  <c r="B13" i="5"/>
  <c r="D13" i="5"/>
  <c r="E13" i="5"/>
  <c r="F13" i="5"/>
  <c r="G13" i="5"/>
  <c r="H13" i="5"/>
  <c r="B14" i="5"/>
  <c r="D14" i="5"/>
  <c r="E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F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F36" i="5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 s="1"/>
  <c r="J50" i="5" s="1"/>
  <c r="B51" i="5"/>
  <c r="D51" i="5"/>
  <c r="H51" i="5"/>
  <c r="I51" i="5"/>
  <c r="J51" i="5" s="1"/>
  <c r="B52" i="5"/>
  <c r="D52" i="5"/>
  <c r="H52" i="5"/>
  <c r="I52" i="5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/>
  <c r="J55" i="5" s="1"/>
  <c r="B56" i="5"/>
  <c r="D56" i="5"/>
  <c r="H56" i="5"/>
  <c r="I56" i="5"/>
  <c r="J56" i="5" s="1"/>
  <c r="B57" i="5"/>
  <c r="D57" i="5"/>
  <c r="H57" i="5"/>
  <c r="I57" i="5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/>
  <c r="J60" i="5" s="1"/>
  <c r="B61" i="5"/>
  <c r="D61" i="5"/>
  <c r="H61" i="5"/>
  <c r="I61" i="5"/>
  <c r="J61" i="5" s="1"/>
  <c r="B62" i="5"/>
  <c r="D62" i="5"/>
  <c r="H62" i="5"/>
  <c r="I62" i="5" s="1"/>
  <c r="J62" i="5" s="1"/>
  <c r="B63" i="5"/>
  <c r="D63" i="5"/>
  <c r="H63" i="5"/>
  <c r="I63" i="5"/>
  <c r="J63" i="5" s="1"/>
  <c r="B64" i="5"/>
  <c r="D64" i="5"/>
  <c r="H64" i="5"/>
  <c r="I64" i="5"/>
  <c r="J64" i="5" s="1"/>
  <c r="B65" i="5"/>
  <c r="D65" i="5"/>
  <c r="H65" i="5"/>
  <c r="I65" i="5"/>
  <c r="J65" i="5" s="1"/>
  <c r="B66" i="5"/>
  <c r="D66" i="5"/>
  <c r="H66" i="5"/>
  <c r="I66" i="5" s="1"/>
  <c r="J66" i="5" s="1"/>
  <c r="B67" i="5"/>
  <c r="D67" i="5"/>
  <c r="H67" i="5"/>
  <c r="I67" i="5"/>
  <c r="J67" i="5" s="1"/>
  <c r="B68" i="5"/>
  <c r="D68" i="5"/>
  <c r="H68" i="5"/>
  <c r="I68" i="5"/>
  <c r="J68" i="5" s="1"/>
  <c r="B69" i="5"/>
  <c r="D69" i="5"/>
  <c r="H69" i="5"/>
  <c r="I69" i="5"/>
  <c r="J69" i="5" s="1"/>
  <c r="F11" i="5"/>
  <c r="J5" i="3"/>
  <c r="K5" i="3" s="1"/>
  <c r="F106" i="2"/>
  <c r="F83" i="2"/>
  <c r="H122" i="2"/>
  <c r="H121" i="2"/>
  <c r="F118" i="2"/>
  <c r="H115" i="2"/>
  <c r="H105" i="2"/>
  <c r="H78" i="2"/>
  <c r="F121" i="2"/>
  <c r="F115" i="2"/>
  <c r="F100" i="2"/>
  <c r="L73" i="2"/>
  <c r="H101" i="2"/>
  <c r="H100" i="2"/>
  <c r="H82" i="2"/>
  <c r="H79" i="2"/>
  <c r="L115" i="2"/>
  <c r="F124" i="2"/>
  <c r="L74" i="2"/>
  <c r="L70" i="2"/>
  <c r="H124" i="2"/>
  <c r="F123" i="2"/>
  <c r="L122" i="2"/>
  <c r="L121" i="2"/>
  <c r="F101" i="2"/>
  <c r="F98" i="2"/>
  <c r="L83" i="2"/>
  <c r="F82" i="2"/>
  <c r="F79" i="2"/>
  <c r="H69" i="2"/>
  <c r="L8" i="2"/>
  <c r="L123" i="2"/>
  <c r="F116" i="2"/>
  <c r="H99" i="2"/>
  <c r="L98" i="2"/>
  <c r="F90" i="2"/>
  <c r="H87" i="2"/>
  <c r="F70" i="2"/>
  <c r="L105" i="2"/>
  <c r="K44" i="3"/>
  <c r="L78" i="2"/>
  <c r="L87" i="2"/>
  <c r="L69" i="2"/>
  <c r="L82" i="2"/>
  <c r="L79" i="2"/>
  <c r="L100" i="2"/>
  <c r="L101" i="2"/>
  <c r="L99" i="2"/>
  <c r="L124" i="2"/>
  <c r="F10" i="5"/>
  <c r="J4" i="3"/>
  <c r="K4" i="3" s="1"/>
  <c r="F14" i="5"/>
  <c r="J8" i="3"/>
  <c r="K8" i="3" s="1"/>
  <c r="I14" i="5" s="1"/>
  <c r="K102" i="2" l="1"/>
  <c r="K76" i="2"/>
  <c r="K85" i="2"/>
  <c r="K71" i="2"/>
  <c r="K89" i="2"/>
  <c r="K59" i="2"/>
  <c r="K84" i="2"/>
  <c r="G24" i="2"/>
  <c r="K107" i="2"/>
  <c r="K67" i="2"/>
  <c r="K63" i="2"/>
  <c r="K119" i="2"/>
  <c r="K111" i="2"/>
  <c r="K97" i="2"/>
  <c r="K93" i="2"/>
  <c r="K75" i="2"/>
  <c r="G30" i="2"/>
  <c r="F28" i="2"/>
  <c r="H26" i="2"/>
  <c r="K26" i="2" s="1"/>
  <c r="H24" i="2"/>
  <c r="K24" i="2" s="1"/>
  <c r="I12" i="5"/>
  <c r="K96" i="2"/>
  <c r="F29" i="2"/>
  <c r="K77" i="2"/>
  <c r="K113" i="2"/>
  <c r="K98" i="2"/>
  <c r="K101" i="2"/>
  <c r="K125" i="2"/>
  <c r="K72" i="2"/>
  <c r="H19" i="2"/>
  <c r="K19" i="2" s="1"/>
  <c r="F40" i="2"/>
  <c r="K94" i="2"/>
  <c r="K60" i="2"/>
  <c r="H42" i="2"/>
  <c r="H29" i="2"/>
  <c r="K29" i="2" s="1"/>
  <c r="K83" i="2"/>
  <c r="K106" i="2"/>
  <c r="I47" i="5"/>
  <c r="K109" i="2"/>
  <c r="K103" i="2"/>
  <c r="K86" i="2"/>
  <c r="K95" i="2"/>
  <c r="K80" i="2"/>
  <c r="K91" i="2"/>
  <c r="K65" i="2"/>
  <c r="K61" i="2"/>
  <c r="F26" i="2"/>
  <c r="K70" i="2"/>
  <c r="K104" i="2"/>
  <c r="K66" i="2"/>
  <c r="K62" i="2"/>
  <c r="K114" i="2"/>
  <c r="F32" i="2"/>
  <c r="H28" i="2"/>
  <c r="K28" i="2" s="1"/>
  <c r="H32" i="2"/>
  <c r="K32" i="2" s="1"/>
  <c r="H30" i="2"/>
  <c r="K30" i="2" s="1"/>
  <c r="F41" i="2"/>
  <c r="K88" i="2"/>
  <c r="K110" i="2"/>
  <c r="K117" i="2"/>
  <c r="K116" i="2"/>
  <c r="G42" i="2"/>
  <c r="F25" i="2"/>
  <c r="H40" i="2"/>
  <c r="G27" i="2"/>
  <c r="I10" i="5"/>
  <c r="G8" i="2"/>
  <c r="H8" i="2"/>
  <c r="K8" i="2" s="1"/>
  <c r="K92" i="2"/>
  <c r="K81" i="2"/>
  <c r="K58" i="2"/>
  <c r="H25" i="2"/>
  <c r="K25" i="2" s="1"/>
  <c r="H27" i="2"/>
  <c r="K27" i="2" s="1"/>
  <c r="K79" i="2"/>
  <c r="K74" i="2"/>
  <c r="K73" i="2"/>
  <c r="K78" i="2"/>
  <c r="K87" i="2"/>
  <c r="G18" i="2"/>
  <c r="F18" i="2"/>
  <c r="K121" i="2"/>
  <c r="K82" i="2"/>
  <c r="K118" i="2"/>
  <c r="K99" i="2"/>
  <c r="K69" i="2"/>
  <c r="K115" i="2"/>
  <c r="K123" i="2"/>
  <c r="K25" i="4"/>
  <c r="I11" i="5"/>
  <c r="H41" i="2"/>
  <c r="L6" i="2"/>
  <c r="Q6" i="1" s="1"/>
  <c r="L11" i="5" s="1"/>
  <c r="J36" i="5" s="1"/>
  <c r="K124" i="2"/>
  <c r="K100" i="2"/>
  <c r="K10" i="4"/>
  <c r="K12" i="4"/>
  <c r="K112" i="2"/>
  <c r="K108" i="2"/>
  <c r="G19" i="2"/>
  <c r="K120" i="2"/>
  <c r="K90" i="2"/>
  <c r="K68" i="2"/>
  <c r="K64" i="2"/>
  <c r="K26" i="4"/>
  <c r="K24" i="4"/>
  <c r="K18" i="4"/>
  <c r="K40" i="4"/>
  <c r="K39" i="4"/>
  <c r="K38" i="4"/>
  <c r="K11" i="4"/>
  <c r="K17" i="4"/>
  <c r="K32" i="4"/>
  <c r="K31" i="4"/>
  <c r="K19" i="4"/>
  <c r="K33" i="4"/>
  <c r="K105" i="2"/>
  <c r="K122" i="2"/>
  <c r="K45" i="3" l="1"/>
  <c r="K49" i="3"/>
  <c r="K53" i="3"/>
  <c r="K57" i="3"/>
  <c r="K61" i="3"/>
  <c r="K50" i="3"/>
  <c r="K48" i="3"/>
  <c r="K52" i="3"/>
  <c r="K56" i="3"/>
  <c r="K60" i="3"/>
  <c r="K64" i="3"/>
  <c r="K58" i="3"/>
  <c r="K62" i="3"/>
  <c r="K47" i="3"/>
  <c r="K51" i="3"/>
  <c r="K55" i="3"/>
  <c r="K59" i="3"/>
  <c r="K63" i="3"/>
  <c r="K46" i="3"/>
  <c r="K54" i="3"/>
  <c r="L35" i="4"/>
  <c r="J11" i="5"/>
  <c r="C26" i="4"/>
  <c r="G26" i="4" s="1"/>
  <c r="J41" i="5"/>
  <c r="L14" i="4"/>
  <c r="J27" i="5"/>
  <c r="J14" i="5"/>
  <c r="J39" i="5"/>
  <c r="J20" i="5"/>
  <c r="J34" i="5"/>
  <c r="J35" i="5"/>
  <c r="K14" i="4"/>
  <c r="J19" i="5"/>
  <c r="J47" i="5"/>
  <c r="J38" i="5"/>
  <c r="J23" i="5"/>
  <c r="J24" i="5"/>
  <c r="J10" i="5"/>
  <c r="J26" i="5"/>
  <c r="L42" i="4"/>
  <c r="J43" i="5"/>
  <c r="J25" i="5"/>
  <c r="J32" i="5"/>
  <c r="J12" i="5"/>
  <c r="J15" i="5"/>
  <c r="J17" i="5"/>
  <c r="J16" i="5"/>
  <c r="J31" i="5"/>
  <c r="J37" i="5"/>
  <c r="L21" i="4"/>
  <c r="J28" i="5"/>
  <c r="J33" i="5"/>
  <c r="J21" i="5"/>
  <c r="J13" i="5"/>
  <c r="L5" i="2"/>
  <c r="Q5" i="1" s="1"/>
  <c r="L4" i="2"/>
  <c r="Q4" i="1" s="1"/>
  <c r="L14" i="5" s="1"/>
  <c r="J49" i="5"/>
  <c r="K28" i="4"/>
  <c r="J40" i="5"/>
  <c r="J48" i="5"/>
  <c r="J29" i="5"/>
  <c r="J18" i="5"/>
  <c r="J22" i="5"/>
  <c r="J30" i="5"/>
  <c r="L28" i="4"/>
  <c r="J42" i="5"/>
  <c r="J44" i="5"/>
  <c r="C32" i="4"/>
  <c r="G32" i="4" s="1"/>
  <c r="C33" i="4"/>
  <c r="G33" i="4" s="1"/>
  <c r="C18" i="4"/>
  <c r="G18" i="4" s="1"/>
  <c r="C25" i="4"/>
  <c r="G25" i="4" s="1"/>
  <c r="C19" i="4"/>
  <c r="G19" i="4" s="1"/>
  <c r="C10" i="4"/>
  <c r="C24" i="4"/>
  <c r="C12" i="4"/>
  <c r="G12" i="4" s="1"/>
  <c r="C40" i="4"/>
  <c r="G40" i="4" s="1"/>
  <c r="C31" i="4"/>
  <c r="K35" i="4"/>
  <c r="K42" i="4"/>
  <c r="C17" i="4"/>
  <c r="C11" i="4"/>
  <c r="G11" i="4" s="1"/>
  <c r="C39" i="4"/>
  <c r="G39" i="4" s="1"/>
  <c r="C38" i="4"/>
  <c r="K21" i="4"/>
  <c r="G38" i="4" l="1"/>
  <c r="G42" i="4" s="1"/>
  <c r="C42" i="4"/>
  <c r="G24" i="4"/>
  <c r="G28" i="4" s="1"/>
  <c r="C28" i="4"/>
  <c r="G47" i="4"/>
  <c r="C35" i="4"/>
  <c r="G31" i="4"/>
  <c r="G35" i="4" s="1"/>
  <c r="C14" i="4"/>
  <c r="G46" i="4"/>
  <c r="G10" i="4"/>
  <c r="G14" i="4" s="1"/>
  <c r="C21" i="4"/>
  <c r="G17" i="4"/>
  <c r="G21" i="4" s="1"/>
  <c r="G45" i="4" l="1"/>
  <c r="H28" i="4" l="1"/>
  <c r="H35" i="4"/>
  <c r="H14" i="4"/>
  <c r="H42" i="4"/>
  <c r="H21" i="4"/>
</calcChain>
</file>

<file path=xl/comments1.xml><?xml version="1.0" encoding="utf-8"?>
<comments xmlns="http://schemas.openxmlformats.org/spreadsheetml/2006/main">
  <authors>
    <author/>
  </authors>
  <commentList>
    <comment ref="Q4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4" authorId="0" shapeId="0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6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9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<sst xmlns="http://schemas.openxmlformats.org/spreadsheetml/2006/main" count="345" uniqueCount="216">
  <si>
    <t>Identificação da Contagem</t>
  </si>
  <si>
    <t>Empresa</t>
  </si>
  <si>
    <t>PF IFPUG</t>
  </si>
  <si>
    <t>Aplicação</t>
  </si>
  <si>
    <t>Academia</t>
  </si>
  <si>
    <t>PF Local do EM</t>
  </si>
  <si>
    <t>Tipo de Contagem</t>
  </si>
  <si>
    <t>Projeto de Desenvolvimento</t>
  </si>
  <si>
    <t>PF Local da FS</t>
  </si>
  <si>
    <t>Nível de Detalhe</t>
  </si>
  <si>
    <t>Estimativa (NESMA)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</si>
  <si>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</si>
  <si>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</si>
  <si>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</si>
  <si>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</si>
  <si>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</si>
  <si>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</si>
  <si>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</si>
  <si>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</si>
  <si>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Realizar contagem de desenvolvimento</t>
  </si>
  <si>
    <t>Escopo da Contagem</t>
  </si>
  <si>
    <t>Funcionalidade descrita na especificação do desenvolvimento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</si>
  <si>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</si>
  <si>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</si>
  <si>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</si>
  <si>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</si>
  <si>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</si>
  <si>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</si>
  <si>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</si>
  <si>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</si>
  <si>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</si>
  <si>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</si>
  <si>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</si>
  <si>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</si>
  <si>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</si>
  <si>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ALI</t>
  </si>
  <si>
    <t>SE</t>
  </si>
  <si>
    <t>CE</t>
  </si>
  <si>
    <t>EE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</si>
  <si>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</si>
  <si>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</si>
  <si>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</si>
  <si>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</si>
  <si>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</si>
  <si>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</si>
  <si>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</si>
  <si>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</si>
  <si>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</si>
  <si>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</si>
  <si>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</si>
  <si>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</si>
  <si>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</si>
  <si>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</si>
  <si>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</si>
  <si>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</si>
  <si>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</si>
  <si>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</si>
  <si>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</si>
  <si>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E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</si>
  <si>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</si>
  <si>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</si>
  <si>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</si>
  <si>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</si>
  <si>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</si>
  <si>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</si>
  <si>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</si>
  <si>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</si>
  <si>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</si>
  <si>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</si>
  <si>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</si>
  <si>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</si>
  <si>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</si>
  <si>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</si>
  <si>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</si>
  <si>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</si>
  <si>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</si>
  <si>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</si>
  <si>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</si>
  <si>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</si>
  <si>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</si>
  <si>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</si>
  <si>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</si>
  <si>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</si>
  <si>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</si>
  <si>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</si>
  <si>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</si>
  <si>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</si>
  <si>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</si>
  <si>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</si>
  <si>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</si>
  <si>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</si>
  <si>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</si>
  <si>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</si>
  <si>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</si>
  <si>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</si>
  <si>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</si>
  <si>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</si>
  <si>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</si>
  <si>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</si>
  <si>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</si>
  <si>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</si>
  <si>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</si>
  <si>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</si>
  <si>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</si>
  <si>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</si>
  <si>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</si>
  <si>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</si>
  <si>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</si>
  <si>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</si>
  <si>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</si>
  <si>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</si>
  <si>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</si>
  <si>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</si>
  <si>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</si>
  <si>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</si>
  <si>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</si>
  <si>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</si>
  <si>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</si>
  <si>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</si>
  <si>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</si>
  <si>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</si>
  <si>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</si>
  <si>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</si>
  <si>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</si>
  <si>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</si>
  <si>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</si>
  <si>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</si>
  <si>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</si>
  <si>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</si>
  <si>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</si>
  <si>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</si>
  <si>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</si>
  <si>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</si>
  <si>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</si>
  <si>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</si>
  <si>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</si>
  <si>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</si>
  <si>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AIE</t>
  </si>
  <si>
    <t>Quantidade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</si>
  <si>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</si>
  <si>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</si>
  <si>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</si>
  <si>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</si>
  <si>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</si>
  <si>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</si>
  <si>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</si>
  <si>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</si>
  <si>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</si>
  <si>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</si>
  <si>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</si>
  <si>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</si>
  <si>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</si>
  <si>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</si>
  <si>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</si>
  <si>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</si>
  <si>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</si>
  <si>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</si>
  <si>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</si>
  <si>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</si>
  <si>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</si>
  <si>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</si>
  <si>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</si>
  <si>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</si>
  <si>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</si>
  <si>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</si>
  <si>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</si>
  <si>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</si>
  <si>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</si>
  <si>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</si>
  <si>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</si>
  <si>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</si>
  <si>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</si>
  <si>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</si>
  <si>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</si>
  <si>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Planilha de contagem de ponto de função</t>
  </si>
  <si>
    <t>Francisco José Borges Verissimo Junior</t>
  </si>
  <si>
    <t>Java</t>
  </si>
  <si>
    <t>PUC Minas - TCC Engenharia de Software</t>
  </si>
  <si>
    <t>SIGA - Sistema de gerenciamento de uma academia</t>
  </si>
  <si>
    <t>Usuário - INCLUIR</t>
  </si>
  <si>
    <t>Usuário - EXCLUIR</t>
  </si>
  <si>
    <t>Usuário - EDITAR</t>
  </si>
  <si>
    <t>Instrutor - INCLUIR</t>
  </si>
  <si>
    <t>Instrutor - EDITAR</t>
  </si>
  <si>
    <t>Instrutor - EXCLUIR</t>
  </si>
  <si>
    <t>Instrutor - LISTAR</t>
  </si>
  <si>
    <t>Aulas - INCLUIR</t>
  </si>
  <si>
    <t>Aulas - EDITAR</t>
  </si>
  <si>
    <t>Aulas - EXCLUIR</t>
  </si>
  <si>
    <t>Pagamento - LISTAR</t>
  </si>
  <si>
    <t>Contrato - INCLUIR</t>
  </si>
  <si>
    <t xml:space="preserve">Funcinalidade de usuário: Presença -  INCLUIR </t>
  </si>
  <si>
    <t>Usuário - LISTAR</t>
  </si>
  <si>
    <t>Usuário - DETALHAR (Mais informações que na listagem)</t>
  </si>
  <si>
    <t>Funcinalidade de Usuário: Férias - LISTAR</t>
  </si>
  <si>
    <t>Aulas - LISTAR</t>
  </si>
  <si>
    <t>Tabela: Contrato</t>
  </si>
  <si>
    <t>Tabela: Usuario (Aluno, Instrutor, Recepcionista, Gerente)</t>
  </si>
  <si>
    <t>Tabela: Aula</t>
  </si>
  <si>
    <t>Tabela: Sala</t>
  </si>
  <si>
    <t>Tabela: Avaliação Médica</t>
  </si>
  <si>
    <t>Tabela: Frequencia</t>
  </si>
  <si>
    <t>Tabela: Pagamento</t>
  </si>
  <si>
    <t>Tabela: Férias</t>
  </si>
  <si>
    <t>Avaliação - LISTAR</t>
  </si>
  <si>
    <t>Avaliação - INCLUIR</t>
  </si>
  <si>
    <t>Avaliação - EDITAR</t>
  </si>
  <si>
    <t>Avaliação - EXCLUIR</t>
  </si>
  <si>
    <t>Contrato - LISTAR</t>
  </si>
  <si>
    <t>Contrato - EDITAR</t>
  </si>
  <si>
    <t>Contrato - EXCLUIR</t>
  </si>
  <si>
    <t xml:space="preserve">Funcinalidade de Usuário: Férias - INCLUIR </t>
  </si>
  <si>
    <t>Pagamento - INCLUIR</t>
  </si>
  <si>
    <t>Relatório - INADIMPLENTES</t>
  </si>
  <si>
    <t>Relatórios - ALUNOS</t>
  </si>
  <si>
    <t>Casos de Uso, DER, Diagrama de Classes do projeto em questão.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</si>
</sst>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1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sz val="10"/>
      <color theme="0"/>
      <name val="Franklin Gothic Medium"/>
      <family val="2"/>
    </font>
    <font>
      <b/>
      <sz val="12"/>
      <color theme="0"/>
      <name val="Franklin Gothic Medium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8" tint="-0.249977111117893"/>
        <bgColor indexed="31"/>
      </patternFill>
    </fill>
  </fills>
  <borders count="4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8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8"/>
      </left>
      <right style="thin">
        <color theme="0" tint="-0.499984740745262"/>
      </right>
      <top style="thin">
        <color theme="0" tint="-0.499984740745262"/>
      </top>
      <bottom style="medium">
        <color indexed="8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8"/>
      </bottom>
      <diagonal/>
    </border>
    <border>
      <left style="thin">
        <color theme="0" tint="-0.499984740745262"/>
      </left>
      <right style="medium">
        <color indexed="8"/>
      </right>
      <top style="thin">
        <color theme="0" tint="-0.499984740745262"/>
      </top>
      <bottom style="medium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7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4" fontId="5" fillId="2" borderId="4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3" fontId="5" fillId="2" borderId="6" xfId="3" applyNumberFormat="1" applyFont="1" applyFill="1" applyBorder="1" applyAlignment="1" applyProtection="1">
      <alignment horizontal="center"/>
    </xf>
    <xf numFmtId="4" fontId="5" fillId="2" borderId="7" xfId="3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 applyAlignment="1" applyProtection="1"/>
    <xf numFmtId="0" fontId="0" fillId="0" borderId="0" xfId="0" applyBorder="1"/>
    <xf numFmtId="167" fontId="5" fillId="0" borderId="8" xfId="1" applyNumberFormat="1" applyFont="1" applyFill="1" applyBorder="1" applyAlignment="1" applyProtection="1"/>
    <xf numFmtId="0" fontId="5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0" xfId="0" applyBorder="1"/>
    <xf numFmtId="0" fontId="5" fillId="0" borderId="2" xfId="0" applyFont="1" applyBorder="1" applyAlignment="1">
      <alignment horizontal="center"/>
    </xf>
    <xf numFmtId="0" fontId="0" fillId="0" borderId="11" xfId="0" applyBorder="1"/>
    <xf numFmtId="0" fontId="5" fillId="0" borderId="12" xfId="0" applyFont="1" applyFill="1" applyBorder="1"/>
    <xf numFmtId="0" fontId="5" fillId="0" borderId="13" xfId="0" applyFont="1" applyFill="1" applyBorder="1"/>
    <xf numFmtId="0" fontId="5" fillId="0" borderId="14" xfId="0" applyFont="1" applyFill="1" applyBorder="1"/>
    <xf numFmtId="0" fontId="14" fillId="0" borderId="15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0" xfId="0" applyFont="1" applyFill="1" applyBorder="1"/>
    <xf numFmtId="2" fontId="5" fillId="0" borderId="10" xfId="0" applyNumberFormat="1" applyFont="1" applyFill="1" applyBorder="1" applyAlignment="1">
      <alignment vertical="center"/>
    </xf>
    <xf numFmtId="0" fontId="5" fillId="0" borderId="8" xfId="0" applyFont="1" applyFill="1" applyBorder="1"/>
    <xf numFmtId="0" fontId="5" fillId="0" borderId="15" xfId="0" applyFont="1" applyFill="1" applyBorder="1"/>
    <xf numFmtId="10" fontId="5" fillId="0" borderId="8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16" xfId="0" applyFont="1" applyFill="1" applyBorder="1"/>
    <xf numFmtId="0" fontId="5" fillId="0" borderId="17" xfId="0" applyFont="1" applyFill="1" applyBorder="1"/>
    <xf numFmtId="2" fontId="5" fillId="0" borderId="10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7" fillId="4" borderId="13" xfId="0" applyFont="1" applyFill="1" applyBorder="1" applyAlignment="1">
      <alignment horizontal="left" vertical="center" wrapText="1"/>
    </xf>
    <xf numFmtId="0" fontId="17" fillId="4" borderId="1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3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8" xfId="0" applyNumberFormat="1" applyFont="1" applyFill="1" applyBorder="1" applyAlignment="1"/>
    <xf numFmtId="0" fontId="0" fillId="0" borderId="15" xfId="0" applyFill="1" applyBorder="1"/>
    <xf numFmtId="0" fontId="0" fillId="0" borderId="8" xfId="0" applyFill="1" applyBorder="1"/>
    <xf numFmtId="0" fontId="0" fillId="0" borderId="18" xfId="0" applyFill="1" applyBorder="1"/>
    <xf numFmtId="0" fontId="4" fillId="0" borderId="19" xfId="0" applyFont="1" applyFill="1" applyBorder="1" applyAlignment="1">
      <alignment horizontal="center" vertical="center"/>
    </xf>
    <xf numFmtId="0" fontId="0" fillId="0" borderId="19" xfId="0" applyFill="1" applyBorder="1"/>
    <xf numFmtId="0" fontId="4" fillId="0" borderId="19" xfId="0" applyFont="1" applyFill="1" applyBorder="1" applyAlignment="1">
      <alignment horizontal="center"/>
    </xf>
    <xf numFmtId="1" fontId="5" fillId="0" borderId="19" xfId="0" applyNumberFormat="1" applyFont="1" applyFill="1" applyBorder="1" applyAlignment="1">
      <alignment horizontal="center"/>
    </xf>
    <xf numFmtId="2" fontId="5" fillId="0" borderId="19" xfId="0" applyNumberFormat="1" applyFont="1" applyFill="1" applyBorder="1" applyAlignment="1">
      <alignment horizontal="center"/>
    </xf>
    <xf numFmtId="2" fontId="5" fillId="0" borderId="19" xfId="1" applyNumberFormat="1" applyFont="1" applyFill="1" applyBorder="1" applyAlignment="1" applyProtection="1">
      <alignment horizontal="center"/>
    </xf>
    <xf numFmtId="10" fontId="5" fillId="0" borderId="19" xfId="1" applyNumberFormat="1" applyFont="1" applyFill="1" applyBorder="1" applyAlignment="1" applyProtection="1"/>
    <xf numFmtId="0" fontId="0" fillId="0" borderId="20" xfId="0" applyFill="1" applyBorder="1"/>
    <xf numFmtId="10" fontId="0" fillId="0" borderId="0" xfId="0" applyNumberFormat="1" applyFill="1" applyBorder="1"/>
    <xf numFmtId="2" fontId="5" fillId="0" borderId="0" xfId="1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0" xfId="0" applyFill="1" applyBorder="1"/>
    <xf numFmtId="2" fontId="5" fillId="0" borderId="0" xfId="1" applyNumberFormat="1" applyFont="1" applyFill="1" applyBorder="1" applyAlignment="1" applyProtection="1">
      <alignment horizontal="center"/>
    </xf>
    <xf numFmtId="10" fontId="5" fillId="0" borderId="0" xfId="1" applyNumberFormat="1" applyFont="1" applyFill="1" applyBorder="1" applyAlignment="1" applyProtection="1"/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4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5" fillId="0" borderId="2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164" fontId="5" fillId="2" borderId="4" xfId="3" applyFont="1" applyFill="1" applyBorder="1" applyAlignment="1" applyProtection="1">
      <alignment horizontal="right" indent="1"/>
    </xf>
    <xf numFmtId="0" fontId="3" fillId="0" borderId="26" xfId="0" applyFont="1" applyBorder="1" applyAlignment="1">
      <alignment horizontal="center" vertical="center"/>
    </xf>
    <xf numFmtId="0" fontId="4" fillId="0" borderId="21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/>
    </xf>
    <xf numFmtId="165" fontId="5" fillId="0" borderId="4" xfId="0" applyNumberFormat="1" applyFont="1" applyBorder="1" applyAlignment="1" applyProtection="1">
      <alignment horizontal="center"/>
      <protection locked="0"/>
    </xf>
    <xf numFmtId="0" fontId="6" fillId="2" borderId="23" xfId="0" applyFont="1" applyFill="1" applyBorder="1" applyAlignment="1">
      <alignment horizontal="center" vertical="center"/>
    </xf>
    <xf numFmtId="0" fontId="2" fillId="0" borderId="24" xfId="0" applyFont="1" applyBorder="1" applyAlignment="1" applyProtection="1">
      <alignment horizontal="justify" vertical="top" wrapText="1"/>
      <protection locked="0"/>
    </xf>
    <xf numFmtId="0" fontId="2" fillId="0" borderId="25" xfId="0" applyFont="1" applyBorder="1" applyAlignment="1" applyProtection="1">
      <alignment horizontal="justify" vertical="top" wrapText="1"/>
      <protection locked="0"/>
    </xf>
    <xf numFmtId="0" fontId="5" fillId="2" borderId="4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2" fontId="13" fillId="0" borderId="6" xfId="0" applyNumberFormat="1" applyFont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 wrapText="1"/>
    </xf>
    <xf numFmtId="0" fontId="17" fillId="4" borderId="3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17" fillId="4" borderId="30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/>
    </xf>
    <xf numFmtId="0" fontId="0" fillId="0" borderId="0" xfId="0" applyFont="1"/>
    <xf numFmtId="0" fontId="20" fillId="5" borderId="29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left" vertical="center"/>
    </xf>
    <xf numFmtId="0" fontId="19" fillId="8" borderId="21" xfId="0" applyFont="1" applyFill="1" applyBorder="1" applyAlignment="1">
      <alignment horizontal="left" vertical="center"/>
    </xf>
    <xf numFmtId="0" fontId="19" fillId="8" borderId="11" xfId="0" applyFont="1" applyFill="1" applyBorder="1" applyAlignment="1">
      <alignment horizontal="left" vertical="center"/>
    </xf>
    <xf numFmtId="0" fontId="19" fillId="8" borderId="22" xfId="0" applyFont="1" applyFill="1" applyBorder="1" applyAlignment="1">
      <alignment horizontal="left" vertical="center"/>
    </xf>
    <xf numFmtId="0" fontId="19" fillId="8" borderId="21" xfId="0" applyFont="1" applyFill="1" applyBorder="1" applyAlignment="1">
      <alignment vertical="center"/>
    </xf>
    <xf numFmtId="2" fontId="19" fillId="8" borderId="22" xfId="0" applyNumberFormat="1" applyFont="1" applyFill="1" applyBorder="1" applyAlignment="1">
      <alignment vertical="center"/>
    </xf>
    <xf numFmtId="0" fontId="19" fillId="8" borderId="4" xfId="0" applyFont="1" applyFill="1" applyBorder="1" applyAlignment="1">
      <alignment horizontal="left" vertical="center"/>
    </xf>
    <xf numFmtId="2" fontId="19" fillId="8" borderId="21" xfId="0" applyNumberFormat="1" applyFont="1" applyFill="1" applyBorder="1" applyAlignment="1">
      <alignment vertical="center"/>
    </xf>
    <xf numFmtId="2" fontId="19" fillId="8" borderId="4" xfId="0" applyNumberFormat="1" applyFont="1" applyFill="1" applyBorder="1" applyAlignment="1">
      <alignment horizontal="left" vertical="center"/>
    </xf>
    <xf numFmtId="0" fontId="19" fillId="8" borderId="3" xfId="0" applyFont="1" applyFill="1" applyBorder="1" applyAlignment="1">
      <alignment vertical="center"/>
    </xf>
    <xf numFmtId="0" fontId="19" fillId="8" borderId="27" xfId="0" applyFont="1" applyFill="1" applyBorder="1" applyAlignment="1">
      <alignment horizontal="left" vertical="center"/>
    </xf>
    <xf numFmtId="0" fontId="19" fillId="8" borderId="13" xfId="0" applyFont="1" applyFill="1" applyBorder="1" applyAlignment="1">
      <alignment horizontal="left" vertical="center"/>
    </xf>
    <xf numFmtId="0" fontId="19" fillId="8" borderId="28" xfId="0" applyFont="1" applyFill="1" applyBorder="1" applyAlignment="1">
      <alignment horizontal="left" vertical="center"/>
    </xf>
    <xf numFmtId="166" fontId="19" fillId="8" borderId="21" xfId="0" applyNumberFormat="1" applyFont="1" applyFill="1" applyBorder="1" applyAlignment="1">
      <alignment vertical="center"/>
    </xf>
    <xf numFmtId="0" fontId="18" fillId="4" borderId="33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 vertical="center"/>
    </xf>
    <xf numFmtId="0" fontId="18" fillId="4" borderId="9" xfId="0" applyFont="1" applyFill="1" applyBorder="1" applyAlignment="1">
      <alignment horizontal="left"/>
    </xf>
    <xf numFmtId="0" fontId="18" fillId="4" borderId="9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/>
    </xf>
    <xf numFmtId="0" fontId="18" fillId="4" borderId="35" xfId="0" applyFont="1" applyFill="1" applyBorder="1" applyAlignment="1">
      <alignment horizontal="center"/>
    </xf>
    <xf numFmtId="0" fontId="10" fillId="0" borderId="37" xfId="0" applyFont="1" applyBorder="1" applyAlignment="1">
      <alignment horizontal="center" vertical="center"/>
    </xf>
    <xf numFmtId="0" fontId="10" fillId="7" borderId="37" xfId="0" applyFont="1" applyFill="1" applyBorder="1" applyAlignment="1">
      <alignment horizontal="center" vertical="center" wrapText="1"/>
    </xf>
    <xf numFmtId="0" fontId="10" fillId="6" borderId="37" xfId="0" applyFont="1" applyFill="1" applyBorder="1" applyAlignment="1">
      <alignment horizontal="center" vertical="center"/>
    </xf>
    <xf numFmtId="0" fontId="10" fillId="7" borderId="37" xfId="0" applyFont="1" applyFill="1" applyBorder="1" applyAlignment="1">
      <alignment horizontal="center" vertical="center"/>
    </xf>
    <xf numFmtId="0" fontId="10" fillId="6" borderId="37" xfId="0" applyFont="1" applyFill="1" applyBorder="1" applyAlignment="1">
      <alignment horizontal="center" vertical="center" wrapText="1"/>
    </xf>
    <xf numFmtId="4" fontId="10" fillId="7" borderId="37" xfId="0" applyNumberFormat="1" applyFont="1" applyFill="1" applyBorder="1" applyAlignment="1">
      <alignment horizontal="center" vertical="center"/>
    </xf>
    <xf numFmtId="0" fontId="10" fillId="0" borderId="37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36" xfId="0" applyFont="1" applyFill="1" applyBorder="1" applyAlignment="1">
      <alignment horizontal="left" vertical="center" wrapText="1"/>
    </xf>
    <xf numFmtId="0" fontId="10" fillId="0" borderId="39" xfId="0" applyFont="1" applyFill="1" applyBorder="1" applyAlignment="1">
      <alignment horizontal="left" vertical="center" wrapText="1"/>
    </xf>
    <xf numFmtId="0" fontId="10" fillId="0" borderId="40" xfId="0" applyFont="1" applyBorder="1" applyAlignment="1">
      <alignment horizontal="center" vertical="center"/>
    </xf>
    <xf numFmtId="0" fontId="10" fillId="0" borderId="40" xfId="0" applyFont="1" applyBorder="1" applyAlignment="1">
      <alignment horizontal="left" vertical="center" wrapText="1"/>
    </xf>
    <xf numFmtId="0" fontId="10" fillId="0" borderId="41" xfId="0" applyFont="1" applyBorder="1" applyAlignment="1">
      <alignment horizontal="left" vertical="center" wrapText="1"/>
    </xf>
    <xf numFmtId="0" fontId="10" fillId="6" borderId="36" xfId="0" applyFont="1" applyFill="1" applyBorder="1" applyAlignment="1">
      <alignment horizontal="left" vertical="center" wrapText="1"/>
    </xf>
    <xf numFmtId="0" fontId="10" fillId="6" borderId="37" xfId="0" applyFont="1" applyFill="1" applyBorder="1" applyAlignment="1">
      <alignment horizontal="left" vertical="center" wrapText="1"/>
    </xf>
    <xf numFmtId="0" fontId="10" fillId="6" borderId="38" xfId="0" applyFont="1" applyFill="1" applyBorder="1" applyAlignment="1">
      <alignment horizontal="left" vertical="center" wrapText="1"/>
    </xf>
    <xf numFmtId="0" fontId="10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 wrapText="1"/>
    </xf>
    <xf numFmtId="4" fontId="10" fillId="0" borderId="37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left" vertical="center" wrapText="1"/>
    </xf>
    <xf numFmtId="0" fontId="10" fillId="0" borderId="38" xfId="0" applyFont="1" applyFill="1" applyBorder="1" applyAlignment="1">
      <alignment horizontal="left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/>
    </xf>
    <xf numFmtId="4" fontId="10" fillId="0" borderId="40" xfId="0" applyNumberFormat="1" applyFont="1" applyFill="1" applyBorder="1" applyAlignment="1">
      <alignment horizontal="center" vertical="center"/>
    </xf>
    <xf numFmtId="0" fontId="20" fillId="5" borderId="26" xfId="0" applyFont="1" applyFill="1" applyBorder="1" applyAlignment="1">
      <alignment horizontal="center" vertical="center"/>
    </xf>
    <xf numFmtId="0" fontId="17" fillId="8" borderId="3" xfId="0" applyFont="1" applyFill="1" applyBorder="1" applyAlignment="1">
      <alignment horizontal="left" vertical="center"/>
    </xf>
    <xf numFmtId="0" fontId="17" fillId="8" borderId="4" xfId="0" applyFont="1" applyFill="1" applyBorder="1" applyAlignment="1">
      <alignment horizontal="left" vertical="center"/>
    </xf>
  </cellXfs>
  <cellStyles count="4">
    <cellStyle name="Normal" xfId="0" builtinId="0"/>
    <cellStyle name="Porcentagem" xfId="1" builtinId="5"/>
    <cellStyle name="TableStyleLight1" xfId="2"/>
    <cellStyle name="Vírgula" xfId="3" builtinId="3"/>
  </cellStyles>
  <dxfs count="15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9624-4CC1-9B6C-A6C459B2175E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624-4CC1-9B6C-A6C459B2175E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624-4CC1-9B6C-A6C459B2175E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624-4CC1-9B6C-A6C459B2175E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9624-4CC1-9B6C-A6C459B2175E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0.39189189189189189</c:v>
                </c:pt>
                <c:pt idx="1">
                  <c:v>3.3783783783783786E-2</c:v>
                </c:pt>
                <c:pt idx="2">
                  <c:v>0.19594594594594594</c:v>
                </c:pt>
                <c:pt idx="3">
                  <c:v>0.3783783783783784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624-4CC1-9B6C-A6C459B21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343" name="shapetype_202" hidden="1">
          <a:extLst>
            <a:ext uri="{FF2B5EF4-FFF2-40B4-BE49-F238E27FC236}">
              <a16:creationId xmlns:a16="http://schemas.microsoft.com/office/drawing/2014/main" xmlns="" id="{B182FD60-D72B-4ED4-BD29-59D467D9DB5A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344" name="shapetype_202" hidden="1">
          <a:extLst>
            <a:ext uri="{FF2B5EF4-FFF2-40B4-BE49-F238E27FC236}">
              <a16:creationId xmlns:a16="http://schemas.microsoft.com/office/drawing/2014/main" xmlns="" id="{2E77ED7C-86F8-4D9C-9919-ABC74E15E79A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345" name="shapetype_202" hidden="1">
          <a:extLst>
            <a:ext uri="{FF2B5EF4-FFF2-40B4-BE49-F238E27FC236}">
              <a16:creationId xmlns:a16="http://schemas.microsoft.com/office/drawing/2014/main" xmlns="" id="{DA4B08CF-0639-417A-AD07-B30AC9CF2512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47626</xdr:colOff>
      <xdr:row>0</xdr:row>
      <xdr:rowOff>38100</xdr:rowOff>
    </xdr:from>
    <xdr:to>
      <xdr:col>0</xdr:col>
      <xdr:colOff>637760</xdr:colOff>
      <xdr:row>2</xdr:row>
      <xdr:rowOff>57149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xmlns="" id="{D5E25048-4E63-46E4-AB53-13C4CA0E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38100"/>
          <a:ext cx="590134" cy="28574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28575</xdr:rowOff>
    </xdr:from>
    <xdr:to>
      <xdr:col>1</xdr:col>
      <xdr:colOff>161925</xdr:colOff>
      <xdr:row>1</xdr:row>
      <xdr:rowOff>9525</xdr:rowOff>
    </xdr:to>
    <xdr:pic>
      <xdr:nvPicPr>
        <xdr:cNvPr id="3151" name="Figura 1">
          <a:extLst>
            <a:ext uri="{FF2B5EF4-FFF2-40B4-BE49-F238E27FC236}">
              <a16:creationId xmlns:a16="http://schemas.microsoft.com/office/drawing/2014/main" xmlns="" id="{6F3ED120-FD7E-4618-96C4-518711FA1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04875" cy="438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55" name="Gráfico 3">
          <a:extLst>
            <a:ext uri="{FF2B5EF4-FFF2-40B4-BE49-F238E27FC236}">
              <a16:creationId xmlns:a16="http://schemas.microsoft.com/office/drawing/2014/main" xmlns="" id="{AE138E9B-BB86-4118-BA02-042E0327B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47625</xdr:colOff>
      <xdr:row>0</xdr:row>
      <xdr:rowOff>38100</xdr:rowOff>
    </xdr:from>
    <xdr:to>
      <xdr:col>2</xdr:col>
      <xdr:colOff>0</xdr:colOff>
      <xdr:row>2</xdr:row>
      <xdr:rowOff>50934</xdr:rowOff>
    </xdr:to>
    <xdr:pic>
      <xdr:nvPicPr>
        <xdr:cNvPr id="4256" name="Figura 1">
          <a:extLst>
            <a:ext uri="{FF2B5EF4-FFF2-40B4-BE49-F238E27FC236}">
              <a16:creationId xmlns:a16="http://schemas.microsoft.com/office/drawing/2014/main" xmlns="" id="{D5E25048-4E63-46E4-AB53-13C4CA0E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695325" cy="3366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28575</xdr:rowOff>
    </xdr:from>
    <xdr:to>
      <xdr:col>1</xdr:col>
      <xdr:colOff>723900</xdr:colOff>
      <xdr:row>2</xdr:row>
      <xdr:rowOff>123825</xdr:rowOff>
    </xdr:to>
    <xdr:pic>
      <xdr:nvPicPr>
        <xdr:cNvPr id="5201" name="Figura 1">
          <a:extLst>
            <a:ext uri="{FF2B5EF4-FFF2-40B4-BE49-F238E27FC236}">
              <a16:creationId xmlns:a16="http://schemas.microsoft.com/office/drawing/2014/main" xmlns="" id="{74BDDE82-38C0-40FD-87BB-893934D98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04875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45"/>
  <sheetViews>
    <sheetView showGridLines="0" view="pageBreakPreview" zoomScaleSheetLayoutView="100" workbookViewId="0">
      <pane ySplit="3" topLeftCell="A28" activePane="bottomLeft" state="frozen"/>
      <selection activeCell="B11" sqref="B11"/>
      <selection pane="bottomLeft" activeCell="A22" sqref="A22:V45"/>
    </sheetView>
  </sheetViews>
  <sheetFormatPr defaultRowHeight="13.5" x14ac:dyDescent="0.25"/>
  <cols>
    <col min="1" max="1" width="10.42578125" style="1" customWidth="1"/>
    <col min="2" max="2" width="2.710937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5703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2.75" x14ac:dyDescent="0.2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2.75" x14ac:dyDescent="0.2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x14ac:dyDescent="0.25">
      <c r="A4" s="94" t="s">
        <v>1</v>
      </c>
      <c r="B4" s="94"/>
      <c r="C4" s="94"/>
      <c r="D4" s="94"/>
      <c r="E4" s="94"/>
      <c r="F4" s="95" t="s">
        <v>177</v>
      </c>
      <c r="G4" s="95"/>
      <c r="H4" s="95"/>
      <c r="I4" s="95"/>
      <c r="J4" s="95"/>
      <c r="K4" s="95"/>
      <c r="L4" s="95"/>
      <c r="M4" s="95"/>
      <c r="N4" s="95"/>
      <c r="O4" s="99" t="s">
        <v>2</v>
      </c>
      <c r="P4" s="99"/>
      <c r="Q4" s="97">
        <f>Funções!L4</f>
        <v>151</v>
      </c>
      <c r="R4" s="97"/>
      <c r="S4" s="97"/>
      <c r="T4" s="97"/>
      <c r="U4" s="97"/>
      <c r="V4" s="97"/>
    </row>
    <row r="5" spans="1:22" x14ac:dyDescent="0.25">
      <c r="A5" s="94" t="s">
        <v>3</v>
      </c>
      <c r="B5" s="94"/>
      <c r="C5" s="94"/>
      <c r="D5" s="94"/>
      <c r="E5" s="94"/>
      <c r="F5" s="95" t="s">
        <v>4</v>
      </c>
      <c r="G5" s="95"/>
      <c r="H5" s="95"/>
      <c r="I5" s="95"/>
      <c r="J5" s="95"/>
      <c r="K5" s="95"/>
      <c r="L5" s="95"/>
      <c r="M5" s="95"/>
      <c r="N5" s="95"/>
      <c r="O5" s="96" t="s">
        <v>5</v>
      </c>
      <c r="P5" s="96"/>
      <c r="Q5" s="97">
        <f>Funções!L5</f>
        <v>151</v>
      </c>
      <c r="R5" s="97"/>
      <c r="S5" s="97"/>
      <c r="T5" s="97"/>
      <c r="U5" s="97"/>
      <c r="V5" s="97"/>
    </row>
    <row r="6" spans="1:22" x14ac:dyDescent="0.25">
      <c r="A6" s="94" t="s">
        <v>6</v>
      </c>
      <c r="B6" s="94"/>
      <c r="C6" s="94"/>
      <c r="D6" s="94"/>
      <c r="E6" s="94"/>
      <c r="F6" s="100" t="s">
        <v>7</v>
      </c>
      <c r="G6" s="100"/>
      <c r="H6" s="100"/>
      <c r="I6" s="100"/>
      <c r="J6" s="100"/>
      <c r="K6" s="100"/>
      <c r="L6" s="100"/>
      <c r="M6" s="100"/>
      <c r="N6" s="100"/>
      <c r="O6" s="96" t="s">
        <v>8</v>
      </c>
      <c r="P6" s="96"/>
      <c r="Q6" s="97">
        <f>Funções!L6</f>
        <v>0</v>
      </c>
      <c r="R6" s="97"/>
      <c r="S6" s="97"/>
      <c r="T6" s="97"/>
      <c r="U6" s="97"/>
      <c r="V6" s="97"/>
    </row>
    <row r="7" spans="1:22" ht="12.75" x14ac:dyDescent="0.2">
      <c r="A7" s="94" t="s">
        <v>9</v>
      </c>
      <c r="B7" s="94"/>
      <c r="C7" s="94"/>
      <c r="D7" s="94"/>
      <c r="E7" s="94"/>
      <c r="F7" s="95" t="s">
        <v>10</v>
      </c>
      <c r="G7" s="95"/>
      <c r="H7" s="95"/>
      <c r="I7" s="95"/>
      <c r="J7" s="95"/>
      <c r="K7" s="95"/>
      <c r="L7" s="95"/>
      <c r="M7" s="95"/>
      <c r="N7" s="95"/>
      <c r="O7" s="96" t="s">
        <v>11</v>
      </c>
      <c r="P7" s="96"/>
      <c r="Q7" s="96"/>
      <c r="R7" s="101" t="s">
        <v>176</v>
      </c>
      <c r="S7" s="101"/>
      <c r="T7" s="101"/>
      <c r="U7" s="101"/>
      <c r="V7" s="101"/>
    </row>
    <row r="8" spans="1:22" ht="12.75" x14ac:dyDescent="0.2">
      <c r="A8" s="94" t="s">
        <v>12</v>
      </c>
      <c r="B8" s="94"/>
      <c r="C8" s="94"/>
      <c r="D8" s="94"/>
      <c r="E8" s="94"/>
      <c r="F8" s="95" t="s">
        <v>178</v>
      </c>
      <c r="G8" s="95"/>
      <c r="H8" s="95"/>
      <c r="I8" s="95"/>
      <c r="J8" s="95"/>
      <c r="K8" s="95"/>
      <c r="L8" s="95"/>
      <c r="M8" s="95"/>
      <c r="N8" s="95"/>
      <c r="O8" s="96" t="s">
        <v>13</v>
      </c>
      <c r="P8" s="96"/>
      <c r="Q8" s="96"/>
      <c r="R8" s="101"/>
      <c r="S8" s="101"/>
      <c r="T8" s="101"/>
      <c r="U8" s="101"/>
      <c r="V8" s="101"/>
    </row>
    <row r="9" spans="1:22" x14ac:dyDescent="0.25">
      <c r="A9" s="94" t="s">
        <v>14</v>
      </c>
      <c r="B9" s="94"/>
      <c r="C9" s="94"/>
      <c r="D9" s="94"/>
      <c r="E9" s="94"/>
      <c r="F9" s="100" t="s">
        <v>175</v>
      </c>
      <c r="G9" s="100"/>
      <c r="H9" s="100"/>
      <c r="I9" s="100"/>
      <c r="J9" s="100"/>
      <c r="K9" s="100"/>
      <c r="L9" s="100"/>
      <c r="M9" s="100"/>
      <c r="N9" s="100"/>
      <c r="O9" s="102" t="s">
        <v>15</v>
      </c>
      <c r="P9" s="102"/>
      <c r="Q9" s="102"/>
      <c r="R9" s="103">
        <v>44065</v>
      </c>
      <c r="S9" s="103"/>
      <c r="T9" s="103"/>
      <c r="U9" s="103"/>
      <c r="V9" s="103"/>
    </row>
    <row r="10" spans="1:22" x14ac:dyDescent="0.25">
      <c r="A10" s="94" t="s">
        <v>16</v>
      </c>
      <c r="B10" s="94"/>
      <c r="C10" s="94"/>
      <c r="D10" s="94"/>
      <c r="E10" s="94"/>
      <c r="F10" s="100" t="s">
        <v>175</v>
      </c>
      <c r="G10" s="100"/>
      <c r="H10" s="100"/>
      <c r="I10" s="100"/>
      <c r="J10" s="100"/>
      <c r="K10" s="100"/>
      <c r="L10" s="100"/>
      <c r="M10" s="100"/>
      <c r="N10" s="100"/>
      <c r="O10" s="102" t="s">
        <v>17</v>
      </c>
      <c r="P10" s="102"/>
      <c r="Q10" s="102"/>
      <c r="R10" s="103">
        <v>44066</v>
      </c>
      <c r="S10" s="103"/>
      <c r="T10" s="103"/>
      <c r="U10" s="103"/>
      <c r="V10" s="103"/>
    </row>
    <row r="11" spans="1:22" x14ac:dyDescent="0.2">
      <c r="A11" s="104" t="s">
        <v>18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ht="12.75" x14ac:dyDescent="0.2">
      <c r="A12" s="105" t="s">
        <v>19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</row>
    <row r="13" spans="1:22" ht="12.75" x14ac:dyDescent="0.2">
      <c r="A13" s="105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</row>
    <row r="14" spans="1:22" ht="12.75" x14ac:dyDescent="0.2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</row>
    <row r="15" spans="1:22" ht="12.75" x14ac:dyDescent="0.2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</row>
    <row r="16" spans="1:22" x14ac:dyDescent="0.2">
      <c r="A16" s="104" t="s">
        <v>20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</row>
    <row r="17" spans="1:22" ht="12.75" x14ac:dyDescent="0.2">
      <c r="A17" s="105" t="s">
        <v>21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</row>
    <row r="18" spans="1:22" ht="12.75" x14ac:dyDescent="0.2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</row>
    <row r="19" spans="1:22" ht="12.75" x14ac:dyDescent="0.2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</row>
    <row r="20" spans="1:22" ht="12.75" x14ac:dyDescent="0.2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</row>
    <row r="21" spans="1:22" x14ac:dyDescent="0.2">
      <c r="A21" s="104" t="s">
        <v>22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</row>
    <row r="22" spans="1:22" ht="12.75" x14ac:dyDescent="0.2">
      <c r="A22" s="106" t="s">
        <v>215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</row>
    <row r="23" spans="1:22" ht="12.75" x14ac:dyDescent="0.2">
      <c r="A23" s="106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</row>
    <row r="24" spans="1:22" ht="12.75" x14ac:dyDescent="0.2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</row>
    <row r="25" spans="1:22" ht="12.75" x14ac:dyDescent="0.2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</row>
    <row r="26" spans="1:22" ht="12.75" x14ac:dyDescent="0.2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</row>
    <row r="27" spans="1:22" ht="12.75" x14ac:dyDescent="0.2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</row>
    <row r="28" spans="1:22" ht="12.75" x14ac:dyDescent="0.2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</row>
    <row r="29" spans="1:22" ht="12.75" x14ac:dyDescent="0.2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</row>
    <row r="30" spans="1:22" ht="12.75" x14ac:dyDescent="0.2">
      <c r="A30" s="106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</row>
    <row r="31" spans="1:22" ht="12.75" x14ac:dyDescent="0.2">
      <c r="A31" s="106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</row>
    <row r="32" spans="1:22" ht="12.75" x14ac:dyDescent="0.2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</row>
    <row r="33" spans="1:22" ht="12.75" x14ac:dyDescent="0.2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</row>
    <row r="34" spans="1:22" ht="12.75" x14ac:dyDescent="0.2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</row>
    <row r="35" spans="1:22" ht="12.75" x14ac:dyDescent="0.2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</row>
    <row r="36" spans="1:22" ht="12.75" x14ac:dyDescent="0.2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</row>
    <row r="37" spans="1:22" ht="12.75" x14ac:dyDescent="0.2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</row>
    <row r="38" spans="1:22" ht="12.75" x14ac:dyDescent="0.2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</row>
    <row r="39" spans="1:22" ht="12.75" x14ac:dyDescent="0.2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</row>
    <row r="40" spans="1:22" ht="12.75" x14ac:dyDescent="0.2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</row>
    <row r="41" spans="1:22" ht="12.75" x14ac:dyDescent="0.2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</row>
    <row r="42" spans="1:22" ht="12.75" x14ac:dyDescent="0.2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</row>
    <row r="43" spans="1:22" ht="12.75" x14ac:dyDescent="0.2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</row>
    <row r="44" spans="1:22" ht="12.75" x14ac:dyDescent="0.2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</row>
    <row r="45" spans="1:22" ht="12.75" x14ac:dyDescent="0.2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</row>
  </sheetData>
  <sheetProtection selectLockedCells="1" selectUnlockedCells="1"/>
  <mergeCells count="35"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8:E8"/>
    <mergeCell ref="F8:N8"/>
    <mergeCell ref="O8:Q8"/>
    <mergeCell ref="R8:V8"/>
    <mergeCell ref="A9:E9"/>
    <mergeCell ref="F9:N9"/>
    <mergeCell ref="O9:Q9"/>
    <mergeCell ref="R9:V9"/>
    <mergeCell ref="A6:E6"/>
    <mergeCell ref="F6:N6"/>
    <mergeCell ref="O6:P6"/>
    <mergeCell ref="Q6:V6"/>
    <mergeCell ref="A7:E7"/>
    <mergeCell ref="F7:N7"/>
    <mergeCell ref="O7:Q7"/>
    <mergeCell ref="R7:V7"/>
    <mergeCell ref="A5:E5"/>
    <mergeCell ref="F5:N5"/>
    <mergeCell ref="O5:P5"/>
    <mergeCell ref="Q5:V5"/>
    <mergeCell ref="A1:V3"/>
    <mergeCell ref="A4:E4"/>
    <mergeCell ref="F4:N4"/>
    <mergeCell ref="O4:P4"/>
    <mergeCell ref="Q4:V4"/>
  </mergeCells>
  <dataValidations count="3">
    <dataValidation type="list" operator="equal" allowBlank="1" showErrorMessage="1" sqref="F6">
      <formula1>"Aplicação,Projeto de Desenvolvimento,Projeto de Melhoria"</formula1>
      <formula2>0</formula2>
    </dataValidation>
    <dataValidation type="list" operator="equal" allowBlank="1" showErrorMessage="1" sqref="G6:N7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O125"/>
  <sheetViews>
    <sheetView showGridLines="0" tabSelected="1" zoomScaleNormal="100" zoomScaleSheetLayoutView="110" workbookViewId="0">
      <selection activeCell="E130" sqref="E130"/>
    </sheetView>
  </sheetViews>
  <sheetFormatPr defaultRowHeight="12.75" x14ac:dyDescent="0.2"/>
  <cols>
    <col min="1" max="1" width="48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5.85546875" customWidth="1"/>
    <col min="9" max="9" width="9.7109375" hidden="1" customWidth="1"/>
    <col min="10" max="10" width="10.28515625" hidden="1" customWidth="1"/>
    <col min="11" max="11" width="12.5703125" customWidth="1"/>
    <col min="12" max="12" width="12" customWidth="1"/>
    <col min="13" max="13" width="6.85546875" customWidth="1"/>
    <col min="14" max="14" width="9.28515625" customWidth="1"/>
    <col min="15" max="15" width="14.5703125" customWidth="1"/>
  </cols>
  <sheetData>
    <row r="1" spans="1:15" ht="13.5" thickBot="1" x14ac:dyDescent="0.25">
      <c r="A1" s="129" t="s">
        <v>174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</row>
    <row r="2" spans="1:15" ht="7.5" customHeight="1" thickBot="1" x14ac:dyDescent="0.25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</row>
    <row r="3" spans="1:15" x14ac:dyDescent="0.2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</row>
    <row r="4" spans="1:15" s="128" customFormat="1" ht="13.5" x14ac:dyDescent="0.2">
      <c r="A4" s="130" t="str">
        <f>Contagem!A5&amp;" : "&amp;Contagem!F5</f>
        <v>Aplicação : Academia</v>
      </c>
      <c r="B4" s="131" t="str">
        <f>Contagem!A8&amp;" : "&amp;Contagem!F8</f>
        <v>Projeto : SIGA - Sistema de gerenciamento de uma academia</v>
      </c>
      <c r="C4" s="132"/>
      <c r="D4" s="132"/>
      <c r="E4" s="132"/>
      <c r="F4" s="132"/>
      <c r="G4" s="132"/>
      <c r="H4" s="132"/>
      <c r="I4" s="132"/>
      <c r="J4" s="133"/>
      <c r="K4" s="134" t="s">
        <v>2</v>
      </c>
      <c r="L4" s="135">
        <f>SUM(H8:H125)</f>
        <v>151</v>
      </c>
      <c r="M4" s="136"/>
      <c r="N4" s="136"/>
      <c r="O4" s="136"/>
    </row>
    <row r="5" spans="1:15" s="128" customFormat="1" ht="13.5" x14ac:dyDescent="0.2">
      <c r="A5" s="130" t="str">
        <f>Contagem!A9&amp;" : "&amp;Contagem!F9</f>
        <v>Responsável : Francisco José Borges Verissimo Junior</v>
      </c>
      <c r="B5" s="131" t="str">
        <f>Contagem!A10&amp;" : "&amp;Contagem!F10</f>
        <v>Revisor : Francisco José Borges Verissimo Junior</v>
      </c>
      <c r="C5" s="132"/>
      <c r="D5" s="132"/>
      <c r="E5" s="132"/>
      <c r="F5" s="132"/>
      <c r="G5" s="132"/>
      <c r="H5" s="132"/>
      <c r="I5" s="132"/>
      <c r="J5" s="133"/>
      <c r="K5" s="137" t="s">
        <v>5</v>
      </c>
      <c r="L5" s="135">
        <f>SUM(K8:K125)</f>
        <v>151</v>
      </c>
      <c r="M5" s="138"/>
      <c r="N5" s="138"/>
      <c r="O5" s="138"/>
    </row>
    <row r="6" spans="1:15" s="128" customFormat="1" ht="13.5" x14ac:dyDescent="0.2">
      <c r="A6" s="139" t="str">
        <f>Contagem!A4&amp;" : "&amp;Contagem!F4</f>
        <v>Empresa : PUC Minas - TCC Engenharia de Software</v>
      </c>
      <c r="B6" s="140" t="str">
        <f>"Tipo da Contagem : "&amp;Contagem!F6</f>
        <v>Tipo da Contagem : Projeto de Desenvolvimento</v>
      </c>
      <c r="C6" s="141"/>
      <c r="D6" s="141"/>
      <c r="E6" s="141"/>
      <c r="F6" s="141"/>
      <c r="G6" s="141"/>
      <c r="H6" s="141"/>
      <c r="I6" s="141"/>
      <c r="J6" s="142"/>
      <c r="K6" s="143" t="s">
        <v>8</v>
      </c>
      <c r="L6" s="135">
        <f>SUM(L8:L125)</f>
        <v>0</v>
      </c>
      <c r="M6" s="136"/>
      <c r="N6" s="136"/>
      <c r="O6" s="136"/>
    </row>
    <row r="7" spans="1:15" ht="13.5" customHeight="1" x14ac:dyDescent="0.25">
      <c r="A7" s="144" t="s">
        <v>23</v>
      </c>
      <c r="B7" s="145" t="s">
        <v>24</v>
      </c>
      <c r="C7" s="146" t="s">
        <v>25</v>
      </c>
      <c r="D7" s="147" t="s">
        <v>26</v>
      </c>
      <c r="E7" s="147" t="s">
        <v>27</v>
      </c>
      <c r="F7" s="147" t="s">
        <v>28</v>
      </c>
      <c r="G7" s="148" t="s">
        <v>29</v>
      </c>
      <c r="H7" s="148" t="s">
        <v>2</v>
      </c>
      <c r="I7" s="148" t="s">
        <v>30</v>
      </c>
      <c r="J7" s="148" t="s">
        <v>31</v>
      </c>
      <c r="K7" s="148" t="s">
        <v>5</v>
      </c>
      <c r="L7" s="149" t="s">
        <v>8</v>
      </c>
      <c r="M7" s="150" t="s">
        <v>32</v>
      </c>
      <c r="N7" s="150" t="s">
        <v>33</v>
      </c>
      <c r="O7" s="151" t="s">
        <v>34</v>
      </c>
    </row>
    <row r="8" spans="1:15" x14ac:dyDescent="0.2">
      <c r="A8" s="165" t="s">
        <v>197</v>
      </c>
      <c r="B8" s="154" t="s">
        <v>35</v>
      </c>
      <c r="C8" s="154"/>
      <c r="D8" s="154">
        <v>18</v>
      </c>
      <c r="E8" s="154">
        <v>4</v>
      </c>
      <c r="F8" s="153" t="str">
        <f t="shared" ref="F8:F86" si="0">IF(ISBLANK(B8),"",IF(I8="L","Baixa",IF(I8="A","Média",IF(I8="","","Alta"))))</f>
        <v>Baixa</v>
      </c>
      <c r="G8" s="154" t="str">
        <f t="shared" ref="G8:G86" si="1">CONCATENATE(B8,I8)</f>
        <v>ALIL</v>
      </c>
      <c r="H8" s="155">
        <f t="shared" ref="H8:H86" si="2">IF(ISBLANK(B8),"",IF(B8="ALI",IF(I8="L",7,IF(I8="A",10,15)),IF(B8="AIE",IF(I8="L",5,IF(I8="A",7,10)),IF(B8="SE",IF(I8="L",4,IF(I8="A",5,7)),IF(OR(B8="EE",B8="CE"),IF(I8="L",3,IF(I8="A",4,6)),0)))))</f>
        <v>7</v>
      </c>
      <c r="I8" s="156" t="str">
        <f t="shared" ref="I8:I86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L</v>
      </c>
      <c r="J8" s="154" t="str">
        <f t="shared" ref="J8:J86" si="4">CONCATENATE(B8,C8)</f>
        <v>ALI</v>
      </c>
      <c r="K8" s="157">
        <f t="shared" ref="K8:K88" si="5">IF(OR(H8="",H8=0),L8,H8)</f>
        <v>7</v>
      </c>
      <c r="L8" s="157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66"/>
      <c r="N8" s="166"/>
      <c r="O8" s="167"/>
    </row>
    <row r="9" spans="1:15" x14ac:dyDescent="0.2">
      <c r="A9" s="165" t="s">
        <v>198</v>
      </c>
      <c r="B9" s="154" t="s">
        <v>35</v>
      </c>
      <c r="C9" s="154"/>
      <c r="D9" s="154">
        <v>6</v>
      </c>
      <c r="E9" s="154">
        <v>1</v>
      </c>
      <c r="F9" s="153" t="str">
        <f t="shared" ref="F9:F16" si="6">IF(ISBLANK(B9),"",IF(I9="L","Baixa",IF(I9="A","Média",IF(I9="","","Alta"))))</f>
        <v>Baixa</v>
      </c>
      <c r="G9" s="154" t="str">
        <f t="shared" ref="G9:G16" si="7">CONCATENATE(B9,I9)</f>
        <v>ALIL</v>
      </c>
      <c r="H9" s="155">
        <f t="shared" ref="H9:H16" si="8">IF(ISBLANK(B9),"",IF(B9="ALI",IF(I9="L",7,IF(I9="A",10,15)),IF(B9="AIE",IF(I9="L",5,IF(I9="A",7,10)),IF(B9="SE",IF(I9="L",4,IF(I9="A",5,7)),IF(OR(B9="EE",B9="CE"),IF(I9="L",3,IF(I9="A",4,6)),0)))))</f>
        <v>7</v>
      </c>
      <c r="I9" s="156" t="str">
        <f t="shared" ref="I9:I16" si="9">IF(OR(ISBLANK(D9),ISBLANK(E9)),IF(OR(B9="ALI",B9="AIE"),"L",IF(OR(B9="EE",B9="SE",B9="CE"),"A","")),IF(B9="EE",IF(E9&gt;=3,IF(D9&gt;=5,"H","A"),IF(E9&gt;=2,IF(D9&gt;=16,"H",IF(D9&lt;=4,"L","A")),IF(D9&lt;=15,"L","A"))),IF(OR(B9="SE",B9="CE"),IF(E9&gt;=4,IF(D9&gt;=6,"H","A"),IF(E9&gt;=2,IF(D9&gt;=20,"H",IF(D9&lt;=5,"L","A")),IF(D9&lt;=19,"L","A"))),IF(OR(B9="ALI",B9="AIE"),IF(E9&gt;=6,IF(D9&gt;=20,"H","A"),IF(E9&gt;=2,IF(D9&gt;=51,"H",IF(D9&lt;=19,"L","A")),IF(D9&lt;=50,"L","A"))),""))))</f>
        <v>L</v>
      </c>
      <c r="J9" s="154" t="str">
        <f t="shared" ref="J9:J16" si="10">CONCATENATE(B9,C9)</f>
        <v>ALI</v>
      </c>
      <c r="K9" s="157">
        <f t="shared" ref="K9:K16" si="11">IF(OR(H9="",H9=0),L9,H9)</f>
        <v>7</v>
      </c>
      <c r="L9" s="157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66"/>
      <c r="N9" s="166"/>
      <c r="O9" s="167"/>
    </row>
    <row r="10" spans="1:15" x14ac:dyDescent="0.2">
      <c r="A10" s="165" t="s">
        <v>199</v>
      </c>
      <c r="B10" s="154" t="s">
        <v>35</v>
      </c>
      <c r="C10" s="154"/>
      <c r="D10" s="154">
        <v>3</v>
      </c>
      <c r="E10" s="154">
        <v>1</v>
      </c>
      <c r="F10" s="153" t="str">
        <f t="shared" si="6"/>
        <v>Baixa</v>
      </c>
      <c r="G10" s="154" t="str">
        <f t="shared" si="7"/>
        <v>ALIL</v>
      </c>
      <c r="H10" s="155">
        <f t="shared" si="8"/>
        <v>7</v>
      </c>
      <c r="I10" s="156" t="str">
        <f t="shared" si="9"/>
        <v>L</v>
      </c>
      <c r="J10" s="154" t="str">
        <f t="shared" si="10"/>
        <v>ALI</v>
      </c>
      <c r="K10" s="157">
        <f t="shared" si="11"/>
        <v>7</v>
      </c>
      <c r="L10" s="157" t="str">
        <f>IF(NOT(ISERROR(VLOOKUP(B10,Deflatores!G$42:H$64,2,FALSE))),VLOOKUP(B10,Deflatores!G$42:H$64,2,FALSE),IF(OR(ISBLANK(C10),ISBLANK(B10)),"",VLOOKUP(C10,Deflatores!G$4:H$38,2,FALSE)*H10+VLOOKUP(C10,Deflatores!G$4:I$38,3,FALSE)))</f>
        <v/>
      </c>
      <c r="M10" s="166"/>
      <c r="N10" s="166"/>
      <c r="O10" s="167"/>
    </row>
    <row r="11" spans="1:15" x14ac:dyDescent="0.2">
      <c r="A11" s="165" t="s">
        <v>200</v>
      </c>
      <c r="B11" s="154" t="s">
        <v>35</v>
      </c>
      <c r="C11" s="154"/>
      <c r="D11" s="154">
        <v>19</v>
      </c>
      <c r="E11" s="154">
        <v>1</v>
      </c>
      <c r="F11" s="153" t="str">
        <f t="shared" si="6"/>
        <v>Baixa</v>
      </c>
      <c r="G11" s="154" t="str">
        <f t="shared" si="7"/>
        <v>ALIL</v>
      </c>
      <c r="H11" s="155">
        <f t="shared" si="8"/>
        <v>7</v>
      </c>
      <c r="I11" s="156" t="str">
        <f t="shared" si="9"/>
        <v>L</v>
      </c>
      <c r="J11" s="154" t="str">
        <f t="shared" si="10"/>
        <v>ALI</v>
      </c>
      <c r="K11" s="157">
        <f t="shared" si="11"/>
        <v>7</v>
      </c>
      <c r="L11" s="157" t="str">
        <f>IF(NOT(ISERROR(VLOOKUP(B11,Deflatores!G$42:H$64,2,FALSE))),VLOOKUP(B11,Deflatores!G$42:H$64,2,FALSE),IF(OR(ISBLANK(C11),ISBLANK(B11)),"",VLOOKUP(C11,Deflatores!G$4:H$38,2,FALSE)*H11+VLOOKUP(C11,Deflatores!G$4:I$38,3,FALSE)))</f>
        <v/>
      </c>
      <c r="M11" s="166"/>
      <c r="N11" s="166"/>
      <c r="O11" s="167"/>
    </row>
    <row r="12" spans="1:15" x14ac:dyDescent="0.2">
      <c r="A12" s="165" t="s">
        <v>201</v>
      </c>
      <c r="B12" s="154" t="s">
        <v>35</v>
      </c>
      <c r="C12" s="154"/>
      <c r="D12" s="154">
        <v>2</v>
      </c>
      <c r="E12" s="154">
        <v>1</v>
      </c>
      <c r="F12" s="153" t="str">
        <f t="shared" si="6"/>
        <v>Baixa</v>
      </c>
      <c r="G12" s="154" t="str">
        <f t="shared" si="7"/>
        <v>ALIL</v>
      </c>
      <c r="H12" s="155">
        <f t="shared" si="8"/>
        <v>7</v>
      </c>
      <c r="I12" s="156" t="str">
        <f t="shared" si="9"/>
        <v>L</v>
      </c>
      <c r="J12" s="154" t="str">
        <f t="shared" si="10"/>
        <v>ALI</v>
      </c>
      <c r="K12" s="157">
        <f t="shared" si="11"/>
        <v>7</v>
      </c>
      <c r="L12" s="157" t="str">
        <f>IF(NOT(ISERROR(VLOOKUP(B12,Deflatores!G$42:H$64,2,FALSE))),VLOOKUP(B12,Deflatores!G$42:H$64,2,FALSE),IF(OR(ISBLANK(C12),ISBLANK(B12)),"",VLOOKUP(C12,Deflatores!G$4:H$38,2,FALSE)*H12+VLOOKUP(C12,Deflatores!G$4:I$38,3,FALSE)))</f>
        <v/>
      </c>
      <c r="M12" s="166"/>
      <c r="N12" s="166"/>
      <c r="O12" s="167"/>
    </row>
    <row r="13" spans="1:15" x14ac:dyDescent="0.2">
      <c r="A13" s="165" t="s">
        <v>196</v>
      </c>
      <c r="B13" s="154" t="s">
        <v>35</v>
      </c>
      <c r="C13" s="154"/>
      <c r="D13" s="154">
        <v>7</v>
      </c>
      <c r="E13" s="154">
        <v>1</v>
      </c>
      <c r="F13" s="153" t="str">
        <f t="shared" si="6"/>
        <v>Baixa</v>
      </c>
      <c r="G13" s="154" t="str">
        <f t="shared" si="7"/>
        <v>ALIL</v>
      </c>
      <c r="H13" s="155">
        <f t="shared" si="8"/>
        <v>7</v>
      </c>
      <c r="I13" s="156" t="str">
        <f t="shared" si="9"/>
        <v>L</v>
      </c>
      <c r="J13" s="154"/>
      <c r="K13" s="157">
        <f t="shared" si="11"/>
        <v>7</v>
      </c>
      <c r="L13" s="157"/>
      <c r="M13" s="166"/>
      <c r="N13" s="166"/>
      <c r="O13" s="167"/>
    </row>
    <row r="14" spans="1:15" x14ac:dyDescent="0.2">
      <c r="A14" s="165" t="s">
        <v>202</v>
      </c>
      <c r="B14" s="154" t="s">
        <v>35</v>
      </c>
      <c r="C14" s="154"/>
      <c r="D14" s="154">
        <v>7</v>
      </c>
      <c r="E14" s="154">
        <v>1</v>
      </c>
      <c r="F14" s="153" t="str">
        <f t="shared" ref="F14:F15" si="12">IF(ISBLANK(B14),"",IF(I14="L","Baixa",IF(I14="A","Média",IF(I14="","","Alta"))))</f>
        <v>Baixa</v>
      </c>
      <c r="G14" s="154" t="str">
        <f t="shared" ref="G14:G15" si="13">CONCATENATE(B14,I14)</f>
        <v>ALIL</v>
      </c>
      <c r="H14" s="155">
        <f t="shared" ref="H14:H15" si="14">IF(ISBLANK(B14),"",IF(B14="ALI",IF(I14="L",7,IF(I14="A",10,15)),IF(B14="AIE",IF(I14="L",5,IF(I14="A",7,10)),IF(B14="SE",IF(I14="L",4,IF(I14="A",5,7)),IF(OR(B14="EE",B14="CE"),IF(I14="L",3,IF(I14="A",4,6)),0)))))</f>
        <v>7</v>
      </c>
      <c r="I14" s="156" t="str">
        <f t="shared" ref="I14:I15" si="15">IF(OR(ISBLANK(D14),ISBLANK(E14)),IF(OR(B14="ALI",B14="AIE"),"L",IF(OR(B14="EE",B14="SE",B14="CE"),"A","")),IF(B14="EE",IF(E14&gt;=3,IF(D14&gt;=5,"H","A"),IF(E14&gt;=2,IF(D14&gt;=16,"H",IF(D14&lt;=4,"L","A")),IF(D14&lt;=15,"L","A"))),IF(OR(B14="SE",B14="CE"),IF(E14&gt;=4,IF(D14&gt;=6,"H","A"),IF(E14&gt;=2,IF(D14&gt;=20,"H",IF(D14&lt;=5,"L","A")),IF(D14&lt;=19,"L","A"))),IF(OR(B14="ALI",B14="AIE"),IF(E14&gt;=6,IF(D14&gt;=20,"H","A"),IF(E14&gt;=2,IF(D14&gt;=51,"H",IF(D14&lt;=19,"L","A")),IF(D14&lt;=50,"L","A"))),""))))</f>
        <v>L</v>
      </c>
      <c r="J14" s="154" t="str">
        <f t="shared" ref="J14:J15" si="16">CONCATENATE(B14,C14)</f>
        <v>ALI</v>
      </c>
      <c r="K14" s="157">
        <f t="shared" ref="K14:K15" si="17">IF(OR(H14="",H14=0),L14,H14)</f>
        <v>7</v>
      </c>
      <c r="L14" s="157" t="str">
        <f>IF(NOT(ISERROR(VLOOKUP(B14,Deflatores!G$42:H$64,2,FALSE))),VLOOKUP(B14,Deflatores!G$42:H$64,2,FALSE),IF(OR(ISBLANK(C14),ISBLANK(B14)),"",VLOOKUP(C14,Deflatores!G$4:H$38,2,FALSE)*H14+VLOOKUP(C14,Deflatores!G$4:I$38,3,FALSE)))</f>
        <v/>
      </c>
      <c r="M14" s="166"/>
      <c r="N14" s="166"/>
      <c r="O14" s="167"/>
    </row>
    <row r="15" spans="1:15" x14ac:dyDescent="0.2">
      <c r="A15" s="165" t="s">
        <v>203</v>
      </c>
      <c r="B15" s="154" t="s">
        <v>35</v>
      </c>
      <c r="C15" s="154"/>
      <c r="D15" s="154">
        <v>4</v>
      </c>
      <c r="E15" s="154">
        <v>1</v>
      </c>
      <c r="F15" s="153" t="str">
        <f t="shared" si="12"/>
        <v>Baixa</v>
      </c>
      <c r="G15" s="154" t="str">
        <f t="shared" si="13"/>
        <v>ALIL</v>
      </c>
      <c r="H15" s="155">
        <f t="shared" si="14"/>
        <v>7</v>
      </c>
      <c r="I15" s="156" t="str">
        <f t="shared" si="15"/>
        <v>L</v>
      </c>
      <c r="J15" s="154" t="str">
        <f t="shared" si="16"/>
        <v>ALI</v>
      </c>
      <c r="K15" s="157">
        <f t="shared" si="17"/>
        <v>7</v>
      </c>
      <c r="L15" s="157" t="str">
        <f>IF(NOT(ISERROR(VLOOKUP(B15,Deflatores!G$42:H$64,2,FALSE))),VLOOKUP(B15,Deflatores!G$42:H$64,2,FALSE),IF(OR(ISBLANK(C15),ISBLANK(B15)),"",VLOOKUP(C15,Deflatores!G$4:H$38,2,FALSE)*H15+VLOOKUP(C15,Deflatores!G$4:I$38,3,FALSE)))</f>
        <v/>
      </c>
      <c r="M15" s="166"/>
      <c r="N15" s="166"/>
      <c r="O15" s="167"/>
    </row>
    <row r="16" spans="1:15" x14ac:dyDescent="0.2">
      <c r="A16" s="160" t="s">
        <v>192</v>
      </c>
      <c r="B16" s="168" t="s">
        <v>37</v>
      </c>
      <c r="C16" s="168"/>
      <c r="D16" s="168">
        <v>10</v>
      </c>
      <c r="E16" s="168">
        <v>1</v>
      </c>
      <c r="F16" s="169" t="str">
        <f t="shared" si="6"/>
        <v>Baixa</v>
      </c>
      <c r="G16" s="168" t="str">
        <f t="shared" si="7"/>
        <v>CEL</v>
      </c>
      <c r="H16" s="168">
        <f t="shared" si="8"/>
        <v>3</v>
      </c>
      <c r="I16" s="169" t="str">
        <f t="shared" si="9"/>
        <v>L</v>
      </c>
      <c r="J16" s="168" t="str">
        <f t="shared" si="10"/>
        <v>CE</v>
      </c>
      <c r="K16" s="170">
        <f t="shared" si="11"/>
        <v>3</v>
      </c>
      <c r="L16" s="170" t="str">
        <f>IF(NOT(ISERROR(VLOOKUP(B16,Deflatores!G$42:H$64,2,FALSE))),VLOOKUP(B16,Deflatores!G$42:H$64,2,FALSE),IF(OR(ISBLANK(C16),ISBLANK(B16)),"",VLOOKUP(C16,Deflatores!G$4:H$38,2,FALSE)*H16+VLOOKUP(C16,Deflatores!G$4:I$38,3,FALSE)))</f>
        <v/>
      </c>
      <c r="M16" s="171"/>
      <c r="N16" s="171"/>
      <c r="O16" s="172"/>
    </row>
    <row r="17" spans="1:15" x14ac:dyDescent="0.2">
      <c r="A17" s="160" t="s">
        <v>193</v>
      </c>
      <c r="B17" s="168" t="s">
        <v>37</v>
      </c>
      <c r="C17" s="168"/>
      <c r="D17" s="168">
        <v>15</v>
      </c>
      <c r="E17" s="168">
        <v>1</v>
      </c>
      <c r="F17" s="169" t="str">
        <f t="shared" ref="F17" si="18">IF(ISBLANK(B17),"",IF(I17="L","Baixa",IF(I17="A","Média",IF(I17="","","Alta"))))</f>
        <v>Baixa</v>
      </c>
      <c r="G17" s="168" t="str">
        <f t="shared" ref="G17" si="19">CONCATENATE(B17,I17)</f>
        <v>CEL</v>
      </c>
      <c r="H17" s="168">
        <f t="shared" ref="H17" si="20">IF(ISBLANK(B17),"",IF(B17="ALI",IF(I17="L",7,IF(I17="A",10,15)),IF(B17="AIE",IF(I17="L",5,IF(I17="A",7,10)),IF(B17="SE",IF(I17="L",4,IF(I17="A",5,7)),IF(OR(B17="EE",B17="CE"),IF(I17="L",3,IF(I17="A",4,6)),0)))))</f>
        <v>3</v>
      </c>
      <c r="I17" s="169" t="str">
        <f t="shared" ref="I17" si="21">IF(OR(ISBLANK(D17),ISBLANK(E17)),IF(OR(B17="ALI",B17="AIE"),"L",IF(OR(B17="EE",B17="SE",B17="CE"),"A","")),IF(B17="EE",IF(E17&gt;=3,IF(D17&gt;=5,"H","A"),IF(E17&gt;=2,IF(D17&gt;=16,"H",IF(D17&lt;=4,"L","A")),IF(D17&lt;=15,"L","A"))),IF(OR(B17="SE",B17="CE"),IF(E17&gt;=4,IF(D17&gt;=6,"H","A"),IF(E17&gt;=2,IF(D17&gt;=20,"H",IF(D17&lt;=5,"L","A")),IF(D17&lt;=19,"L","A"))),IF(OR(B17="ALI",B17="AIE"),IF(E17&gt;=6,IF(D17&gt;=20,"H","A"),IF(E17&gt;=2,IF(D17&gt;=51,"H",IF(D17&lt;=19,"L","A")),IF(D17&lt;=50,"L","A"))),""))))</f>
        <v>L</v>
      </c>
      <c r="J17" s="168" t="str">
        <f t="shared" ref="J17" si="22">CONCATENATE(B17,C17)</f>
        <v>CE</v>
      </c>
      <c r="K17" s="170">
        <f t="shared" ref="K17" si="23">IF(OR(H17="",H17=0),L17,H17)</f>
        <v>3</v>
      </c>
      <c r="L17" s="170" t="str">
        <f>IF(NOT(ISERROR(VLOOKUP(B17,Deflatores!G$42:H$64,2,FALSE))),VLOOKUP(B17,Deflatores!G$42:H$64,2,FALSE),IF(OR(ISBLANK(C17),ISBLANK(B17)),"",VLOOKUP(C17,Deflatores!G$4:H$38,2,FALSE)*H17+VLOOKUP(C17,Deflatores!G$4:I$38,3,FALSE)))</f>
        <v/>
      </c>
      <c r="M17" s="171"/>
      <c r="N17" s="171"/>
      <c r="O17" s="172"/>
    </row>
    <row r="18" spans="1:15" x14ac:dyDescent="0.2">
      <c r="A18" s="160" t="s">
        <v>179</v>
      </c>
      <c r="B18" s="168" t="s">
        <v>38</v>
      </c>
      <c r="C18" s="168"/>
      <c r="D18" s="168">
        <v>10</v>
      </c>
      <c r="E18" s="168">
        <v>1</v>
      </c>
      <c r="F18" s="169" t="str">
        <f t="shared" si="0"/>
        <v>Baixa</v>
      </c>
      <c r="G18" s="168" t="str">
        <f t="shared" si="1"/>
        <v>EEL</v>
      </c>
      <c r="H18" s="168">
        <f t="shared" si="2"/>
        <v>3</v>
      </c>
      <c r="I18" s="169" t="str">
        <f t="shared" si="3"/>
        <v>L</v>
      </c>
      <c r="J18" s="168" t="str">
        <f t="shared" si="4"/>
        <v>EE</v>
      </c>
      <c r="K18" s="170">
        <f t="shared" ref="K18" si="24">IF(OR(H18="",H18=0),L18,H18)</f>
        <v>3</v>
      </c>
      <c r="L18" s="170" t="str">
        <f>IF(NOT(ISERROR(VLOOKUP(B18,Deflatores!G$42:H$64,2,FALSE))),VLOOKUP(B18,Deflatores!G$42:H$64,2,FALSE),IF(OR(ISBLANK(C18),ISBLANK(B18)),"",VLOOKUP(C18,Deflatores!G$4:H$38,2,FALSE)*H18+VLOOKUP(C18,Deflatores!G$4:I$38,3,FALSE)))</f>
        <v/>
      </c>
      <c r="M18" s="171"/>
      <c r="N18" s="171"/>
      <c r="O18" s="172"/>
    </row>
    <row r="19" spans="1:15" x14ac:dyDescent="0.2">
      <c r="A19" s="160" t="s">
        <v>181</v>
      </c>
      <c r="B19" s="168" t="s">
        <v>38</v>
      </c>
      <c r="C19" s="168"/>
      <c r="D19" s="168">
        <v>10</v>
      </c>
      <c r="E19" s="168">
        <v>1</v>
      </c>
      <c r="F19" s="169" t="str">
        <f t="shared" si="0"/>
        <v>Baixa</v>
      </c>
      <c r="G19" s="168" t="str">
        <f t="shared" si="1"/>
        <v>EEL</v>
      </c>
      <c r="H19" s="168">
        <f t="shared" si="2"/>
        <v>3</v>
      </c>
      <c r="I19" s="169" t="str">
        <f t="shared" si="3"/>
        <v>L</v>
      </c>
      <c r="J19" s="168" t="str">
        <f t="shared" si="4"/>
        <v>EE</v>
      </c>
      <c r="K19" s="170">
        <f t="shared" ref="K19:K31" si="25">IF(OR(H19="",H19=0),L19,H19)</f>
        <v>3</v>
      </c>
      <c r="L19" s="170" t="str">
        <f>IF(NOT(ISERROR(VLOOKUP(B19,Deflatores!G$42:H$64,2,FALSE))),VLOOKUP(B19,Deflatores!G$42:H$64,2,FALSE),IF(OR(ISBLANK(C19),ISBLANK(B19)),"",VLOOKUP(C19,Deflatores!G$4:H$38,2,FALSE)*H19+VLOOKUP(C19,Deflatores!G$4:I$38,3,FALSE)))</f>
        <v/>
      </c>
      <c r="M19" s="171"/>
      <c r="N19" s="171"/>
      <c r="O19" s="172"/>
    </row>
    <row r="20" spans="1:15" x14ac:dyDescent="0.2">
      <c r="A20" s="160" t="s">
        <v>180</v>
      </c>
      <c r="B20" s="168" t="s">
        <v>38</v>
      </c>
      <c r="C20" s="168"/>
      <c r="D20" s="168">
        <v>10</v>
      </c>
      <c r="E20" s="168">
        <v>1</v>
      </c>
      <c r="F20" s="169" t="str">
        <f t="shared" si="0"/>
        <v>Baixa</v>
      </c>
      <c r="G20" s="168" t="str">
        <f t="shared" si="1"/>
        <v>EEL</v>
      </c>
      <c r="H20" s="168">
        <f t="shared" si="2"/>
        <v>3</v>
      </c>
      <c r="I20" s="169" t="str">
        <f t="shared" si="3"/>
        <v>L</v>
      </c>
      <c r="J20" s="168"/>
      <c r="K20" s="170">
        <f t="shared" si="25"/>
        <v>3</v>
      </c>
      <c r="L20" s="170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171"/>
      <c r="N20" s="171"/>
      <c r="O20" s="172"/>
    </row>
    <row r="21" spans="1:15" x14ac:dyDescent="0.2">
      <c r="A21" s="165" t="s">
        <v>191</v>
      </c>
      <c r="B21" s="154" t="s">
        <v>38</v>
      </c>
      <c r="C21" s="154"/>
      <c r="D21" s="154">
        <v>3</v>
      </c>
      <c r="E21" s="154">
        <v>1</v>
      </c>
      <c r="F21" s="153" t="str">
        <f t="shared" ref="F21:F23" si="26">IF(ISBLANK(B21),"",IF(I21="L","Baixa",IF(I21="A","Média",IF(I21="","","Alta"))))</f>
        <v>Baixa</v>
      </c>
      <c r="G21" s="154" t="str">
        <f t="shared" ref="G21:G22" si="27">CONCATENATE(B21,I21)</f>
        <v>EEL</v>
      </c>
      <c r="H21" s="155">
        <f t="shared" ref="H21:H22" si="28">IF(ISBLANK(B21),"",IF(B21="ALI",IF(I21="L",7,IF(I21="A",10,15)),IF(B21="AIE",IF(I21="L",5,IF(I21="A",7,10)),IF(B21="SE",IF(I21="L",4,IF(I21="A",5,7)),IF(OR(B21="EE",B21="CE"),IF(I21="L",3,IF(I21="A",4,6)),0)))))</f>
        <v>3</v>
      </c>
      <c r="I21" s="156" t="str">
        <f t="shared" ref="I21:I22" si="29">IF(OR(ISBLANK(D21),ISBLANK(E21)),IF(OR(B21="ALI",B21="AIE"),"L",IF(OR(B21="EE",B21="SE",B21="CE"),"A","")),IF(B21="EE",IF(E21&gt;=3,IF(D21&gt;=5,"H","A"),IF(E21&gt;=2,IF(D21&gt;=16,"H",IF(D21&lt;=4,"L","A")),IF(D21&lt;=15,"L","A"))),IF(OR(B21="SE",B21="CE"),IF(E21&gt;=4,IF(D21&gt;=6,"H","A"),IF(E21&gt;=2,IF(D21&gt;=20,"H",IF(D21&lt;=5,"L","A")),IF(D21&lt;=19,"L","A"))),IF(OR(B21="ALI",B21="AIE"),IF(E21&gt;=6,IF(D21&gt;=20,"H","A"),IF(E21&gt;=2,IF(D21&gt;=51,"H",IF(D21&lt;=19,"L","A")),IF(D21&lt;=50,"L","A"))),""))))</f>
        <v>L</v>
      </c>
      <c r="J21" s="154"/>
      <c r="K21" s="157">
        <f t="shared" si="25"/>
        <v>3</v>
      </c>
      <c r="L21" s="157" t="str">
        <f>IF(NOT(ISERROR(VLOOKUP(B21,Deflatores!G$42:H$64,2,FALSE))),VLOOKUP(B21,Deflatores!G$42:H$64,2,FALSE),IF(OR(ISBLANK(C21),ISBLANK(B21)),"",VLOOKUP(C21,Deflatores!G$4:H$38,2,FALSE)*H21+VLOOKUP(C21,Deflatores!G$4:I$38,3,FALSE)))</f>
        <v/>
      </c>
      <c r="M21" s="166"/>
      <c r="N21" s="166"/>
      <c r="O21" s="167"/>
    </row>
    <row r="22" spans="1:15" x14ac:dyDescent="0.2">
      <c r="A22" s="165" t="s">
        <v>211</v>
      </c>
      <c r="B22" s="154" t="s">
        <v>38</v>
      </c>
      <c r="C22" s="154"/>
      <c r="D22" s="154">
        <v>3</v>
      </c>
      <c r="E22" s="154">
        <v>2</v>
      </c>
      <c r="F22" s="153" t="str">
        <f t="shared" si="26"/>
        <v>Baixa</v>
      </c>
      <c r="G22" s="154" t="str">
        <f t="shared" si="27"/>
        <v>EEL</v>
      </c>
      <c r="H22" s="155">
        <f t="shared" si="28"/>
        <v>3</v>
      </c>
      <c r="I22" s="156" t="str">
        <f t="shared" si="29"/>
        <v>L</v>
      </c>
      <c r="J22" s="154"/>
      <c r="K22" s="157">
        <f t="shared" si="25"/>
        <v>3</v>
      </c>
      <c r="L22" s="157" t="str">
        <f>IF(NOT(ISERROR(VLOOKUP(B22,Deflatores!G$42:H$64,2,FALSE))),VLOOKUP(B22,Deflatores!G$42:H$64,2,FALSE),IF(OR(ISBLANK(C22),ISBLANK(B22)),"",VLOOKUP(C22,Deflatores!G$4:H$38,2,FALSE)*H22+VLOOKUP(C22,Deflatores!G$4:I$38,3,FALSE)))</f>
        <v/>
      </c>
      <c r="M22" s="166"/>
      <c r="N22" s="166"/>
      <c r="O22" s="167"/>
    </row>
    <row r="23" spans="1:15" x14ac:dyDescent="0.2">
      <c r="A23" s="165" t="s">
        <v>194</v>
      </c>
      <c r="B23" s="154" t="s">
        <v>37</v>
      </c>
      <c r="C23" s="154"/>
      <c r="D23" s="154">
        <v>3</v>
      </c>
      <c r="E23" s="154">
        <v>1</v>
      </c>
      <c r="F23" s="153" t="str">
        <f t="shared" si="26"/>
        <v>Baixa</v>
      </c>
      <c r="G23" s="154"/>
      <c r="H23" s="155">
        <f t="shared" ref="H23" si="30">IF(ISBLANK(B23),"",IF(B23="ALI",IF(I23="L",7,IF(I23="A",10,15)),IF(B23="AIE",IF(I23="L",5,IF(I23="A",7,10)),IF(B23="SE",IF(I23="L",4,IF(I23="A",5,7)),IF(OR(B23="EE",B23="CE"),IF(I23="L",3,IF(I23="A",4,6)),0)))))</f>
        <v>3</v>
      </c>
      <c r="I23" s="156" t="str">
        <f t="shared" ref="I23" si="31">IF(OR(ISBLANK(D23),ISBLANK(E23)),IF(OR(B23="ALI",B23="AIE"),"L",IF(OR(B23="EE",B23="SE",B23="CE"),"A","")),IF(B23="EE",IF(E23&gt;=3,IF(D23&gt;=5,"H","A"),IF(E23&gt;=2,IF(D23&gt;=16,"H",IF(D23&lt;=4,"L","A")),IF(D23&lt;=15,"L","A"))),IF(OR(B23="SE",B23="CE"),IF(E23&gt;=4,IF(D23&gt;=6,"H","A"),IF(E23&gt;=2,IF(D23&gt;=20,"H",IF(D23&lt;=5,"L","A")),IF(D23&lt;=19,"L","A"))),IF(OR(B23="ALI",B23="AIE"),IF(E23&gt;=6,IF(D23&gt;=20,"H","A"),IF(E23&gt;=2,IF(D23&gt;=51,"H",IF(D23&lt;=19,"L","A")),IF(D23&lt;=50,"L","A"))),""))))</f>
        <v>L</v>
      </c>
      <c r="J23" s="154"/>
      <c r="K23" s="157">
        <f t="shared" si="25"/>
        <v>3</v>
      </c>
      <c r="L23" s="157" t="str">
        <f>IF(NOT(ISERROR(VLOOKUP(B23,Deflatores!G$42:H$64,2,FALSE))),VLOOKUP(B23,Deflatores!G$42:H$64,2,FALSE),IF(OR(ISBLANK(C23),ISBLANK(B23)),"",VLOOKUP(C23,Deflatores!G$4:H$38,2,FALSE)*H23+VLOOKUP(C23,Deflatores!G$4:I$38,3,FALSE)))</f>
        <v/>
      </c>
      <c r="M23" s="166"/>
      <c r="N23" s="166"/>
      <c r="O23" s="167"/>
    </row>
    <row r="24" spans="1:15" x14ac:dyDescent="0.2">
      <c r="A24" s="160" t="s">
        <v>185</v>
      </c>
      <c r="B24" s="168" t="s">
        <v>37</v>
      </c>
      <c r="C24" s="168"/>
      <c r="D24" s="168">
        <v>3</v>
      </c>
      <c r="E24" s="168">
        <v>1</v>
      </c>
      <c r="F24" s="169" t="str">
        <f t="shared" si="0"/>
        <v>Baixa</v>
      </c>
      <c r="G24" s="168" t="str">
        <f t="shared" si="1"/>
        <v>CEL</v>
      </c>
      <c r="H24" s="168">
        <f t="shared" si="2"/>
        <v>3</v>
      </c>
      <c r="I24" s="169" t="str">
        <f t="shared" si="3"/>
        <v>L</v>
      </c>
      <c r="J24" s="168" t="str">
        <f t="shared" si="4"/>
        <v>CE</v>
      </c>
      <c r="K24" s="170">
        <f t="shared" si="25"/>
        <v>3</v>
      </c>
      <c r="L24" s="170" t="str">
        <f>IF(NOT(ISERROR(VLOOKUP(B24,Deflatores!G$42:H$64,2,FALSE))),VLOOKUP(B24,Deflatores!G$42:H$64,2,FALSE),IF(OR(ISBLANK(C24),ISBLANK(B24)),"",VLOOKUP(C24,Deflatores!G$4:H$38,2,FALSE)*H24+VLOOKUP(C24,Deflatores!G$4:I$38,3,FALSE)))</f>
        <v/>
      </c>
      <c r="M24" s="171"/>
      <c r="N24" s="171"/>
      <c r="O24" s="172"/>
    </row>
    <row r="25" spans="1:15" x14ac:dyDescent="0.2">
      <c r="A25" s="160" t="s">
        <v>182</v>
      </c>
      <c r="B25" s="168" t="s">
        <v>38</v>
      </c>
      <c r="C25" s="168"/>
      <c r="D25" s="168">
        <v>3</v>
      </c>
      <c r="E25" s="168">
        <v>1</v>
      </c>
      <c r="F25" s="169" t="str">
        <f t="shared" si="0"/>
        <v>Baixa</v>
      </c>
      <c r="G25" s="168" t="str">
        <f t="shared" si="1"/>
        <v>EEL</v>
      </c>
      <c r="H25" s="168">
        <f t="shared" si="2"/>
        <v>3</v>
      </c>
      <c r="I25" s="169" t="str">
        <f t="shared" si="3"/>
        <v>L</v>
      </c>
      <c r="J25" s="168" t="str">
        <f t="shared" si="4"/>
        <v>EE</v>
      </c>
      <c r="K25" s="170">
        <f t="shared" si="25"/>
        <v>3</v>
      </c>
      <c r="L25" s="170" t="str">
        <f>IF(NOT(ISERROR(VLOOKUP(B25,Deflatores!G$42:H$64,2,FALSE))),VLOOKUP(B25,Deflatores!G$42:H$64,2,FALSE),IF(OR(ISBLANK(C25),ISBLANK(B25)),"",VLOOKUP(C25,Deflatores!G$4:H$38,2,FALSE)*H25+VLOOKUP(C25,Deflatores!G$4:I$38,3,FALSE)))</f>
        <v/>
      </c>
      <c r="M25" s="171"/>
      <c r="N25" s="171"/>
      <c r="O25" s="172"/>
    </row>
    <row r="26" spans="1:15" x14ac:dyDescent="0.2">
      <c r="A26" s="160" t="s">
        <v>183</v>
      </c>
      <c r="B26" s="168" t="s">
        <v>38</v>
      </c>
      <c r="C26" s="168"/>
      <c r="D26" s="168">
        <v>3</v>
      </c>
      <c r="E26" s="168">
        <v>1</v>
      </c>
      <c r="F26" s="169" t="str">
        <f t="shared" si="0"/>
        <v>Baixa</v>
      </c>
      <c r="G26" s="168" t="str">
        <f t="shared" si="1"/>
        <v>EEL</v>
      </c>
      <c r="H26" s="168">
        <f t="shared" si="2"/>
        <v>3</v>
      </c>
      <c r="I26" s="169" t="str">
        <f t="shared" si="3"/>
        <v>L</v>
      </c>
      <c r="J26" s="168" t="str">
        <f t="shared" si="4"/>
        <v>EE</v>
      </c>
      <c r="K26" s="170">
        <f t="shared" si="25"/>
        <v>3</v>
      </c>
      <c r="L26" s="170" t="str">
        <f>IF(NOT(ISERROR(VLOOKUP(B26,Deflatores!G$42:H$64,2,FALSE))),VLOOKUP(B26,Deflatores!G$42:H$64,2,FALSE),IF(OR(ISBLANK(C26),ISBLANK(B26)),"",VLOOKUP(C26,Deflatores!G$4:H$38,2,FALSE)*H26+VLOOKUP(C26,Deflatores!G$4:I$38,3,FALSE)))</f>
        <v/>
      </c>
      <c r="M26" s="171"/>
      <c r="N26" s="171"/>
      <c r="O26" s="172"/>
    </row>
    <row r="27" spans="1:15" x14ac:dyDescent="0.2">
      <c r="A27" s="160" t="s">
        <v>184</v>
      </c>
      <c r="B27" s="168" t="s">
        <v>38</v>
      </c>
      <c r="C27" s="168"/>
      <c r="D27" s="168">
        <v>3</v>
      </c>
      <c r="E27" s="168">
        <v>1</v>
      </c>
      <c r="F27" s="169" t="str">
        <f t="shared" si="0"/>
        <v>Baixa</v>
      </c>
      <c r="G27" s="168" t="str">
        <f t="shared" si="1"/>
        <v>EEL</v>
      </c>
      <c r="H27" s="168">
        <f t="shared" si="2"/>
        <v>3</v>
      </c>
      <c r="I27" s="169" t="str">
        <f t="shared" si="3"/>
        <v>L</v>
      </c>
      <c r="J27" s="168" t="str">
        <f t="shared" si="4"/>
        <v>EE</v>
      </c>
      <c r="K27" s="170">
        <f t="shared" si="25"/>
        <v>3</v>
      </c>
      <c r="L27" s="170" t="str">
        <f>IF(NOT(ISERROR(VLOOKUP(B27,Deflatores!G$42:H$64,2,FALSE))),VLOOKUP(B27,Deflatores!G$42:H$64,2,FALSE),IF(OR(ISBLANK(C27),ISBLANK(B27)),"",VLOOKUP(C27,Deflatores!G$4:H$38,2,FALSE)*H27+VLOOKUP(C27,Deflatores!G$4:I$38,3,FALSE)))</f>
        <v/>
      </c>
      <c r="M27" s="171"/>
      <c r="N27" s="171"/>
      <c r="O27" s="172"/>
    </row>
    <row r="28" spans="1:15" x14ac:dyDescent="0.2">
      <c r="A28" s="165" t="s">
        <v>195</v>
      </c>
      <c r="B28" s="154" t="s">
        <v>37</v>
      </c>
      <c r="C28" s="154"/>
      <c r="D28" s="154">
        <v>13</v>
      </c>
      <c r="E28" s="154">
        <v>1</v>
      </c>
      <c r="F28" s="153" t="str">
        <f t="shared" si="0"/>
        <v>Baixa</v>
      </c>
      <c r="G28" s="154" t="str">
        <f t="shared" si="1"/>
        <v>CEL</v>
      </c>
      <c r="H28" s="155">
        <f t="shared" si="2"/>
        <v>3</v>
      </c>
      <c r="I28" s="156" t="str">
        <f t="shared" si="3"/>
        <v>L</v>
      </c>
      <c r="J28" s="154" t="str">
        <f t="shared" si="4"/>
        <v>CE</v>
      </c>
      <c r="K28" s="157">
        <f t="shared" si="25"/>
        <v>3</v>
      </c>
      <c r="L28" s="157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166"/>
      <c r="N28" s="166"/>
      <c r="O28" s="167"/>
    </row>
    <row r="29" spans="1:15" x14ac:dyDescent="0.2">
      <c r="A29" s="165" t="s">
        <v>186</v>
      </c>
      <c r="B29" s="154" t="s">
        <v>38</v>
      </c>
      <c r="C29" s="154"/>
      <c r="D29" s="154">
        <v>13</v>
      </c>
      <c r="E29" s="154">
        <v>1</v>
      </c>
      <c r="F29" s="153" t="str">
        <f t="shared" si="0"/>
        <v>Baixa</v>
      </c>
      <c r="G29" s="154" t="str">
        <f t="shared" si="1"/>
        <v>EEL</v>
      </c>
      <c r="H29" s="155">
        <f t="shared" si="2"/>
        <v>3</v>
      </c>
      <c r="I29" s="156" t="str">
        <f t="shared" si="3"/>
        <v>L</v>
      </c>
      <c r="J29" s="154" t="str">
        <f t="shared" si="4"/>
        <v>EE</v>
      </c>
      <c r="K29" s="157">
        <f t="shared" si="25"/>
        <v>3</v>
      </c>
      <c r="L29" s="157" t="str">
        <f>IF(NOT(ISERROR(VLOOKUP(B29,Deflatores!G$42:H$64,2,FALSE))),VLOOKUP(B29,Deflatores!G$42:H$64,2,FALSE),IF(OR(ISBLANK(C29),ISBLANK(B29)),"",VLOOKUP(C29,Deflatores!G$4:H$38,2,FALSE)*H29+VLOOKUP(C29,Deflatores!G$4:I$38,3,FALSE)))</f>
        <v/>
      </c>
      <c r="M29" s="166"/>
      <c r="N29" s="166"/>
      <c r="O29" s="167"/>
    </row>
    <row r="30" spans="1:15" x14ac:dyDescent="0.2">
      <c r="A30" s="165" t="s">
        <v>187</v>
      </c>
      <c r="B30" s="154" t="s">
        <v>38</v>
      </c>
      <c r="C30" s="154"/>
      <c r="D30" s="154">
        <v>13</v>
      </c>
      <c r="E30" s="154">
        <v>1</v>
      </c>
      <c r="F30" s="153" t="str">
        <f t="shared" si="0"/>
        <v>Baixa</v>
      </c>
      <c r="G30" s="154" t="str">
        <f t="shared" si="1"/>
        <v>EEL</v>
      </c>
      <c r="H30" s="155">
        <f t="shared" si="2"/>
        <v>3</v>
      </c>
      <c r="I30" s="156" t="str">
        <f t="shared" si="3"/>
        <v>L</v>
      </c>
      <c r="J30" s="154" t="str">
        <f t="shared" si="4"/>
        <v>EE</v>
      </c>
      <c r="K30" s="157">
        <f t="shared" si="25"/>
        <v>3</v>
      </c>
      <c r="L30" s="157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166"/>
      <c r="N30" s="166"/>
      <c r="O30" s="167"/>
    </row>
    <row r="31" spans="1:15" x14ac:dyDescent="0.2">
      <c r="A31" s="165" t="s">
        <v>188</v>
      </c>
      <c r="B31" s="154" t="s">
        <v>38</v>
      </c>
      <c r="C31" s="154"/>
      <c r="D31" s="154">
        <v>13</v>
      </c>
      <c r="E31" s="154">
        <v>1</v>
      </c>
      <c r="F31" s="153" t="str">
        <f t="shared" si="0"/>
        <v>Baixa</v>
      </c>
      <c r="G31" s="154" t="str">
        <f t="shared" si="1"/>
        <v>EEL</v>
      </c>
      <c r="H31" s="155">
        <f t="shared" si="2"/>
        <v>3</v>
      </c>
      <c r="I31" s="156" t="str">
        <f t="shared" si="3"/>
        <v>L</v>
      </c>
      <c r="J31" s="154"/>
      <c r="K31" s="157">
        <f t="shared" si="25"/>
        <v>3</v>
      </c>
      <c r="L31" s="157" t="str">
        <f>IF(NOT(ISERROR(VLOOKUP(B31,Deflatores!G$42:H$64,2,FALSE))),VLOOKUP(B31,Deflatores!G$42:H$64,2,FALSE),IF(OR(ISBLANK(C31),ISBLANK(B31)),"",VLOOKUP(C31,Deflatores!G$4:H$38,2,FALSE)*H31+VLOOKUP(C31,Deflatores!G$4:I$38,3,FALSE)))</f>
        <v/>
      </c>
      <c r="M31" s="166"/>
      <c r="N31" s="166"/>
      <c r="O31" s="167"/>
    </row>
    <row r="32" spans="1:15" x14ac:dyDescent="0.2">
      <c r="A32" s="160" t="s">
        <v>204</v>
      </c>
      <c r="B32" s="168" t="s">
        <v>37</v>
      </c>
      <c r="C32" s="168"/>
      <c r="D32" s="168">
        <v>5</v>
      </c>
      <c r="E32" s="168">
        <v>1</v>
      </c>
      <c r="F32" s="169" t="str">
        <f t="shared" si="0"/>
        <v>Baixa</v>
      </c>
      <c r="G32" s="168" t="str">
        <f t="shared" si="1"/>
        <v>CEL</v>
      </c>
      <c r="H32" s="168">
        <f t="shared" si="2"/>
        <v>3</v>
      </c>
      <c r="I32" s="169" t="str">
        <f t="shared" si="3"/>
        <v>L</v>
      </c>
      <c r="J32" s="168" t="str">
        <f t="shared" si="4"/>
        <v>CE</v>
      </c>
      <c r="K32" s="170">
        <f t="shared" ref="K32:K42" si="32">IF(OR(H32="",H32=0),L32,H32)</f>
        <v>3</v>
      </c>
      <c r="L32" s="170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171"/>
      <c r="N32" s="171"/>
      <c r="O32" s="172"/>
    </row>
    <row r="33" spans="1:15" x14ac:dyDescent="0.2">
      <c r="A33" s="160" t="s">
        <v>205</v>
      </c>
      <c r="B33" s="168" t="s">
        <v>38</v>
      </c>
      <c r="C33" s="168"/>
      <c r="D33" s="168">
        <v>5</v>
      </c>
      <c r="E33" s="168">
        <v>2</v>
      </c>
      <c r="F33" s="169" t="str">
        <f t="shared" si="0"/>
        <v>Média</v>
      </c>
      <c r="G33" s="168" t="str">
        <f t="shared" si="1"/>
        <v>EEA</v>
      </c>
      <c r="H33" s="168">
        <f t="shared" si="2"/>
        <v>4</v>
      </c>
      <c r="I33" s="169" t="str">
        <f t="shared" si="3"/>
        <v>A</v>
      </c>
      <c r="J33" s="168"/>
      <c r="K33" s="170">
        <f t="shared" si="32"/>
        <v>4</v>
      </c>
      <c r="L33" s="170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71"/>
      <c r="N33" s="171"/>
      <c r="O33" s="172"/>
    </row>
    <row r="34" spans="1:15" x14ac:dyDescent="0.2">
      <c r="A34" s="160" t="s">
        <v>206</v>
      </c>
      <c r="B34" s="168" t="s">
        <v>38</v>
      </c>
      <c r="C34" s="168"/>
      <c r="D34" s="168">
        <v>5</v>
      </c>
      <c r="E34" s="168">
        <v>1</v>
      </c>
      <c r="F34" s="169" t="str">
        <f t="shared" si="0"/>
        <v>Baixa</v>
      </c>
      <c r="G34" s="168" t="str">
        <f t="shared" si="1"/>
        <v>EEL</v>
      </c>
      <c r="H34" s="168">
        <f t="shared" ref="H34:H35" si="33">IF(ISBLANK(B34),"",IF(B34="ALI",IF(I34="L",7,IF(I34="A",10,15)),IF(B34="AIE",IF(I34="L",5,IF(I34="A",7,10)),IF(B34="SE",IF(I34="L",4,IF(I34="A",5,7)),IF(OR(B34="EE",B34="CE"),IF(I34="L",3,IF(I34="A",4,6)),0)))))</f>
        <v>3</v>
      </c>
      <c r="I34" s="169" t="str">
        <f t="shared" ref="I34:I35" si="34">IF(OR(ISBLANK(D34),ISBLANK(E34)),IF(OR(B34="ALI",B34="AIE"),"L",IF(OR(B34="EE",B34="SE",B34="CE"),"A","")),IF(B34="EE",IF(E34&gt;=3,IF(D34&gt;=5,"H","A"),IF(E34&gt;=2,IF(D34&gt;=16,"H",IF(D34&lt;=4,"L","A")),IF(D34&lt;=15,"L","A"))),IF(OR(B34="SE",B34="CE"),IF(E34&gt;=4,IF(D34&gt;=6,"H","A"),IF(E34&gt;=2,IF(D34&gt;=20,"H",IF(D34&lt;=5,"L","A")),IF(D34&lt;=19,"L","A"))),IF(OR(B34="ALI",B34="AIE"),IF(E34&gt;=6,IF(D34&gt;=20,"H","A"),IF(E34&gt;=2,IF(D34&gt;=51,"H",IF(D34&lt;=19,"L","A")),IF(D34&lt;=50,"L","A"))),""))))</f>
        <v>L</v>
      </c>
      <c r="J34" s="168"/>
      <c r="K34" s="170">
        <f t="shared" ref="K34:K35" si="35">IF(OR(H34="",H34=0),L34,H34)</f>
        <v>3</v>
      </c>
      <c r="L34" s="170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71"/>
      <c r="N34" s="171"/>
      <c r="O34" s="172"/>
    </row>
    <row r="35" spans="1:15" x14ac:dyDescent="0.2">
      <c r="A35" s="160" t="s">
        <v>207</v>
      </c>
      <c r="B35" s="168" t="s">
        <v>37</v>
      </c>
      <c r="C35" s="168"/>
      <c r="D35" s="168">
        <v>5</v>
      </c>
      <c r="E35" s="168">
        <v>1</v>
      </c>
      <c r="F35" s="169" t="str">
        <f t="shared" si="0"/>
        <v>Baixa</v>
      </c>
      <c r="G35" s="168" t="str">
        <f t="shared" si="1"/>
        <v>CEL</v>
      </c>
      <c r="H35" s="168">
        <f t="shared" si="33"/>
        <v>3</v>
      </c>
      <c r="I35" s="169" t="str">
        <f t="shared" si="34"/>
        <v>L</v>
      </c>
      <c r="J35" s="168"/>
      <c r="K35" s="170">
        <f t="shared" si="35"/>
        <v>3</v>
      </c>
      <c r="L35" s="170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171"/>
      <c r="N35" s="171"/>
      <c r="O35" s="172"/>
    </row>
    <row r="36" spans="1:15" x14ac:dyDescent="0.2">
      <c r="A36" s="165" t="s">
        <v>208</v>
      </c>
      <c r="B36" s="154" t="s">
        <v>37</v>
      </c>
      <c r="C36" s="154"/>
      <c r="D36" s="154">
        <v>7</v>
      </c>
      <c r="E36" s="154">
        <v>2</v>
      </c>
      <c r="F36" s="153" t="str">
        <f t="shared" ref="F36:F39" si="36">IF(ISBLANK(B36),"",IF(I36="L","Baixa",IF(I36="A","Média",IF(I36="","","Alta"))))</f>
        <v>Média</v>
      </c>
      <c r="G36" s="154" t="str">
        <f t="shared" ref="G36:G39" si="37">CONCATENATE(B36,I36)</f>
        <v>CEA</v>
      </c>
      <c r="H36" s="155">
        <f t="shared" ref="H36:H39" si="38">IF(ISBLANK(B36),"",IF(B36="ALI",IF(I36="L",7,IF(I36="A",10,15)),IF(B36="AIE",IF(I36="L",5,IF(I36="A",7,10)),IF(B36="SE",IF(I36="L",4,IF(I36="A",5,7)),IF(OR(B36="EE",B36="CE"),IF(I36="L",3,IF(I36="A",4,6)),0)))))</f>
        <v>4</v>
      </c>
      <c r="I36" s="156" t="str">
        <f t="shared" ref="I36:I39" si="39">IF(OR(ISBLANK(D36),ISBLANK(E36)),IF(OR(B36="ALI",B36="AIE"),"L",IF(OR(B36="EE",B36="SE",B36="CE"),"A","")),IF(B36="EE",IF(E36&gt;=3,IF(D36&gt;=5,"H","A"),IF(E36&gt;=2,IF(D36&gt;=16,"H",IF(D36&lt;=4,"L","A")),IF(D36&lt;=15,"L","A"))),IF(OR(B36="SE",B36="CE"),IF(E36&gt;=4,IF(D36&gt;=6,"H","A"),IF(E36&gt;=2,IF(D36&gt;=20,"H",IF(D36&lt;=5,"L","A")),IF(D36&lt;=19,"L","A"))),IF(OR(B36="ALI",B36="AIE"),IF(E36&gt;=6,IF(D36&gt;=20,"H","A"),IF(E36&gt;=2,IF(D36&gt;=51,"H",IF(D36&lt;=19,"L","A")),IF(D36&lt;=50,"L","A"))),""))))</f>
        <v>A</v>
      </c>
      <c r="J36" s="154"/>
      <c r="K36" s="157">
        <f t="shared" ref="K36" si="40">IF(OR(H36="",H36=0),L36,H36)</f>
        <v>4</v>
      </c>
      <c r="L36" s="157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166"/>
      <c r="N36" s="166"/>
      <c r="O36" s="167"/>
    </row>
    <row r="37" spans="1:15" x14ac:dyDescent="0.2">
      <c r="A37" s="165" t="s">
        <v>190</v>
      </c>
      <c r="B37" s="154" t="s">
        <v>38</v>
      </c>
      <c r="C37" s="154"/>
      <c r="D37" s="154">
        <v>7</v>
      </c>
      <c r="E37" s="154">
        <v>2</v>
      </c>
      <c r="F37" s="153" t="str">
        <f t="shared" si="36"/>
        <v>Média</v>
      </c>
      <c r="G37" s="154" t="str">
        <f t="shared" si="37"/>
        <v>EEA</v>
      </c>
      <c r="H37" s="155">
        <f t="shared" si="38"/>
        <v>4</v>
      </c>
      <c r="I37" s="156" t="str">
        <f t="shared" si="39"/>
        <v>A</v>
      </c>
      <c r="J37" s="154"/>
      <c r="K37" s="157">
        <f t="shared" ref="K37:K39" si="41">IF(OR(H37="",H37=0),L37,H37)</f>
        <v>4</v>
      </c>
      <c r="L37" s="157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166"/>
      <c r="N37" s="166"/>
      <c r="O37" s="167"/>
    </row>
    <row r="38" spans="1:15" x14ac:dyDescent="0.2">
      <c r="A38" s="165" t="s">
        <v>209</v>
      </c>
      <c r="B38" s="154" t="s">
        <v>38</v>
      </c>
      <c r="C38" s="154"/>
      <c r="D38" s="154">
        <v>7</v>
      </c>
      <c r="E38" s="154">
        <v>2</v>
      </c>
      <c r="F38" s="153" t="str">
        <f t="shared" si="36"/>
        <v>Média</v>
      </c>
      <c r="G38" s="154" t="str">
        <f t="shared" si="37"/>
        <v>EEA</v>
      </c>
      <c r="H38" s="155">
        <f t="shared" si="38"/>
        <v>4</v>
      </c>
      <c r="I38" s="156" t="str">
        <f t="shared" si="39"/>
        <v>A</v>
      </c>
      <c r="J38" s="154"/>
      <c r="K38" s="157">
        <f t="shared" si="41"/>
        <v>4</v>
      </c>
      <c r="L38" s="157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66"/>
      <c r="N38" s="166"/>
      <c r="O38" s="167"/>
    </row>
    <row r="39" spans="1:15" x14ac:dyDescent="0.2">
      <c r="A39" s="165" t="s">
        <v>210</v>
      </c>
      <c r="B39" s="154" t="s">
        <v>38</v>
      </c>
      <c r="C39" s="154"/>
      <c r="D39" s="154">
        <v>7</v>
      </c>
      <c r="E39" s="154">
        <v>2</v>
      </c>
      <c r="F39" s="153" t="str">
        <f t="shared" si="36"/>
        <v>Média</v>
      </c>
      <c r="G39" s="154" t="str">
        <f t="shared" si="37"/>
        <v>EEA</v>
      </c>
      <c r="H39" s="155">
        <f t="shared" si="38"/>
        <v>4</v>
      </c>
      <c r="I39" s="156" t="str">
        <f t="shared" si="39"/>
        <v>A</v>
      </c>
      <c r="J39" s="154"/>
      <c r="K39" s="157">
        <f t="shared" si="41"/>
        <v>4</v>
      </c>
      <c r="L39" s="157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66"/>
      <c r="N39" s="166"/>
      <c r="O39" s="167"/>
    </row>
    <row r="40" spans="1:15" x14ac:dyDescent="0.2">
      <c r="A40" s="160" t="s">
        <v>189</v>
      </c>
      <c r="B40" s="168" t="s">
        <v>37</v>
      </c>
      <c r="C40" s="168"/>
      <c r="D40" s="168">
        <v>7</v>
      </c>
      <c r="E40" s="168">
        <v>3</v>
      </c>
      <c r="F40" s="169" t="str">
        <f t="shared" si="0"/>
        <v>Média</v>
      </c>
      <c r="G40" s="168" t="str">
        <f t="shared" si="1"/>
        <v>CEA</v>
      </c>
      <c r="H40" s="168">
        <f t="shared" si="2"/>
        <v>4</v>
      </c>
      <c r="I40" s="169" t="str">
        <f t="shared" si="3"/>
        <v>A</v>
      </c>
      <c r="J40" s="168" t="str">
        <f t="shared" si="4"/>
        <v>CE</v>
      </c>
      <c r="K40" s="170">
        <f t="shared" ref="K40" si="42">IF(OR(H40="",H40=0),L40,H40)</f>
        <v>4</v>
      </c>
      <c r="L40" s="170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71"/>
      <c r="N40" s="171"/>
      <c r="O40" s="172"/>
    </row>
    <row r="41" spans="1:15" x14ac:dyDescent="0.2">
      <c r="A41" s="160" t="s">
        <v>212</v>
      </c>
      <c r="B41" s="168" t="s">
        <v>38</v>
      </c>
      <c r="C41" s="168"/>
      <c r="D41" s="168">
        <v>7</v>
      </c>
      <c r="E41" s="168">
        <v>3</v>
      </c>
      <c r="F41" s="169" t="str">
        <f t="shared" si="0"/>
        <v>Alta</v>
      </c>
      <c r="G41" s="168" t="str">
        <f t="shared" si="1"/>
        <v>EEH</v>
      </c>
      <c r="H41" s="168">
        <f t="shared" si="2"/>
        <v>6</v>
      </c>
      <c r="I41" s="169" t="str">
        <f t="shared" si="3"/>
        <v>H</v>
      </c>
      <c r="J41" s="168" t="str">
        <f t="shared" si="4"/>
        <v>EE</v>
      </c>
      <c r="K41" s="170">
        <f t="shared" ref="K41:K43" si="43">IF(OR(H41="",H41=0),L41,H41)</f>
        <v>6</v>
      </c>
      <c r="L41" s="170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71"/>
      <c r="N41" s="171"/>
      <c r="O41" s="172"/>
    </row>
    <row r="42" spans="1:15" x14ac:dyDescent="0.2">
      <c r="A42" s="160" t="s">
        <v>214</v>
      </c>
      <c r="B42" s="168" t="s">
        <v>37</v>
      </c>
      <c r="C42" s="168"/>
      <c r="D42" s="168">
        <v>3</v>
      </c>
      <c r="E42" s="168">
        <v>2</v>
      </c>
      <c r="F42" s="169" t="str">
        <f t="shared" si="0"/>
        <v>Baixa</v>
      </c>
      <c r="G42" s="168" t="str">
        <f t="shared" si="1"/>
        <v>CEL</v>
      </c>
      <c r="H42" s="168">
        <f t="shared" si="2"/>
        <v>3</v>
      </c>
      <c r="I42" s="169" t="str">
        <f t="shared" si="3"/>
        <v>L</v>
      </c>
      <c r="J42" s="168" t="str">
        <f t="shared" si="4"/>
        <v>CE</v>
      </c>
      <c r="K42" s="170">
        <f t="shared" si="43"/>
        <v>3</v>
      </c>
      <c r="L42" s="170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71"/>
      <c r="N42" s="171"/>
      <c r="O42" s="172"/>
    </row>
    <row r="43" spans="1:15" x14ac:dyDescent="0.2">
      <c r="A43" s="160" t="s">
        <v>213</v>
      </c>
      <c r="B43" s="168" t="s">
        <v>36</v>
      </c>
      <c r="C43" s="168"/>
      <c r="D43" s="168">
        <v>10</v>
      </c>
      <c r="E43" s="168">
        <v>2</v>
      </c>
      <c r="F43" s="169" t="str">
        <f t="shared" si="0"/>
        <v>Média</v>
      </c>
      <c r="G43" s="168" t="str">
        <f t="shared" si="1"/>
        <v>SEA</v>
      </c>
      <c r="H43" s="168">
        <f t="shared" si="2"/>
        <v>5</v>
      </c>
      <c r="I43" s="169" t="str">
        <f t="shared" si="3"/>
        <v>A</v>
      </c>
      <c r="J43" s="168"/>
      <c r="K43" s="170">
        <f t="shared" si="43"/>
        <v>5</v>
      </c>
      <c r="L43" s="170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71"/>
      <c r="N43" s="171"/>
      <c r="O43" s="172"/>
    </row>
    <row r="44" spans="1:15" x14ac:dyDescent="0.2">
      <c r="A44" s="160"/>
      <c r="B44" s="152"/>
      <c r="C44" s="152"/>
      <c r="D44" s="152"/>
      <c r="E44" s="152"/>
      <c r="F44" s="169"/>
      <c r="G44" s="168"/>
      <c r="H44" s="168"/>
      <c r="I44" s="169"/>
      <c r="J44" s="168"/>
      <c r="K44" s="170"/>
      <c r="L44" s="170"/>
      <c r="M44" s="158"/>
      <c r="N44" s="158"/>
      <c r="O44" s="159"/>
    </row>
    <row r="45" spans="1:15" hidden="1" x14ac:dyDescent="0.2">
      <c r="A45" s="160"/>
      <c r="B45" s="152"/>
      <c r="C45" s="152"/>
      <c r="D45" s="152"/>
      <c r="E45" s="152"/>
      <c r="F45" s="169"/>
      <c r="G45" s="168"/>
      <c r="H45" s="168"/>
      <c r="I45" s="169"/>
      <c r="J45" s="168"/>
      <c r="K45" s="170"/>
      <c r="L45" s="170"/>
      <c r="M45" s="158"/>
      <c r="N45" s="158"/>
      <c r="O45" s="159"/>
    </row>
    <row r="46" spans="1:15" hidden="1" x14ac:dyDescent="0.2">
      <c r="A46" s="160"/>
      <c r="B46" s="152"/>
      <c r="C46" s="152"/>
      <c r="D46" s="152"/>
      <c r="E46" s="152"/>
      <c r="F46" s="169"/>
      <c r="G46" s="168"/>
      <c r="H46" s="168"/>
      <c r="I46" s="169"/>
      <c r="J46" s="168"/>
      <c r="K46" s="170"/>
      <c r="L46" s="170"/>
      <c r="M46" s="158"/>
      <c r="N46" s="158"/>
      <c r="O46" s="159"/>
    </row>
    <row r="47" spans="1:15" hidden="1" x14ac:dyDescent="0.2">
      <c r="A47" s="160"/>
      <c r="B47" s="152"/>
      <c r="C47" s="152"/>
      <c r="D47" s="152"/>
      <c r="E47" s="152"/>
      <c r="F47" s="169"/>
      <c r="G47" s="168"/>
      <c r="H47" s="168"/>
      <c r="I47" s="169"/>
      <c r="J47" s="168"/>
      <c r="K47" s="170"/>
      <c r="L47" s="170"/>
      <c r="M47" s="158"/>
      <c r="N47" s="158"/>
      <c r="O47" s="159"/>
    </row>
    <row r="48" spans="1:15" hidden="1" x14ac:dyDescent="0.2">
      <c r="A48" s="160"/>
      <c r="B48" s="152"/>
      <c r="C48" s="152"/>
      <c r="D48" s="152"/>
      <c r="E48" s="152"/>
      <c r="F48" s="169"/>
      <c r="G48" s="168"/>
      <c r="H48" s="168"/>
      <c r="I48" s="169"/>
      <c r="J48" s="168"/>
      <c r="K48" s="170"/>
      <c r="L48" s="170"/>
      <c r="M48" s="158"/>
      <c r="N48" s="158"/>
      <c r="O48" s="159"/>
    </row>
    <row r="49" spans="1:15" hidden="1" x14ac:dyDescent="0.2">
      <c r="A49" s="160"/>
      <c r="B49" s="152"/>
      <c r="C49" s="152"/>
      <c r="D49" s="152"/>
      <c r="E49" s="152"/>
      <c r="F49" s="169"/>
      <c r="G49" s="168"/>
      <c r="H49" s="168"/>
      <c r="I49" s="169"/>
      <c r="J49" s="168"/>
      <c r="K49" s="170"/>
      <c r="L49" s="170"/>
      <c r="M49" s="158"/>
      <c r="N49" s="158"/>
      <c r="O49" s="159"/>
    </row>
    <row r="50" spans="1:15" hidden="1" x14ac:dyDescent="0.2">
      <c r="A50" s="160"/>
      <c r="B50" s="152"/>
      <c r="C50" s="152"/>
      <c r="D50" s="152"/>
      <c r="E50" s="152"/>
      <c r="F50" s="169"/>
      <c r="G50" s="168"/>
      <c r="H50" s="168"/>
      <c r="I50" s="169"/>
      <c r="J50" s="168"/>
      <c r="K50" s="170"/>
      <c r="L50" s="170"/>
      <c r="M50" s="158"/>
      <c r="N50" s="158"/>
      <c r="O50" s="159"/>
    </row>
    <row r="51" spans="1:15" hidden="1" x14ac:dyDescent="0.2">
      <c r="A51" s="160"/>
      <c r="B51" s="152"/>
      <c r="C51" s="152"/>
      <c r="D51" s="152"/>
      <c r="E51" s="152"/>
      <c r="F51" s="169"/>
      <c r="G51" s="168"/>
      <c r="H51" s="168"/>
      <c r="I51" s="169"/>
      <c r="J51" s="168"/>
      <c r="K51" s="170"/>
      <c r="L51" s="170"/>
      <c r="M51" s="158"/>
      <c r="N51" s="158"/>
      <c r="O51" s="159"/>
    </row>
    <row r="52" spans="1:15" hidden="1" x14ac:dyDescent="0.2">
      <c r="A52" s="160"/>
      <c r="B52" s="152"/>
      <c r="C52" s="152"/>
      <c r="D52" s="152"/>
      <c r="E52" s="152"/>
      <c r="F52" s="169"/>
      <c r="G52" s="168"/>
      <c r="H52" s="168"/>
      <c r="I52" s="169"/>
      <c r="J52" s="168"/>
      <c r="K52" s="170"/>
      <c r="L52" s="170"/>
      <c r="M52" s="158"/>
      <c r="N52" s="158"/>
      <c r="O52" s="159"/>
    </row>
    <row r="53" spans="1:15" hidden="1" x14ac:dyDescent="0.2">
      <c r="A53" s="160"/>
      <c r="B53" s="152"/>
      <c r="C53" s="152"/>
      <c r="D53" s="152"/>
      <c r="E53" s="152"/>
      <c r="F53" s="169"/>
      <c r="G53" s="168"/>
      <c r="H53" s="168"/>
      <c r="I53" s="169"/>
      <c r="J53" s="168"/>
      <c r="K53" s="170"/>
      <c r="L53" s="170"/>
      <c r="M53" s="158"/>
      <c r="N53" s="158"/>
      <c r="O53" s="159"/>
    </row>
    <row r="54" spans="1:15" hidden="1" x14ac:dyDescent="0.2">
      <c r="A54" s="160"/>
      <c r="B54" s="152"/>
      <c r="C54" s="152"/>
      <c r="D54" s="152"/>
      <c r="E54" s="152"/>
      <c r="F54" s="169"/>
      <c r="G54" s="168"/>
      <c r="H54" s="168"/>
      <c r="I54" s="169"/>
      <c r="J54" s="168"/>
      <c r="K54" s="170"/>
      <c r="L54" s="170"/>
      <c r="M54" s="158"/>
      <c r="N54" s="158"/>
      <c r="O54" s="159"/>
    </row>
    <row r="55" spans="1:15" hidden="1" x14ac:dyDescent="0.2">
      <c r="A55" s="160"/>
      <c r="B55" s="152"/>
      <c r="C55" s="152"/>
      <c r="D55" s="152"/>
      <c r="E55" s="152"/>
      <c r="F55" s="169"/>
      <c r="G55" s="168"/>
      <c r="H55" s="168"/>
      <c r="I55" s="169"/>
      <c r="J55" s="168"/>
      <c r="K55" s="170"/>
      <c r="L55" s="170"/>
      <c r="M55" s="158"/>
      <c r="N55" s="158"/>
      <c r="O55" s="159"/>
    </row>
    <row r="56" spans="1:15" hidden="1" x14ac:dyDescent="0.2">
      <c r="A56" s="160"/>
      <c r="B56" s="152"/>
      <c r="C56" s="152"/>
      <c r="D56" s="152"/>
      <c r="E56" s="152"/>
      <c r="F56" s="169"/>
      <c r="G56" s="168"/>
      <c r="H56" s="168"/>
      <c r="I56" s="169"/>
      <c r="J56" s="168"/>
      <c r="K56" s="170"/>
      <c r="L56" s="170"/>
      <c r="M56" s="158"/>
      <c r="N56" s="158"/>
      <c r="O56" s="159"/>
    </row>
    <row r="57" spans="1:15" hidden="1" x14ac:dyDescent="0.2">
      <c r="A57" s="160"/>
      <c r="B57" s="152"/>
      <c r="C57" s="152"/>
      <c r="D57" s="152"/>
      <c r="E57" s="152"/>
      <c r="F57" s="169"/>
      <c r="G57" s="168"/>
      <c r="H57" s="168"/>
      <c r="I57" s="169"/>
      <c r="J57" s="168"/>
      <c r="K57" s="170"/>
      <c r="L57" s="170"/>
      <c r="M57" s="158"/>
      <c r="N57" s="158"/>
      <c r="O57" s="159"/>
    </row>
    <row r="58" spans="1:15" hidden="1" x14ac:dyDescent="0.2">
      <c r="A58" s="160"/>
      <c r="B58" s="152"/>
      <c r="C58" s="152"/>
      <c r="D58" s="152"/>
      <c r="E58" s="152"/>
      <c r="F58" s="169" t="str">
        <f t="shared" si="0"/>
        <v/>
      </c>
      <c r="G58" s="168" t="str">
        <f t="shared" si="1"/>
        <v/>
      </c>
      <c r="H58" s="168" t="str">
        <f t="shared" si="2"/>
        <v/>
      </c>
      <c r="I58" s="169" t="str">
        <f t="shared" si="3"/>
        <v/>
      </c>
      <c r="J58" s="168" t="str">
        <f t="shared" si="4"/>
        <v/>
      </c>
      <c r="K58" s="170" t="str">
        <f t="shared" si="5"/>
        <v/>
      </c>
      <c r="L58" s="170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58"/>
      <c r="N58" s="158"/>
      <c r="O58" s="159"/>
    </row>
    <row r="59" spans="1:15" hidden="1" x14ac:dyDescent="0.2">
      <c r="A59" s="160"/>
      <c r="B59" s="152"/>
      <c r="C59" s="152"/>
      <c r="D59" s="152"/>
      <c r="E59" s="152"/>
      <c r="F59" s="169" t="str">
        <f t="shared" si="0"/>
        <v/>
      </c>
      <c r="G59" s="168" t="str">
        <f t="shared" si="1"/>
        <v/>
      </c>
      <c r="H59" s="168" t="str">
        <f t="shared" si="2"/>
        <v/>
      </c>
      <c r="I59" s="169" t="str">
        <f t="shared" si="3"/>
        <v/>
      </c>
      <c r="J59" s="168" t="str">
        <f t="shared" si="4"/>
        <v/>
      </c>
      <c r="K59" s="170" t="str">
        <f t="shared" si="5"/>
        <v/>
      </c>
      <c r="L59" s="170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58"/>
      <c r="N59" s="158"/>
      <c r="O59" s="159"/>
    </row>
    <row r="60" spans="1:15" hidden="1" x14ac:dyDescent="0.2">
      <c r="A60" s="160"/>
      <c r="B60" s="152"/>
      <c r="C60" s="152"/>
      <c r="D60" s="152"/>
      <c r="E60" s="152"/>
      <c r="F60" s="169" t="str">
        <f t="shared" si="0"/>
        <v/>
      </c>
      <c r="G60" s="168" t="str">
        <f t="shared" si="1"/>
        <v/>
      </c>
      <c r="H60" s="168" t="str">
        <f t="shared" si="2"/>
        <v/>
      </c>
      <c r="I60" s="169" t="str">
        <f t="shared" si="3"/>
        <v/>
      </c>
      <c r="J60" s="168" t="str">
        <f t="shared" si="4"/>
        <v/>
      </c>
      <c r="K60" s="170" t="str">
        <f t="shared" si="5"/>
        <v/>
      </c>
      <c r="L60" s="170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58"/>
      <c r="N60" s="158"/>
      <c r="O60" s="159"/>
    </row>
    <row r="61" spans="1:15" hidden="1" x14ac:dyDescent="0.2">
      <c r="A61" s="160"/>
      <c r="B61" s="152"/>
      <c r="C61" s="152"/>
      <c r="D61" s="152"/>
      <c r="E61" s="152"/>
      <c r="F61" s="169" t="str">
        <f t="shared" si="0"/>
        <v/>
      </c>
      <c r="G61" s="168" t="str">
        <f t="shared" si="1"/>
        <v/>
      </c>
      <c r="H61" s="168" t="str">
        <f t="shared" si="2"/>
        <v/>
      </c>
      <c r="I61" s="169" t="str">
        <f t="shared" si="3"/>
        <v/>
      </c>
      <c r="J61" s="168" t="str">
        <f t="shared" si="4"/>
        <v/>
      </c>
      <c r="K61" s="170" t="str">
        <f t="shared" si="5"/>
        <v/>
      </c>
      <c r="L61" s="170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58"/>
      <c r="N61" s="158"/>
      <c r="O61" s="159"/>
    </row>
    <row r="62" spans="1:15" hidden="1" x14ac:dyDescent="0.2">
      <c r="A62" s="160"/>
      <c r="B62" s="152"/>
      <c r="C62" s="152"/>
      <c r="D62" s="152"/>
      <c r="E62" s="152"/>
      <c r="F62" s="169" t="str">
        <f t="shared" si="0"/>
        <v/>
      </c>
      <c r="G62" s="168" t="str">
        <f t="shared" si="1"/>
        <v/>
      </c>
      <c r="H62" s="168" t="str">
        <f t="shared" si="2"/>
        <v/>
      </c>
      <c r="I62" s="169" t="str">
        <f t="shared" si="3"/>
        <v/>
      </c>
      <c r="J62" s="168" t="str">
        <f t="shared" si="4"/>
        <v/>
      </c>
      <c r="K62" s="170" t="str">
        <f t="shared" si="5"/>
        <v/>
      </c>
      <c r="L62" s="170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58"/>
      <c r="N62" s="158"/>
      <c r="O62" s="159"/>
    </row>
    <row r="63" spans="1:15" hidden="1" x14ac:dyDescent="0.2">
      <c r="A63" s="160"/>
      <c r="B63" s="152"/>
      <c r="C63" s="152"/>
      <c r="D63" s="152"/>
      <c r="E63" s="152"/>
      <c r="F63" s="169" t="str">
        <f t="shared" si="0"/>
        <v/>
      </c>
      <c r="G63" s="168" t="str">
        <f t="shared" si="1"/>
        <v/>
      </c>
      <c r="H63" s="168" t="str">
        <f t="shared" si="2"/>
        <v/>
      </c>
      <c r="I63" s="169" t="str">
        <f t="shared" si="3"/>
        <v/>
      </c>
      <c r="J63" s="168" t="str">
        <f t="shared" si="4"/>
        <v/>
      </c>
      <c r="K63" s="170" t="str">
        <f t="shared" si="5"/>
        <v/>
      </c>
      <c r="L63" s="170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58"/>
      <c r="N63" s="158"/>
      <c r="O63" s="159"/>
    </row>
    <row r="64" spans="1:15" hidden="1" x14ac:dyDescent="0.2">
      <c r="A64" s="160"/>
      <c r="B64" s="152"/>
      <c r="C64" s="152"/>
      <c r="D64" s="152"/>
      <c r="E64" s="152"/>
      <c r="F64" s="169" t="str">
        <f t="shared" si="0"/>
        <v/>
      </c>
      <c r="G64" s="168" t="str">
        <f t="shared" si="1"/>
        <v/>
      </c>
      <c r="H64" s="168" t="str">
        <f t="shared" si="2"/>
        <v/>
      </c>
      <c r="I64" s="169" t="str">
        <f t="shared" si="3"/>
        <v/>
      </c>
      <c r="J64" s="168" t="str">
        <f t="shared" si="4"/>
        <v/>
      </c>
      <c r="K64" s="170" t="str">
        <f t="shared" si="5"/>
        <v/>
      </c>
      <c r="L64" s="170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58"/>
      <c r="N64" s="158"/>
      <c r="O64" s="159"/>
    </row>
    <row r="65" spans="1:15" hidden="1" x14ac:dyDescent="0.2">
      <c r="A65" s="160"/>
      <c r="B65" s="152"/>
      <c r="C65" s="152"/>
      <c r="D65" s="152"/>
      <c r="E65" s="152"/>
      <c r="F65" s="169" t="str">
        <f t="shared" si="0"/>
        <v/>
      </c>
      <c r="G65" s="168" t="str">
        <f t="shared" si="1"/>
        <v/>
      </c>
      <c r="H65" s="168" t="str">
        <f t="shared" si="2"/>
        <v/>
      </c>
      <c r="I65" s="169" t="str">
        <f t="shared" si="3"/>
        <v/>
      </c>
      <c r="J65" s="168" t="str">
        <f t="shared" si="4"/>
        <v/>
      </c>
      <c r="K65" s="170" t="str">
        <f t="shared" si="5"/>
        <v/>
      </c>
      <c r="L65" s="170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58"/>
      <c r="N65" s="158"/>
      <c r="O65" s="159"/>
    </row>
    <row r="66" spans="1:15" hidden="1" x14ac:dyDescent="0.2">
      <c r="A66" s="160"/>
      <c r="B66" s="152"/>
      <c r="C66" s="152"/>
      <c r="D66" s="152"/>
      <c r="E66" s="152"/>
      <c r="F66" s="169" t="str">
        <f t="shared" si="0"/>
        <v/>
      </c>
      <c r="G66" s="168" t="str">
        <f t="shared" si="1"/>
        <v/>
      </c>
      <c r="H66" s="168" t="str">
        <f t="shared" si="2"/>
        <v/>
      </c>
      <c r="I66" s="169" t="str">
        <f t="shared" si="3"/>
        <v/>
      </c>
      <c r="J66" s="168" t="str">
        <f t="shared" si="4"/>
        <v/>
      </c>
      <c r="K66" s="170" t="str">
        <f t="shared" si="5"/>
        <v/>
      </c>
      <c r="L66" s="170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58"/>
      <c r="N66" s="158"/>
      <c r="O66" s="159"/>
    </row>
    <row r="67" spans="1:15" hidden="1" x14ac:dyDescent="0.2">
      <c r="A67" s="160"/>
      <c r="B67" s="152"/>
      <c r="C67" s="152"/>
      <c r="D67" s="152"/>
      <c r="E67" s="152"/>
      <c r="F67" s="169" t="str">
        <f t="shared" si="0"/>
        <v/>
      </c>
      <c r="G67" s="168" t="str">
        <f t="shared" si="1"/>
        <v/>
      </c>
      <c r="H67" s="168" t="str">
        <f t="shared" si="2"/>
        <v/>
      </c>
      <c r="I67" s="169" t="str">
        <f t="shared" si="3"/>
        <v/>
      </c>
      <c r="J67" s="168" t="str">
        <f t="shared" si="4"/>
        <v/>
      </c>
      <c r="K67" s="170" t="str">
        <f t="shared" si="5"/>
        <v/>
      </c>
      <c r="L67" s="170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58"/>
      <c r="N67" s="158"/>
      <c r="O67" s="159"/>
    </row>
    <row r="68" spans="1:15" hidden="1" x14ac:dyDescent="0.2">
      <c r="A68" s="160"/>
      <c r="B68" s="152"/>
      <c r="C68" s="152"/>
      <c r="D68" s="152"/>
      <c r="E68" s="152"/>
      <c r="F68" s="169" t="str">
        <f t="shared" si="0"/>
        <v/>
      </c>
      <c r="G68" s="168" t="str">
        <f t="shared" si="1"/>
        <v/>
      </c>
      <c r="H68" s="168" t="str">
        <f t="shared" si="2"/>
        <v/>
      </c>
      <c r="I68" s="169" t="str">
        <f t="shared" si="3"/>
        <v/>
      </c>
      <c r="J68" s="168" t="str">
        <f t="shared" si="4"/>
        <v/>
      </c>
      <c r="K68" s="170" t="str">
        <f t="shared" si="5"/>
        <v/>
      </c>
      <c r="L68" s="170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58"/>
      <c r="N68" s="158"/>
      <c r="O68" s="159"/>
    </row>
    <row r="69" spans="1:15" hidden="1" x14ac:dyDescent="0.2">
      <c r="A69" s="160"/>
      <c r="B69" s="152"/>
      <c r="C69" s="152"/>
      <c r="D69" s="152"/>
      <c r="E69" s="152"/>
      <c r="F69" s="169" t="str">
        <f t="shared" si="0"/>
        <v/>
      </c>
      <c r="G69" s="168" t="str">
        <f t="shared" si="1"/>
        <v/>
      </c>
      <c r="H69" s="168" t="str">
        <f t="shared" si="2"/>
        <v/>
      </c>
      <c r="I69" s="169" t="str">
        <f t="shared" si="3"/>
        <v/>
      </c>
      <c r="J69" s="168" t="str">
        <f t="shared" si="4"/>
        <v/>
      </c>
      <c r="K69" s="170" t="str">
        <f t="shared" si="5"/>
        <v/>
      </c>
      <c r="L69" s="170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58"/>
      <c r="N69" s="158"/>
      <c r="O69" s="159"/>
    </row>
    <row r="70" spans="1:15" hidden="1" x14ac:dyDescent="0.2">
      <c r="A70" s="160"/>
      <c r="B70" s="152"/>
      <c r="C70" s="152"/>
      <c r="D70" s="152"/>
      <c r="E70" s="152"/>
      <c r="F70" s="169" t="str">
        <f t="shared" si="0"/>
        <v/>
      </c>
      <c r="G70" s="168" t="str">
        <f t="shared" si="1"/>
        <v/>
      </c>
      <c r="H70" s="168" t="str">
        <f t="shared" si="2"/>
        <v/>
      </c>
      <c r="I70" s="169" t="str">
        <f t="shared" si="3"/>
        <v/>
      </c>
      <c r="J70" s="168" t="str">
        <f t="shared" si="4"/>
        <v/>
      </c>
      <c r="K70" s="170" t="str">
        <f t="shared" si="5"/>
        <v/>
      </c>
      <c r="L70" s="170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58"/>
      <c r="N70" s="158"/>
      <c r="O70" s="159"/>
    </row>
    <row r="71" spans="1:15" hidden="1" x14ac:dyDescent="0.2">
      <c r="A71" s="160"/>
      <c r="B71" s="152"/>
      <c r="C71" s="152"/>
      <c r="D71" s="152"/>
      <c r="E71" s="152"/>
      <c r="F71" s="169" t="str">
        <f t="shared" si="0"/>
        <v/>
      </c>
      <c r="G71" s="168" t="str">
        <f t="shared" si="1"/>
        <v/>
      </c>
      <c r="H71" s="168" t="str">
        <f t="shared" si="2"/>
        <v/>
      </c>
      <c r="I71" s="169" t="str">
        <f t="shared" si="3"/>
        <v/>
      </c>
      <c r="J71" s="168" t="str">
        <f t="shared" si="4"/>
        <v/>
      </c>
      <c r="K71" s="170" t="str">
        <f t="shared" si="5"/>
        <v/>
      </c>
      <c r="L71" s="170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58"/>
      <c r="N71" s="158"/>
      <c r="O71" s="159"/>
    </row>
    <row r="72" spans="1:15" hidden="1" x14ac:dyDescent="0.2">
      <c r="A72" s="160"/>
      <c r="B72" s="152"/>
      <c r="C72" s="152"/>
      <c r="D72" s="152"/>
      <c r="E72" s="152"/>
      <c r="F72" s="169" t="str">
        <f t="shared" si="0"/>
        <v/>
      </c>
      <c r="G72" s="168" t="str">
        <f t="shared" si="1"/>
        <v/>
      </c>
      <c r="H72" s="168" t="str">
        <f t="shared" si="2"/>
        <v/>
      </c>
      <c r="I72" s="169" t="str">
        <f t="shared" si="3"/>
        <v/>
      </c>
      <c r="J72" s="168" t="str">
        <f t="shared" si="4"/>
        <v/>
      </c>
      <c r="K72" s="170" t="str">
        <f t="shared" si="5"/>
        <v/>
      </c>
      <c r="L72" s="170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58"/>
      <c r="N72" s="158"/>
      <c r="O72" s="159"/>
    </row>
    <row r="73" spans="1:15" hidden="1" x14ac:dyDescent="0.2">
      <c r="A73" s="160"/>
      <c r="B73" s="152"/>
      <c r="C73" s="152"/>
      <c r="D73" s="152"/>
      <c r="E73" s="152"/>
      <c r="F73" s="169" t="str">
        <f t="shared" si="0"/>
        <v/>
      </c>
      <c r="G73" s="168" t="str">
        <f t="shared" si="1"/>
        <v/>
      </c>
      <c r="H73" s="168" t="str">
        <f t="shared" si="2"/>
        <v/>
      </c>
      <c r="I73" s="169" t="str">
        <f t="shared" si="3"/>
        <v/>
      </c>
      <c r="J73" s="168" t="str">
        <f t="shared" si="4"/>
        <v/>
      </c>
      <c r="K73" s="170" t="str">
        <f t="shared" si="5"/>
        <v/>
      </c>
      <c r="L73" s="170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58"/>
      <c r="N73" s="158"/>
      <c r="O73" s="159"/>
    </row>
    <row r="74" spans="1:15" hidden="1" x14ac:dyDescent="0.2">
      <c r="A74" s="160"/>
      <c r="B74" s="152"/>
      <c r="C74" s="152"/>
      <c r="D74" s="152"/>
      <c r="E74" s="152"/>
      <c r="F74" s="169" t="str">
        <f t="shared" si="0"/>
        <v/>
      </c>
      <c r="G74" s="168" t="str">
        <f t="shared" si="1"/>
        <v/>
      </c>
      <c r="H74" s="168" t="str">
        <f t="shared" si="2"/>
        <v/>
      </c>
      <c r="I74" s="169" t="str">
        <f t="shared" si="3"/>
        <v/>
      </c>
      <c r="J74" s="168" t="str">
        <f t="shared" si="4"/>
        <v/>
      </c>
      <c r="K74" s="170" t="str">
        <f t="shared" si="5"/>
        <v/>
      </c>
      <c r="L74" s="170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58"/>
      <c r="N74" s="158"/>
      <c r="O74" s="159"/>
    </row>
    <row r="75" spans="1:15" hidden="1" x14ac:dyDescent="0.2">
      <c r="A75" s="160"/>
      <c r="B75" s="152"/>
      <c r="C75" s="152"/>
      <c r="D75" s="152"/>
      <c r="E75" s="152"/>
      <c r="F75" s="169" t="str">
        <f t="shared" si="0"/>
        <v/>
      </c>
      <c r="G75" s="168" t="str">
        <f t="shared" si="1"/>
        <v/>
      </c>
      <c r="H75" s="168" t="str">
        <f t="shared" si="2"/>
        <v/>
      </c>
      <c r="I75" s="169" t="str">
        <f t="shared" si="3"/>
        <v/>
      </c>
      <c r="J75" s="168" t="str">
        <f t="shared" si="4"/>
        <v/>
      </c>
      <c r="K75" s="170" t="str">
        <f t="shared" si="5"/>
        <v/>
      </c>
      <c r="L75" s="170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58"/>
      <c r="N75" s="158"/>
      <c r="O75" s="159"/>
    </row>
    <row r="76" spans="1:15" hidden="1" x14ac:dyDescent="0.2">
      <c r="A76" s="160"/>
      <c r="B76" s="152"/>
      <c r="C76" s="152"/>
      <c r="D76" s="152"/>
      <c r="E76" s="152"/>
      <c r="F76" s="169" t="str">
        <f t="shared" si="0"/>
        <v/>
      </c>
      <c r="G76" s="168" t="str">
        <f t="shared" si="1"/>
        <v/>
      </c>
      <c r="H76" s="168" t="str">
        <f t="shared" si="2"/>
        <v/>
      </c>
      <c r="I76" s="169" t="str">
        <f t="shared" si="3"/>
        <v/>
      </c>
      <c r="J76" s="168" t="str">
        <f t="shared" si="4"/>
        <v/>
      </c>
      <c r="K76" s="170" t="str">
        <f t="shared" si="5"/>
        <v/>
      </c>
      <c r="L76" s="170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58"/>
      <c r="N76" s="158"/>
      <c r="O76" s="159"/>
    </row>
    <row r="77" spans="1:15" hidden="1" x14ac:dyDescent="0.2">
      <c r="A77" s="160"/>
      <c r="B77" s="152"/>
      <c r="C77" s="152"/>
      <c r="D77" s="152"/>
      <c r="E77" s="152"/>
      <c r="F77" s="169" t="str">
        <f t="shared" si="0"/>
        <v/>
      </c>
      <c r="G77" s="168" t="str">
        <f t="shared" si="1"/>
        <v/>
      </c>
      <c r="H77" s="168" t="str">
        <f t="shared" si="2"/>
        <v/>
      </c>
      <c r="I77" s="169" t="str">
        <f t="shared" si="3"/>
        <v/>
      </c>
      <c r="J77" s="168" t="str">
        <f t="shared" si="4"/>
        <v/>
      </c>
      <c r="K77" s="170" t="str">
        <f t="shared" si="5"/>
        <v/>
      </c>
      <c r="L77" s="170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58"/>
      <c r="N77" s="158"/>
      <c r="O77" s="159"/>
    </row>
    <row r="78" spans="1:15" hidden="1" x14ac:dyDescent="0.2">
      <c r="A78" s="160"/>
      <c r="B78" s="152"/>
      <c r="C78" s="152"/>
      <c r="D78" s="152"/>
      <c r="E78" s="152"/>
      <c r="F78" s="169" t="str">
        <f t="shared" si="0"/>
        <v/>
      </c>
      <c r="G78" s="168" t="str">
        <f t="shared" si="1"/>
        <v/>
      </c>
      <c r="H78" s="168" t="str">
        <f t="shared" si="2"/>
        <v/>
      </c>
      <c r="I78" s="169" t="str">
        <f t="shared" si="3"/>
        <v/>
      </c>
      <c r="J78" s="168" t="str">
        <f t="shared" si="4"/>
        <v/>
      </c>
      <c r="K78" s="170" t="str">
        <f t="shared" si="5"/>
        <v/>
      </c>
      <c r="L78" s="170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58"/>
      <c r="N78" s="158"/>
      <c r="O78" s="159"/>
    </row>
    <row r="79" spans="1:15" hidden="1" x14ac:dyDescent="0.2">
      <c r="A79" s="160"/>
      <c r="B79" s="152"/>
      <c r="C79" s="152"/>
      <c r="D79" s="152"/>
      <c r="E79" s="152"/>
      <c r="F79" s="169" t="str">
        <f t="shared" si="0"/>
        <v/>
      </c>
      <c r="G79" s="168" t="str">
        <f t="shared" si="1"/>
        <v/>
      </c>
      <c r="H79" s="168" t="str">
        <f t="shared" si="2"/>
        <v/>
      </c>
      <c r="I79" s="169" t="str">
        <f t="shared" si="3"/>
        <v/>
      </c>
      <c r="J79" s="168" t="str">
        <f t="shared" si="4"/>
        <v/>
      </c>
      <c r="K79" s="170" t="str">
        <f t="shared" si="5"/>
        <v/>
      </c>
      <c r="L79" s="170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58"/>
      <c r="N79" s="158"/>
      <c r="O79" s="159"/>
    </row>
    <row r="80" spans="1:15" hidden="1" x14ac:dyDescent="0.2">
      <c r="A80" s="160"/>
      <c r="B80" s="152"/>
      <c r="C80" s="152"/>
      <c r="D80" s="152"/>
      <c r="E80" s="152"/>
      <c r="F80" s="169" t="str">
        <f t="shared" si="0"/>
        <v/>
      </c>
      <c r="G80" s="168" t="str">
        <f t="shared" si="1"/>
        <v/>
      </c>
      <c r="H80" s="168" t="str">
        <f t="shared" si="2"/>
        <v/>
      </c>
      <c r="I80" s="169" t="str">
        <f t="shared" si="3"/>
        <v/>
      </c>
      <c r="J80" s="168" t="str">
        <f t="shared" si="4"/>
        <v/>
      </c>
      <c r="K80" s="170" t="str">
        <f t="shared" si="5"/>
        <v/>
      </c>
      <c r="L80" s="170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58"/>
      <c r="N80" s="158"/>
      <c r="O80" s="159"/>
    </row>
    <row r="81" spans="1:15" hidden="1" x14ac:dyDescent="0.2">
      <c r="A81" s="160"/>
      <c r="B81" s="152"/>
      <c r="C81" s="152"/>
      <c r="D81" s="152"/>
      <c r="E81" s="152"/>
      <c r="F81" s="169" t="str">
        <f t="shared" si="0"/>
        <v/>
      </c>
      <c r="G81" s="168" t="str">
        <f t="shared" si="1"/>
        <v/>
      </c>
      <c r="H81" s="168" t="str">
        <f t="shared" si="2"/>
        <v/>
      </c>
      <c r="I81" s="169" t="str">
        <f t="shared" si="3"/>
        <v/>
      </c>
      <c r="J81" s="168" t="str">
        <f t="shared" si="4"/>
        <v/>
      </c>
      <c r="K81" s="170" t="str">
        <f t="shared" si="5"/>
        <v/>
      </c>
      <c r="L81" s="170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58"/>
      <c r="N81" s="158"/>
      <c r="O81" s="159"/>
    </row>
    <row r="82" spans="1:15" hidden="1" x14ac:dyDescent="0.2">
      <c r="A82" s="160"/>
      <c r="B82" s="152"/>
      <c r="C82" s="152"/>
      <c r="D82" s="152"/>
      <c r="E82" s="152"/>
      <c r="F82" s="169" t="str">
        <f t="shared" si="0"/>
        <v/>
      </c>
      <c r="G82" s="168" t="str">
        <f t="shared" si="1"/>
        <v/>
      </c>
      <c r="H82" s="168" t="str">
        <f t="shared" si="2"/>
        <v/>
      </c>
      <c r="I82" s="169" t="str">
        <f t="shared" si="3"/>
        <v/>
      </c>
      <c r="J82" s="168" t="str">
        <f t="shared" si="4"/>
        <v/>
      </c>
      <c r="K82" s="170" t="str">
        <f t="shared" si="5"/>
        <v/>
      </c>
      <c r="L82" s="170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58"/>
      <c r="N82" s="158"/>
      <c r="O82" s="159"/>
    </row>
    <row r="83" spans="1:15" hidden="1" x14ac:dyDescent="0.2">
      <c r="A83" s="160"/>
      <c r="B83" s="152"/>
      <c r="C83" s="152"/>
      <c r="D83" s="152"/>
      <c r="E83" s="152"/>
      <c r="F83" s="169" t="str">
        <f t="shared" si="0"/>
        <v/>
      </c>
      <c r="G83" s="168" t="str">
        <f t="shared" si="1"/>
        <v/>
      </c>
      <c r="H83" s="168" t="str">
        <f t="shared" si="2"/>
        <v/>
      </c>
      <c r="I83" s="169" t="str">
        <f t="shared" si="3"/>
        <v/>
      </c>
      <c r="J83" s="168" t="str">
        <f t="shared" si="4"/>
        <v/>
      </c>
      <c r="K83" s="170" t="str">
        <f t="shared" si="5"/>
        <v/>
      </c>
      <c r="L83" s="170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58"/>
      <c r="N83" s="158"/>
      <c r="O83" s="159"/>
    </row>
    <row r="84" spans="1:15" hidden="1" x14ac:dyDescent="0.2">
      <c r="A84" s="160"/>
      <c r="B84" s="152"/>
      <c r="C84" s="152"/>
      <c r="D84" s="152"/>
      <c r="E84" s="152"/>
      <c r="F84" s="169" t="str">
        <f t="shared" si="0"/>
        <v/>
      </c>
      <c r="G84" s="168" t="str">
        <f t="shared" si="1"/>
        <v/>
      </c>
      <c r="H84" s="168" t="str">
        <f t="shared" si="2"/>
        <v/>
      </c>
      <c r="I84" s="169" t="str">
        <f t="shared" si="3"/>
        <v/>
      </c>
      <c r="J84" s="168" t="str">
        <f t="shared" si="4"/>
        <v/>
      </c>
      <c r="K84" s="170" t="str">
        <f t="shared" si="5"/>
        <v/>
      </c>
      <c r="L84" s="170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58"/>
      <c r="N84" s="158"/>
      <c r="O84" s="159"/>
    </row>
    <row r="85" spans="1:15" hidden="1" x14ac:dyDescent="0.2">
      <c r="A85" s="160"/>
      <c r="B85" s="152"/>
      <c r="C85" s="152"/>
      <c r="D85" s="152"/>
      <c r="E85" s="152"/>
      <c r="F85" s="169" t="str">
        <f t="shared" si="0"/>
        <v/>
      </c>
      <c r="G85" s="168" t="str">
        <f t="shared" si="1"/>
        <v/>
      </c>
      <c r="H85" s="168" t="str">
        <f t="shared" si="2"/>
        <v/>
      </c>
      <c r="I85" s="169" t="str">
        <f t="shared" si="3"/>
        <v/>
      </c>
      <c r="J85" s="168" t="str">
        <f t="shared" si="4"/>
        <v/>
      </c>
      <c r="K85" s="170" t="str">
        <f t="shared" si="5"/>
        <v/>
      </c>
      <c r="L85" s="170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58"/>
      <c r="N85" s="158"/>
      <c r="O85" s="159"/>
    </row>
    <row r="86" spans="1:15" hidden="1" x14ac:dyDescent="0.2">
      <c r="A86" s="160"/>
      <c r="B86" s="152"/>
      <c r="C86" s="152"/>
      <c r="D86" s="152"/>
      <c r="E86" s="152"/>
      <c r="F86" s="169" t="str">
        <f t="shared" si="0"/>
        <v/>
      </c>
      <c r="G86" s="168" t="str">
        <f t="shared" si="1"/>
        <v/>
      </c>
      <c r="H86" s="168" t="str">
        <f t="shared" si="2"/>
        <v/>
      </c>
      <c r="I86" s="169" t="str">
        <f t="shared" si="3"/>
        <v/>
      </c>
      <c r="J86" s="168" t="str">
        <f t="shared" si="4"/>
        <v/>
      </c>
      <c r="K86" s="170" t="str">
        <f t="shared" si="5"/>
        <v/>
      </c>
      <c r="L86" s="170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58"/>
      <c r="N86" s="158"/>
      <c r="O86" s="159"/>
    </row>
    <row r="87" spans="1:15" hidden="1" x14ac:dyDescent="0.2">
      <c r="A87" s="160"/>
      <c r="B87" s="152"/>
      <c r="C87" s="152"/>
      <c r="D87" s="152"/>
      <c r="E87" s="152"/>
      <c r="F87" s="169" t="str">
        <f t="shared" ref="F87:F124" si="44">IF(ISBLANK(B87),"",IF(I87="L","Baixa",IF(I87="A","Média",IF(I87="","","Alta"))))</f>
        <v/>
      </c>
      <c r="G87" s="168" t="str">
        <f t="shared" ref="G87:G124" si="45">CONCATENATE(B87,I87)</f>
        <v/>
      </c>
      <c r="H87" s="168" t="str">
        <f t="shared" ref="H87:H124" si="46">IF(ISBLANK(B87),"",IF(B87="ALI",IF(I87="L",7,IF(I87="A",10,15)),IF(B87="AIE",IF(I87="L",5,IF(I87="A",7,10)),IF(B87="SE",IF(I87="L",4,IF(I87="A",5,7)),IF(OR(B87="EE",B87="CE"),IF(I87="L",3,IF(I87="A",4,6)),0)))))</f>
        <v/>
      </c>
      <c r="I87" s="169" t="str">
        <f t="shared" ref="I87:I124" si="47">IF(OR(ISBLANK(D87),ISBLANK(E87)),IF(OR(B87="ALI",B87="AIE"),"L",IF(OR(B87="EE",B87="SE",B87="CE"),"A","")),IF(B87="EE",IF(E87&gt;=3,IF(D87&gt;=5,"H","A"),IF(E87&gt;=2,IF(D87&gt;=16,"H",IF(D87&lt;=4,"L","A")),IF(D87&lt;=15,"L","A"))),IF(OR(B87="SE",B87="CE"),IF(E87&gt;=4,IF(D87&gt;=6,"H","A"),IF(E87&gt;=2,IF(D87&gt;=20,"H",IF(D87&lt;=5,"L","A")),IF(D87&lt;=19,"L","A"))),IF(OR(B87="ALI",B87="AIE"),IF(E87&gt;=6,IF(D87&gt;=20,"H","A"),IF(E87&gt;=2,IF(D87&gt;=51,"H",IF(D87&lt;=19,"L","A")),IF(D87&lt;=50,"L","A"))),""))))</f>
        <v/>
      </c>
      <c r="J87" s="168" t="str">
        <f t="shared" ref="J87:J124" si="48">CONCATENATE(B87,C87)</f>
        <v/>
      </c>
      <c r="K87" s="170" t="str">
        <f t="shared" si="5"/>
        <v/>
      </c>
      <c r="L87" s="170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58"/>
      <c r="N87" s="158"/>
      <c r="O87" s="159"/>
    </row>
    <row r="88" spans="1:15" hidden="1" x14ac:dyDescent="0.2">
      <c r="A88" s="160"/>
      <c r="B88" s="152"/>
      <c r="C88" s="152"/>
      <c r="D88" s="152"/>
      <c r="E88" s="152"/>
      <c r="F88" s="169" t="str">
        <f t="shared" si="44"/>
        <v/>
      </c>
      <c r="G88" s="168" t="str">
        <f t="shared" si="45"/>
        <v/>
      </c>
      <c r="H88" s="168" t="str">
        <f t="shared" si="46"/>
        <v/>
      </c>
      <c r="I88" s="169" t="str">
        <f t="shared" si="47"/>
        <v/>
      </c>
      <c r="J88" s="168" t="str">
        <f t="shared" si="48"/>
        <v/>
      </c>
      <c r="K88" s="170" t="str">
        <f t="shared" si="5"/>
        <v/>
      </c>
      <c r="L88" s="170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58"/>
      <c r="N88" s="158"/>
      <c r="O88" s="159"/>
    </row>
    <row r="89" spans="1:15" hidden="1" x14ac:dyDescent="0.2">
      <c r="A89" s="160"/>
      <c r="B89" s="152"/>
      <c r="C89" s="152"/>
      <c r="D89" s="152"/>
      <c r="E89" s="152"/>
      <c r="F89" s="169" t="str">
        <f t="shared" si="44"/>
        <v/>
      </c>
      <c r="G89" s="168" t="str">
        <f t="shared" si="45"/>
        <v/>
      </c>
      <c r="H89" s="168" t="str">
        <f t="shared" si="46"/>
        <v/>
      </c>
      <c r="I89" s="169" t="str">
        <f t="shared" si="47"/>
        <v/>
      </c>
      <c r="J89" s="168" t="str">
        <f t="shared" si="48"/>
        <v/>
      </c>
      <c r="K89" s="170" t="str">
        <f t="shared" ref="K89:K124" si="49">IF(OR(H89="",H89=0),L89,H89)</f>
        <v/>
      </c>
      <c r="L89" s="170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58"/>
      <c r="N89" s="158"/>
      <c r="O89" s="159"/>
    </row>
    <row r="90" spans="1:15" hidden="1" x14ac:dyDescent="0.2">
      <c r="A90" s="160"/>
      <c r="B90" s="152"/>
      <c r="C90" s="152"/>
      <c r="D90" s="152"/>
      <c r="E90" s="152"/>
      <c r="F90" s="169" t="str">
        <f t="shared" si="44"/>
        <v/>
      </c>
      <c r="G90" s="168" t="str">
        <f t="shared" si="45"/>
        <v/>
      </c>
      <c r="H90" s="168" t="str">
        <f t="shared" si="46"/>
        <v/>
      </c>
      <c r="I90" s="169" t="str">
        <f t="shared" si="47"/>
        <v/>
      </c>
      <c r="J90" s="168" t="str">
        <f t="shared" si="48"/>
        <v/>
      </c>
      <c r="K90" s="170" t="str">
        <f t="shared" si="49"/>
        <v/>
      </c>
      <c r="L90" s="170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58"/>
      <c r="N90" s="158"/>
      <c r="O90" s="159"/>
    </row>
    <row r="91" spans="1:15" hidden="1" x14ac:dyDescent="0.2">
      <c r="A91" s="160"/>
      <c r="B91" s="152"/>
      <c r="C91" s="152"/>
      <c r="D91" s="152"/>
      <c r="E91" s="152"/>
      <c r="F91" s="169" t="str">
        <f t="shared" si="44"/>
        <v/>
      </c>
      <c r="G91" s="168" t="str">
        <f t="shared" si="45"/>
        <v/>
      </c>
      <c r="H91" s="168" t="str">
        <f t="shared" si="46"/>
        <v/>
      </c>
      <c r="I91" s="169" t="str">
        <f t="shared" si="47"/>
        <v/>
      </c>
      <c r="J91" s="168" t="str">
        <f t="shared" si="48"/>
        <v/>
      </c>
      <c r="K91" s="170" t="str">
        <f t="shared" si="49"/>
        <v/>
      </c>
      <c r="L91" s="170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58"/>
      <c r="N91" s="158"/>
      <c r="O91" s="159"/>
    </row>
    <row r="92" spans="1:15" hidden="1" x14ac:dyDescent="0.2">
      <c r="A92" s="160"/>
      <c r="B92" s="152"/>
      <c r="C92" s="152"/>
      <c r="D92" s="152"/>
      <c r="E92" s="152"/>
      <c r="F92" s="169" t="str">
        <f t="shared" si="44"/>
        <v/>
      </c>
      <c r="G92" s="168" t="str">
        <f t="shared" si="45"/>
        <v/>
      </c>
      <c r="H92" s="168" t="str">
        <f t="shared" si="46"/>
        <v/>
      </c>
      <c r="I92" s="169" t="str">
        <f t="shared" si="47"/>
        <v/>
      </c>
      <c r="J92" s="168" t="str">
        <f t="shared" si="48"/>
        <v/>
      </c>
      <c r="K92" s="170" t="str">
        <f t="shared" si="49"/>
        <v/>
      </c>
      <c r="L92" s="170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58"/>
      <c r="N92" s="158"/>
      <c r="O92" s="159"/>
    </row>
    <row r="93" spans="1:15" hidden="1" x14ac:dyDescent="0.2">
      <c r="A93" s="160"/>
      <c r="B93" s="152"/>
      <c r="C93" s="152"/>
      <c r="D93" s="152"/>
      <c r="E93" s="152"/>
      <c r="F93" s="169" t="str">
        <f t="shared" si="44"/>
        <v/>
      </c>
      <c r="G93" s="168" t="str">
        <f t="shared" si="45"/>
        <v/>
      </c>
      <c r="H93" s="168" t="str">
        <f t="shared" si="46"/>
        <v/>
      </c>
      <c r="I93" s="169" t="str">
        <f t="shared" si="47"/>
        <v/>
      </c>
      <c r="J93" s="168" t="str">
        <f t="shared" si="48"/>
        <v/>
      </c>
      <c r="K93" s="170" t="str">
        <f t="shared" si="49"/>
        <v/>
      </c>
      <c r="L93" s="170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58"/>
      <c r="N93" s="158"/>
      <c r="O93" s="159"/>
    </row>
    <row r="94" spans="1:15" hidden="1" x14ac:dyDescent="0.2">
      <c r="A94" s="160"/>
      <c r="B94" s="152"/>
      <c r="C94" s="152"/>
      <c r="D94" s="152"/>
      <c r="E94" s="152"/>
      <c r="F94" s="169" t="str">
        <f t="shared" si="44"/>
        <v/>
      </c>
      <c r="G94" s="168" t="str">
        <f t="shared" si="45"/>
        <v/>
      </c>
      <c r="H94" s="168" t="str">
        <f t="shared" si="46"/>
        <v/>
      </c>
      <c r="I94" s="169" t="str">
        <f t="shared" si="47"/>
        <v/>
      </c>
      <c r="J94" s="168" t="str">
        <f t="shared" si="48"/>
        <v/>
      </c>
      <c r="K94" s="170" t="str">
        <f t="shared" si="49"/>
        <v/>
      </c>
      <c r="L94" s="170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58"/>
      <c r="N94" s="158"/>
      <c r="O94" s="159"/>
    </row>
    <row r="95" spans="1:15" hidden="1" x14ac:dyDescent="0.2">
      <c r="A95" s="160"/>
      <c r="B95" s="152"/>
      <c r="C95" s="152"/>
      <c r="D95" s="152"/>
      <c r="E95" s="152"/>
      <c r="F95" s="169" t="str">
        <f t="shared" si="44"/>
        <v/>
      </c>
      <c r="G95" s="168" t="str">
        <f t="shared" si="45"/>
        <v/>
      </c>
      <c r="H95" s="168" t="str">
        <f t="shared" si="46"/>
        <v/>
      </c>
      <c r="I95" s="169" t="str">
        <f t="shared" si="47"/>
        <v/>
      </c>
      <c r="J95" s="168" t="str">
        <f t="shared" si="48"/>
        <v/>
      </c>
      <c r="K95" s="170" t="str">
        <f t="shared" si="49"/>
        <v/>
      </c>
      <c r="L95" s="170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58"/>
      <c r="N95" s="158"/>
      <c r="O95" s="159"/>
    </row>
    <row r="96" spans="1:15" hidden="1" x14ac:dyDescent="0.2">
      <c r="A96" s="160"/>
      <c r="B96" s="152"/>
      <c r="C96" s="152"/>
      <c r="D96" s="152"/>
      <c r="E96" s="152"/>
      <c r="F96" s="169" t="str">
        <f t="shared" si="44"/>
        <v/>
      </c>
      <c r="G96" s="168" t="str">
        <f t="shared" si="45"/>
        <v/>
      </c>
      <c r="H96" s="168" t="str">
        <f t="shared" si="46"/>
        <v/>
      </c>
      <c r="I96" s="169" t="str">
        <f t="shared" si="47"/>
        <v/>
      </c>
      <c r="J96" s="168" t="str">
        <f t="shared" si="48"/>
        <v/>
      </c>
      <c r="K96" s="170" t="str">
        <f t="shared" si="49"/>
        <v/>
      </c>
      <c r="L96" s="170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58"/>
      <c r="N96" s="158"/>
      <c r="O96" s="159"/>
    </row>
    <row r="97" spans="1:15" hidden="1" x14ac:dyDescent="0.2">
      <c r="A97" s="160"/>
      <c r="B97" s="152"/>
      <c r="C97" s="152"/>
      <c r="D97" s="152"/>
      <c r="E97" s="152"/>
      <c r="F97" s="169" t="str">
        <f t="shared" si="44"/>
        <v/>
      </c>
      <c r="G97" s="168" t="str">
        <f t="shared" si="45"/>
        <v/>
      </c>
      <c r="H97" s="168" t="str">
        <f t="shared" si="46"/>
        <v/>
      </c>
      <c r="I97" s="169" t="str">
        <f t="shared" si="47"/>
        <v/>
      </c>
      <c r="J97" s="168" t="str">
        <f t="shared" si="48"/>
        <v/>
      </c>
      <c r="K97" s="170" t="str">
        <f t="shared" si="49"/>
        <v/>
      </c>
      <c r="L97" s="170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58"/>
      <c r="N97" s="158"/>
      <c r="O97" s="159"/>
    </row>
    <row r="98" spans="1:15" hidden="1" x14ac:dyDescent="0.2">
      <c r="A98" s="160"/>
      <c r="B98" s="152"/>
      <c r="C98" s="152"/>
      <c r="D98" s="152"/>
      <c r="E98" s="152"/>
      <c r="F98" s="169" t="str">
        <f t="shared" si="44"/>
        <v/>
      </c>
      <c r="G98" s="168" t="str">
        <f t="shared" si="45"/>
        <v/>
      </c>
      <c r="H98" s="168" t="str">
        <f t="shared" si="46"/>
        <v/>
      </c>
      <c r="I98" s="169" t="str">
        <f t="shared" si="47"/>
        <v/>
      </c>
      <c r="J98" s="168" t="str">
        <f t="shared" si="48"/>
        <v/>
      </c>
      <c r="K98" s="170" t="str">
        <f t="shared" si="49"/>
        <v/>
      </c>
      <c r="L98" s="170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58"/>
      <c r="N98" s="158"/>
      <c r="O98" s="159"/>
    </row>
    <row r="99" spans="1:15" hidden="1" x14ac:dyDescent="0.2">
      <c r="A99" s="160"/>
      <c r="B99" s="152"/>
      <c r="C99" s="152"/>
      <c r="D99" s="152"/>
      <c r="E99" s="152"/>
      <c r="F99" s="169" t="str">
        <f t="shared" si="44"/>
        <v/>
      </c>
      <c r="G99" s="168" t="str">
        <f t="shared" si="45"/>
        <v/>
      </c>
      <c r="H99" s="168" t="str">
        <f t="shared" si="46"/>
        <v/>
      </c>
      <c r="I99" s="169" t="str">
        <f t="shared" si="47"/>
        <v/>
      </c>
      <c r="J99" s="168" t="str">
        <f t="shared" si="48"/>
        <v/>
      </c>
      <c r="K99" s="170" t="str">
        <f t="shared" si="49"/>
        <v/>
      </c>
      <c r="L99" s="170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58"/>
      <c r="N99" s="158"/>
      <c r="O99" s="159"/>
    </row>
    <row r="100" spans="1:15" hidden="1" x14ac:dyDescent="0.2">
      <c r="A100" s="160"/>
      <c r="B100" s="152"/>
      <c r="C100" s="152"/>
      <c r="D100" s="152"/>
      <c r="E100" s="152"/>
      <c r="F100" s="169" t="str">
        <f t="shared" si="44"/>
        <v/>
      </c>
      <c r="G100" s="168" t="str">
        <f t="shared" si="45"/>
        <v/>
      </c>
      <c r="H100" s="168" t="str">
        <f t="shared" si="46"/>
        <v/>
      </c>
      <c r="I100" s="169" t="str">
        <f t="shared" si="47"/>
        <v/>
      </c>
      <c r="J100" s="168" t="str">
        <f t="shared" si="48"/>
        <v/>
      </c>
      <c r="K100" s="170" t="str">
        <f t="shared" si="49"/>
        <v/>
      </c>
      <c r="L100" s="170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58"/>
      <c r="N100" s="158"/>
      <c r="O100" s="159"/>
    </row>
    <row r="101" spans="1:15" hidden="1" x14ac:dyDescent="0.2">
      <c r="A101" s="160"/>
      <c r="B101" s="152"/>
      <c r="C101" s="152"/>
      <c r="D101" s="152"/>
      <c r="E101" s="152"/>
      <c r="F101" s="169" t="str">
        <f t="shared" si="44"/>
        <v/>
      </c>
      <c r="G101" s="168" t="str">
        <f t="shared" si="45"/>
        <v/>
      </c>
      <c r="H101" s="168" t="str">
        <f t="shared" si="46"/>
        <v/>
      </c>
      <c r="I101" s="169" t="str">
        <f t="shared" si="47"/>
        <v/>
      </c>
      <c r="J101" s="168" t="str">
        <f t="shared" si="48"/>
        <v/>
      </c>
      <c r="K101" s="170" t="str">
        <f t="shared" si="49"/>
        <v/>
      </c>
      <c r="L101" s="170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58"/>
      <c r="N101" s="158"/>
      <c r="O101" s="159"/>
    </row>
    <row r="102" spans="1:15" hidden="1" x14ac:dyDescent="0.2">
      <c r="A102" s="160"/>
      <c r="B102" s="152"/>
      <c r="C102" s="152"/>
      <c r="D102" s="152"/>
      <c r="E102" s="152"/>
      <c r="F102" s="169" t="str">
        <f t="shared" si="44"/>
        <v/>
      </c>
      <c r="G102" s="168" t="str">
        <f t="shared" si="45"/>
        <v/>
      </c>
      <c r="H102" s="168" t="str">
        <f t="shared" si="46"/>
        <v/>
      </c>
      <c r="I102" s="169" t="str">
        <f t="shared" si="47"/>
        <v/>
      </c>
      <c r="J102" s="168" t="str">
        <f t="shared" si="48"/>
        <v/>
      </c>
      <c r="K102" s="170" t="str">
        <f t="shared" si="49"/>
        <v/>
      </c>
      <c r="L102" s="170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58"/>
      <c r="N102" s="158"/>
      <c r="O102" s="159"/>
    </row>
    <row r="103" spans="1:15" hidden="1" x14ac:dyDescent="0.2">
      <c r="A103" s="160"/>
      <c r="B103" s="152"/>
      <c r="C103" s="152"/>
      <c r="D103" s="152"/>
      <c r="E103" s="152"/>
      <c r="F103" s="169" t="str">
        <f t="shared" si="44"/>
        <v/>
      </c>
      <c r="G103" s="168" t="str">
        <f t="shared" si="45"/>
        <v/>
      </c>
      <c r="H103" s="168" t="str">
        <f t="shared" si="46"/>
        <v/>
      </c>
      <c r="I103" s="169" t="str">
        <f t="shared" si="47"/>
        <v/>
      </c>
      <c r="J103" s="168" t="str">
        <f t="shared" si="48"/>
        <v/>
      </c>
      <c r="K103" s="170" t="str">
        <f t="shared" si="49"/>
        <v/>
      </c>
      <c r="L103" s="170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58"/>
      <c r="N103" s="158"/>
      <c r="O103" s="159"/>
    </row>
    <row r="104" spans="1:15" hidden="1" x14ac:dyDescent="0.2">
      <c r="A104" s="160"/>
      <c r="B104" s="152"/>
      <c r="C104" s="152"/>
      <c r="D104" s="152"/>
      <c r="E104" s="152"/>
      <c r="F104" s="169" t="str">
        <f t="shared" si="44"/>
        <v/>
      </c>
      <c r="G104" s="168" t="str">
        <f t="shared" si="45"/>
        <v/>
      </c>
      <c r="H104" s="168" t="str">
        <f t="shared" si="46"/>
        <v/>
      </c>
      <c r="I104" s="169" t="str">
        <f t="shared" si="47"/>
        <v/>
      </c>
      <c r="J104" s="168" t="str">
        <f t="shared" si="48"/>
        <v/>
      </c>
      <c r="K104" s="170" t="str">
        <f t="shared" si="49"/>
        <v/>
      </c>
      <c r="L104" s="170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58"/>
      <c r="N104" s="158"/>
      <c r="O104" s="159"/>
    </row>
    <row r="105" spans="1:15" hidden="1" x14ac:dyDescent="0.2">
      <c r="A105" s="160"/>
      <c r="B105" s="152"/>
      <c r="C105" s="152"/>
      <c r="D105" s="152"/>
      <c r="E105" s="152"/>
      <c r="F105" s="169" t="str">
        <f t="shared" si="44"/>
        <v/>
      </c>
      <c r="G105" s="168" t="str">
        <f t="shared" si="45"/>
        <v/>
      </c>
      <c r="H105" s="168" t="str">
        <f t="shared" si="46"/>
        <v/>
      </c>
      <c r="I105" s="169" t="str">
        <f t="shared" si="47"/>
        <v/>
      </c>
      <c r="J105" s="168" t="str">
        <f t="shared" si="48"/>
        <v/>
      </c>
      <c r="K105" s="170" t="str">
        <f t="shared" si="49"/>
        <v/>
      </c>
      <c r="L105" s="170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58"/>
      <c r="N105" s="158"/>
      <c r="O105" s="159"/>
    </row>
    <row r="106" spans="1:15" hidden="1" x14ac:dyDescent="0.2">
      <c r="A106" s="160"/>
      <c r="B106" s="152"/>
      <c r="C106" s="152"/>
      <c r="D106" s="152"/>
      <c r="E106" s="152"/>
      <c r="F106" s="169" t="str">
        <f t="shared" si="44"/>
        <v/>
      </c>
      <c r="G106" s="168" t="str">
        <f t="shared" si="45"/>
        <v/>
      </c>
      <c r="H106" s="168" t="str">
        <f t="shared" si="46"/>
        <v/>
      </c>
      <c r="I106" s="169" t="str">
        <f t="shared" si="47"/>
        <v/>
      </c>
      <c r="J106" s="168" t="str">
        <f t="shared" si="48"/>
        <v/>
      </c>
      <c r="K106" s="170" t="str">
        <f t="shared" si="49"/>
        <v/>
      </c>
      <c r="L106" s="170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58"/>
      <c r="N106" s="158"/>
      <c r="O106" s="159"/>
    </row>
    <row r="107" spans="1:15" hidden="1" x14ac:dyDescent="0.2">
      <c r="A107" s="160"/>
      <c r="B107" s="152"/>
      <c r="C107" s="152"/>
      <c r="D107" s="152"/>
      <c r="E107" s="152"/>
      <c r="F107" s="169" t="str">
        <f t="shared" si="44"/>
        <v/>
      </c>
      <c r="G107" s="168" t="str">
        <f t="shared" si="45"/>
        <v/>
      </c>
      <c r="H107" s="168" t="str">
        <f t="shared" si="46"/>
        <v/>
      </c>
      <c r="I107" s="169" t="str">
        <f t="shared" si="47"/>
        <v/>
      </c>
      <c r="J107" s="168" t="str">
        <f t="shared" si="48"/>
        <v/>
      </c>
      <c r="K107" s="170" t="str">
        <f t="shared" si="49"/>
        <v/>
      </c>
      <c r="L107" s="170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58"/>
      <c r="N107" s="158"/>
      <c r="O107" s="159"/>
    </row>
    <row r="108" spans="1:15" hidden="1" x14ac:dyDescent="0.2">
      <c r="A108" s="160"/>
      <c r="B108" s="152"/>
      <c r="C108" s="152"/>
      <c r="D108" s="152"/>
      <c r="E108" s="152"/>
      <c r="F108" s="169" t="str">
        <f t="shared" si="44"/>
        <v/>
      </c>
      <c r="G108" s="168" t="str">
        <f t="shared" si="45"/>
        <v/>
      </c>
      <c r="H108" s="168" t="str">
        <f t="shared" si="46"/>
        <v/>
      </c>
      <c r="I108" s="169" t="str">
        <f t="shared" si="47"/>
        <v/>
      </c>
      <c r="J108" s="168" t="str">
        <f t="shared" si="48"/>
        <v/>
      </c>
      <c r="K108" s="170" t="str">
        <f t="shared" si="49"/>
        <v/>
      </c>
      <c r="L108" s="170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58"/>
      <c r="N108" s="158"/>
      <c r="O108" s="159"/>
    </row>
    <row r="109" spans="1:15" hidden="1" x14ac:dyDescent="0.2">
      <c r="A109" s="160"/>
      <c r="B109" s="152"/>
      <c r="C109" s="152"/>
      <c r="D109" s="152"/>
      <c r="E109" s="152"/>
      <c r="F109" s="169" t="str">
        <f t="shared" si="44"/>
        <v/>
      </c>
      <c r="G109" s="168" t="str">
        <f t="shared" si="45"/>
        <v/>
      </c>
      <c r="H109" s="168" t="str">
        <f t="shared" si="46"/>
        <v/>
      </c>
      <c r="I109" s="169" t="str">
        <f t="shared" si="47"/>
        <v/>
      </c>
      <c r="J109" s="168" t="str">
        <f t="shared" si="48"/>
        <v/>
      </c>
      <c r="K109" s="170" t="str">
        <f t="shared" si="49"/>
        <v/>
      </c>
      <c r="L109" s="170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58"/>
      <c r="N109" s="158"/>
      <c r="O109" s="159"/>
    </row>
    <row r="110" spans="1:15" hidden="1" x14ac:dyDescent="0.2">
      <c r="A110" s="160"/>
      <c r="B110" s="152"/>
      <c r="C110" s="152"/>
      <c r="D110" s="152"/>
      <c r="E110" s="152"/>
      <c r="F110" s="169" t="str">
        <f t="shared" si="44"/>
        <v/>
      </c>
      <c r="G110" s="168" t="str">
        <f t="shared" si="45"/>
        <v/>
      </c>
      <c r="H110" s="168" t="str">
        <f t="shared" si="46"/>
        <v/>
      </c>
      <c r="I110" s="169" t="str">
        <f t="shared" si="47"/>
        <v/>
      </c>
      <c r="J110" s="168" t="str">
        <f t="shared" si="48"/>
        <v/>
      </c>
      <c r="K110" s="170" t="str">
        <f t="shared" si="49"/>
        <v/>
      </c>
      <c r="L110" s="170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58"/>
      <c r="N110" s="158"/>
      <c r="O110" s="159"/>
    </row>
    <row r="111" spans="1:15" hidden="1" x14ac:dyDescent="0.2">
      <c r="A111" s="160"/>
      <c r="B111" s="152"/>
      <c r="C111" s="152"/>
      <c r="D111" s="152"/>
      <c r="E111" s="152"/>
      <c r="F111" s="169" t="str">
        <f t="shared" si="44"/>
        <v/>
      </c>
      <c r="G111" s="168" t="str">
        <f t="shared" si="45"/>
        <v/>
      </c>
      <c r="H111" s="168" t="str">
        <f t="shared" si="46"/>
        <v/>
      </c>
      <c r="I111" s="169" t="str">
        <f t="shared" si="47"/>
        <v/>
      </c>
      <c r="J111" s="168" t="str">
        <f t="shared" si="48"/>
        <v/>
      </c>
      <c r="K111" s="170" t="str">
        <f t="shared" si="49"/>
        <v/>
      </c>
      <c r="L111" s="170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58"/>
      <c r="N111" s="158"/>
      <c r="O111" s="159"/>
    </row>
    <row r="112" spans="1:15" hidden="1" x14ac:dyDescent="0.2">
      <c r="A112" s="160"/>
      <c r="B112" s="152"/>
      <c r="C112" s="152"/>
      <c r="D112" s="152"/>
      <c r="E112" s="152"/>
      <c r="F112" s="169" t="str">
        <f t="shared" si="44"/>
        <v/>
      </c>
      <c r="G112" s="168" t="str">
        <f t="shared" si="45"/>
        <v/>
      </c>
      <c r="H112" s="168" t="str">
        <f t="shared" si="46"/>
        <v/>
      </c>
      <c r="I112" s="169" t="str">
        <f t="shared" si="47"/>
        <v/>
      </c>
      <c r="J112" s="168" t="str">
        <f t="shared" si="48"/>
        <v/>
      </c>
      <c r="K112" s="170" t="str">
        <f t="shared" si="49"/>
        <v/>
      </c>
      <c r="L112" s="170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58"/>
      <c r="N112" s="158"/>
      <c r="O112" s="159"/>
    </row>
    <row r="113" spans="1:15" hidden="1" x14ac:dyDescent="0.2">
      <c r="A113" s="160"/>
      <c r="B113" s="152"/>
      <c r="C113" s="152"/>
      <c r="D113" s="152"/>
      <c r="E113" s="152"/>
      <c r="F113" s="169" t="str">
        <f t="shared" si="44"/>
        <v/>
      </c>
      <c r="G113" s="168" t="str">
        <f t="shared" si="45"/>
        <v/>
      </c>
      <c r="H113" s="168" t="str">
        <f t="shared" si="46"/>
        <v/>
      </c>
      <c r="I113" s="169" t="str">
        <f t="shared" si="47"/>
        <v/>
      </c>
      <c r="J113" s="168" t="str">
        <f t="shared" si="48"/>
        <v/>
      </c>
      <c r="K113" s="170" t="str">
        <f t="shared" si="49"/>
        <v/>
      </c>
      <c r="L113" s="170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58"/>
      <c r="N113" s="158"/>
      <c r="O113" s="159"/>
    </row>
    <row r="114" spans="1:15" hidden="1" x14ac:dyDescent="0.2">
      <c r="A114" s="160"/>
      <c r="B114" s="152"/>
      <c r="C114" s="152"/>
      <c r="D114" s="152"/>
      <c r="E114" s="152"/>
      <c r="F114" s="169" t="str">
        <f t="shared" si="44"/>
        <v/>
      </c>
      <c r="G114" s="168" t="str">
        <f t="shared" si="45"/>
        <v/>
      </c>
      <c r="H114" s="168" t="str">
        <f t="shared" si="46"/>
        <v/>
      </c>
      <c r="I114" s="169" t="str">
        <f t="shared" si="47"/>
        <v/>
      </c>
      <c r="J114" s="168" t="str">
        <f t="shared" si="48"/>
        <v/>
      </c>
      <c r="K114" s="170" t="str">
        <f t="shared" si="49"/>
        <v/>
      </c>
      <c r="L114" s="170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58"/>
      <c r="N114" s="158"/>
      <c r="O114" s="159"/>
    </row>
    <row r="115" spans="1:15" hidden="1" x14ac:dyDescent="0.2">
      <c r="A115" s="160"/>
      <c r="B115" s="152"/>
      <c r="C115" s="152"/>
      <c r="D115" s="152"/>
      <c r="E115" s="152"/>
      <c r="F115" s="169" t="str">
        <f t="shared" si="44"/>
        <v/>
      </c>
      <c r="G115" s="168" t="str">
        <f t="shared" si="45"/>
        <v/>
      </c>
      <c r="H115" s="168" t="str">
        <f t="shared" si="46"/>
        <v/>
      </c>
      <c r="I115" s="169" t="str">
        <f t="shared" si="47"/>
        <v/>
      </c>
      <c r="J115" s="168" t="str">
        <f t="shared" si="48"/>
        <v/>
      </c>
      <c r="K115" s="170" t="str">
        <f t="shared" si="49"/>
        <v/>
      </c>
      <c r="L115" s="170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58"/>
      <c r="N115" s="158"/>
      <c r="O115" s="159"/>
    </row>
    <row r="116" spans="1:15" hidden="1" x14ac:dyDescent="0.2">
      <c r="A116" s="160"/>
      <c r="B116" s="152"/>
      <c r="C116" s="152"/>
      <c r="D116" s="152"/>
      <c r="E116" s="152"/>
      <c r="F116" s="169" t="str">
        <f t="shared" si="44"/>
        <v/>
      </c>
      <c r="G116" s="168" t="str">
        <f t="shared" si="45"/>
        <v/>
      </c>
      <c r="H116" s="168" t="str">
        <f t="shared" si="46"/>
        <v/>
      </c>
      <c r="I116" s="169" t="str">
        <f t="shared" si="47"/>
        <v/>
      </c>
      <c r="J116" s="168" t="str">
        <f t="shared" si="48"/>
        <v/>
      </c>
      <c r="K116" s="170" t="str">
        <f t="shared" si="49"/>
        <v/>
      </c>
      <c r="L116" s="170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58"/>
      <c r="N116" s="158"/>
      <c r="O116" s="159"/>
    </row>
    <row r="117" spans="1:15" hidden="1" x14ac:dyDescent="0.2">
      <c r="A117" s="160"/>
      <c r="B117" s="152"/>
      <c r="C117" s="152"/>
      <c r="D117" s="152"/>
      <c r="E117" s="152"/>
      <c r="F117" s="169" t="str">
        <f t="shared" si="44"/>
        <v/>
      </c>
      <c r="G117" s="168" t="str">
        <f t="shared" si="45"/>
        <v/>
      </c>
      <c r="H117" s="168" t="str">
        <f t="shared" si="46"/>
        <v/>
      </c>
      <c r="I117" s="169" t="str">
        <f t="shared" si="47"/>
        <v/>
      </c>
      <c r="J117" s="168" t="str">
        <f t="shared" si="48"/>
        <v/>
      </c>
      <c r="K117" s="170" t="str">
        <f t="shared" si="49"/>
        <v/>
      </c>
      <c r="L117" s="170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58"/>
      <c r="N117" s="158"/>
      <c r="O117" s="159"/>
    </row>
    <row r="118" spans="1:15" hidden="1" x14ac:dyDescent="0.2">
      <c r="A118" s="160"/>
      <c r="B118" s="152"/>
      <c r="C118" s="152"/>
      <c r="D118" s="152"/>
      <c r="E118" s="152"/>
      <c r="F118" s="169" t="str">
        <f t="shared" si="44"/>
        <v/>
      </c>
      <c r="G118" s="168" t="str">
        <f t="shared" si="45"/>
        <v/>
      </c>
      <c r="H118" s="168" t="str">
        <f t="shared" si="46"/>
        <v/>
      </c>
      <c r="I118" s="169" t="str">
        <f t="shared" si="47"/>
        <v/>
      </c>
      <c r="J118" s="168" t="str">
        <f t="shared" si="48"/>
        <v/>
      </c>
      <c r="K118" s="170" t="str">
        <f t="shared" si="49"/>
        <v/>
      </c>
      <c r="L118" s="170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58"/>
      <c r="N118" s="158"/>
      <c r="O118" s="159"/>
    </row>
    <row r="119" spans="1:15" hidden="1" x14ac:dyDescent="0.2">
      <c r="A119" s="160"/>
      <c r="B119" s="152"/>
      <c r="C119" s="152"/>
      <c r="D119" s="152"/>
      <c r="E119" s="152"/>
      <c r="F119" s="169" t="str">
        <f t="shared" si="44"/>
        <v/>
      </c>
      <c r="G119" s="168" t="str">
        <f t="shared" si="45"/>
        <v/>
      </c>
      <c r="H119" s="168" t="str">
        <f t="shared" si="46"/>
        <v/>
      </c>
      <c r="I119" s="169" t="str">
        <f t="shared" si="47"/>
        <v/>
      </c>
      <c r="J119" s="168" t="str">
        <f t="shared" si="48"/>
        <v/>
      </c>
      <c r="K119" s="170" t="str">
        <f t="shared" si="49"/>
        <v/>
      </c>
      <c r="L119" s="170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58"/>
      <c r="N119" s="158"/>
      <c r="O119" s="159"/>
    </row>
    <row r="120" spans="1:15" hidden="1" x14ac:dyDescent="0.2">
      <c r="A120" s="160"/>
      <c r="B120" s="152"/>
      <c r="C120" s="152"/>
      <c r="D120" s="152"/>
      <c r="E120" s="152"/>
      <c r="F120" s="169" t="str">
        <f t="shared" si="44"/>
        <v/>
      </c>
      <c r="G120" s="168" t="str">
        <f t="shared" si="45"/>
        <v/>
      </c>
      <c r="H120" s="168" t="str">
        <f t="shared" si="46"/>
        <v/>
      </c>
      <c r="I120" s="169" t="str">
        <f t="shared" si="47"/>
        <v/>
      </c>
      <c r="J120" s="168" t="str">
        <f t="shared" si="48"/>
        <v/>
      </c>
      <c r="K120" s="170" t="str">
        <f t="shared" si="49"/>
        <v/>
      </c>
      <c r="L120" s="170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58"/>
      <c r="N120" s="158"/>
      <c r="O120" s="159"/>
    </row>
    <row r="121" spans="1:15" hidden="1" x14ac:dyDescent="0.2">
      <c r="A121" s="160"/>
      <c r="B121" s="152"/>
      <c r="C121" s="152"/>
      <c r="D121" s="152"/>
      <c r="E121" s="152"/>
      <c r="F121" s="169" t="str">
        <f t="shared" si="44"/>
        <v/>
      </c>
      <c r="G121" s="168" t="str">
        <f t="shared" si="45"/>
        <v/>
      </c>
      <c r="H121" s="168" t="str">
        <f t="shared" si="46"/>
        <v/>
      </c>
      <c r="I121" s="169" t="str">
        <f t="shared" si="47"/>
        <v/>
      </c>
      <c r="J121" s="168" t="str">
        <f t="shared" si="48"/>
        <v/>
      </c>
      <c r="K121" s="170" t="str">
        <f t="shared" si="49"/>
        <v/>
      </c>
      <c r="L121" s="170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58"/>
      <c r="N121" s="158"/>
      <c r="O121" s="159"/>
    </row>
    <row r="122" spans="1:15" hidden="1" x14ac:dyDescent="0.2">
      <c r="A122" s="160"/>
      <c r="B122" s="152"/>
      <c r="C122" s="152"/>
      <c r="D122" s="152"/>
      <c r="E122" s="152"/>
      <c r="F122" s="169" t="str">
        <f t="shared" si="44"/>
        <v/>
      </c>
      <c r="G122" s="168" t="str">
        <f t="shared" si="45"/>
        <v/>
      </c>
      <c r="H122" s="168" t="str">
        <f t="shared" si="46"/>
        <v/>
      </c>
      <c r="I122" s="169" t="str">
        <f t="shared" si="47"/>
        <v/>
      </c>
      <c r="J122" s="168" t="str">
        <f t="shared" si="48"/>
        <v/>
      </c>
      <c r="K122" s="170" t="str">
        <f t="shared" si="49"/>
        <v/>
      </c>
      <c r="L122" s="170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58"/>
      <c r="N122" s="158"/>
      <c r="O122" s="159"/>
    </row>
    <row r="123" spans="1:15" hidden="1" x14ac:dyDescent="0.2">
      <c r="A123" s="160"/>
      <c r="B123" s="152"/>
      <c r="C123" s="152"/>
      <c r="D123" s="152"/>
      <c r="E123" s="152"/>
      <c r="F123" s="169" t="str">
        <f t="shared" si="44"/>
        <v/>
      </c>
      <c r="G123" s="168" t="str">
        <f t="shared" si="45"/>
        <v/>
      </c>
      <c r="H123" s="168" t="str">
        <f t="shared" si="46"/>
        <v/>
      </c>
      <c r="I123" s="169" t="str">
        <f t="shared" si="47"/>
        <v/>
      </c>
      <c r="J123" s="168" t="str">
        <f t="shared" si="48"/>
        <v/>
      </c>
      <c r="K123" s="170" t="str">
        <f t="shared" si="49"/>
        <v/>
      </c>
      <c r="L123" s="170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58"/>
      <c r="N123" s="158"/>
      <c r="O123" s="159"/>
    </row>
    <row r="124" spans="1:15" hidden="1" x14ac:dyDescent="0.2">
      <c r="A124" s="160"/>
      <c r="B124" s="152"/>
      <c r="C124" s="152"/>
      <c r="D124" s="152"/>
      <c r="E124" s="152"/>
      <c r="F124" s="169" t="str">
        <f t="shared" si="44"/>
        <v/>
      </c>
      <c r="G124" s="168" t="str">
        <f t="shared" si="45"/>
        <v/>
      </c>
      <c r="H124" s="168" t="str">
        <f t="shared" si="46"/>
        <v/>
      </c>
      <c r="I124" s="169" t="str">
        <f t="shared" si="47"/>
        <v/>
      </c>
      <c r="J124" s="168" t="str">
        <f t="shared" si="48"/>
        <v/>
      </c>
      <c r="K124" s="170" t="str">
        <f t="shared" si="49"/>
        <v/>
      </c>
      <c r="L124" s="170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58"/>
      <c r="N124" s="158"/>
      <c r="O124" s="159"/>
    </row>
    <row r="125" spans="1:15" ht="13.5" thickBot="1" x14ac:dyDescent="0.25">
      <c r="A125" s="161"/>
      <c r="B125" s="162"/>
      <c r="C125" s="162"/>
      <c r="D125" s="162"/>
      <c r="E125" s="162"/>
      <c r="F125" s="173" t="str">
        <f t="shared" ref="F125" si="50">IF(ISBLANK(B125),"",IF(I125="L","Baixa",IF(I125="A","Média",IF(I125="","","Alta"))))</f>
        <v/>
      </c>
      <c r="G125" s="174" t="str">
        <f t="shared" ref="G125" si="51">CONCATENATE(B125,I125)</f>
        <v/>
      </c>
      <c r="H125" s="174" t="str">
        <f t="shared" ref="H125" si="52">IF(ISBLANK(B125),"",IF(B125="ALI",IF(I125="L",7,IF(I125="A",10,15)),IF(B125="AIE",IF(I125="L",5,IF(I125="A",7,10)),IF(B125="SE",IF(I125="L",4,IF(I125="A",5,7)),IF(OR(B125="EE",B125="CE"),IF(I125="L",3,IF(I125="A",4,6)),0)))))</f>
        <v/>
      </c>
      <c r="I125" s="173" t="str">
        <f t="shared" ref="I125" si="53">IF(OR(ISBLANK(D125),ISBLANK(E125)),IF(OR(B125="ALI",B125="AIE"),"L",IF(OR(B125="EE",B125="SE",B125="CE"),"A","")),IF(B125="EE",IF(E125&gt;=3,IF(D125&gt;=5,"H","A"),IF(E125&gt;=2,IF(D125&gt;=16,"H",IF(D125&lt;=4,"L","A")),IF(D125&lt;=15,"L","A"))),IF(OR(B125="SE",B125="CE"),IF(E125&gt;=4,IF(D125&gt;=6,"H","A"),IF(E125&gt;=2,IF(D125&gt;=20,"H",IF(D125&lt;=5,"L","A")),IF(D125&lt;=19,"L","A"))),IF(OR(B125="ALI",B125="AIE"),IF(E125&gt;=6,IF(D125&gt;=20,"H","A"),IF(E125&gt;=2,IF(D125&gt;=51,"H",IF(D125&lt;=19,"L","A")),IF(D125&lt;=50,"L","A"))),""))))</f>
        <v/>
      </c>
      <c r="J125" s="174" t="str">
        <f t="shared" ref="J125" si="54">CONCATENATE(B125,C125)</f>
        <v/>
      </c>
      <c r="K125" s="175" t="str">
        <f t="shared" ref="K125" si="55">IF(OR(H125="",H125=0),L125,H125)</f>
        <v/>
      </c>
      <c r="L125" s="175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63"/>
      <c r="N125" s="163"/>
      <c r="O125" s="164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24:C26 C50:C53 C55:C125 C8:C18 C28:C48">
    <cfRule type="cellIs" dxfId="14" priority="19" stopIfTrue="1" operator="equal">
      <formula>"I"</formula>
    </cfRule>
    <cfRule type="cellIs" dxfId="13" priority="20" stopIfTrue="1" operator="equal">
      <formula>"A"</formula>
    </cfRule>
    <cfRule type="cellIs" dxfId="12" priority="21" stopIfTrue="1" operator="equal">
      <formula>"E"</formula>
    </cfRule>
  </conditionalFormatting>
  <conditionalFormatting sqref="C19:C23">
    <cfRule type="cellIs" dxfId="11" priority="16" stopIfTrue="1" operator="equal">
      <formula>"I"</formula>
    </cfRule>
    <cfRule type="cellIs" dxfId="10" priority="17" stopIfTrue="1" operator="equal">
      <formula>"A"</formula>
    </cfRule>
    <cfRule type="cellIs" dxfId="9" priority="18" stopIfTrue="1" operator="equal">
      <formula>"E"</formula>
    </cfRule>
  </conditionalFormatting>
  <conditionalFormatting sqref="C27">
    <cfRule type="cellIs" dxfId="8" priority="7" stopIfTrue="1" operator="equal">
      <formula>"I"</formula>
    </cfRule>
    <cfRule type="cellIs" dxfId="7" priority="8" stopIfTrue="1" operator="equal">
      <formula>"A"</formula>
    </cfRule>
    <cfRule type="cellIs" dxfId="6" priority="9" stopIfTrue="1" operator="equal">
      <formula>"E"</formula>
    </cfRule>
  </conditionalFormatting>
  <conditionalFormatting sqref="C49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conditionalFormatting sqref="C54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xWindow="374" yWindow="485" count="2">
    <dataValidation type="list" operator="equal" allowBlank="1" showInputMessage="1" showErrorMessage="1" promptTitle="Tipo da Função" prompt="ALI, AIE, EE, SE, CE_x000a_ou_x000a_Itens não mensuráveis" sqref="B8:B125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125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87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64"/>
  <sheetViews>
    <sheetView showGridLines="0" view="pageBreakPreview" zoomScaleSheetLayoutView="100" workbookViewId="0">
      <pane ySplit="1" topLeftCell="A2" activePane="bottomLeft" state="frozen"/>
      <selection activeCell="B11" sqref="B11"/>
      <selection pane="bottomLeft" activeCell="F28" sqref="F28"/>
    </sheetView>
  </sheetViews>
  <sheetFormatPr defaultColWidth="11.5703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2" customWidth="1"/>
    <col min="8" max="8" width="13.28515625" style="3" customWidth="1"/>
    <col min="9" max="9" width="9.85546875" style="3" customWidth="1"/>
    <col min="10" max="11" width="10.5703125" style="4" customWidth="1"/>
    <col min="12" max="12" width="0" style="2" hidden="1" customWidth="1"/>
  </cols>
  <sheetData>
    <row r="1" spans="1:12" ht="36.6" customHeight="1" x14ac:dyDescent="0.25">
      <c r="A1" s="98" t="s">
        <v>39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5"/>
    </row>
    <row r="2" spans="1:12" ht="14.85" customHeight="1" x14ac:dyDescent="0.2">
      <c r="A2" s="108" t="s">
        <v>40</v>
      </c>
      <c r="B2" s="108"/>
      <c r="C2" s="108"/>
      <c r="D2" s="108"/>
      <c r="E2" s="108"/>
      <c r="F2" s="108"/>
      <c r="G2" s="109" t="s">
        <v>41</v>
      </c>
      <c r="H2" s="109" t="s">
        <v>42</v>
      </c>
      <c r="I2" s="109"/>
      <c r="J2" s="109" t="s">
        <v>2</v>
      </c>
      <c r="K2" s="110" t="s">
        <v>43</v>
      </c>
    </row>
    <row r="3" spans="1:12" ht="14.85" customHeight="1" x14ac:dyDescent="0.2">
      <c r="A3" s="88" t="s">
        <v>44</v>
      </c>
      <c r="B3" s="109" t="s">
        <v>45</v>
      </c>
      <c r="C3" s="109"/>
      <c r="D3" s="109"/>
      <c r="E3" s="109"/>
      <c r="F3" s="89" t="s">
        <v>46</v>
      </c>
      <c r="G3" s="109"/>
      <c r="H3" s="89" t="s">
        <v>47</v>
      </c>
      <c r="I3" s="89" t="s">
        <v>48</v>
      </c>
      <c r="J3" s="109"/>
      <c r="K3" s="110"/>
    </row>
    <row r="4" spans="1:12" x14ac:dyDescent="0.2">
      <c r="A4" s="92" t="s">
        <v>49</v>
      </c>
      <c r="B4" s="96" t="s">
        <v>50</v>
      </c>
      <c r="C4" s="96"/>
      <c r="D4" s="96"/>
      <c r="E4" s="96"/>
      <c r="F4" s="87"/>
      <c r="G4" s="6" t="s">
        <v>51</v>
      </c>
      <c r="H4" s="75">
        <v>1</v>
      </c>
      <c r="I4" s="76"/>
      <c r="J4" s="77">
        <f>SUMIF(Funções!$C$8:$C$125,Deflatores!G4,Funções!$H$8:$H$125)</f>
        <v>0</v>
      </c>
      <c r="K4" s="78">
        <f>IF(H4="",COUNTIF(Funções!C$8:C$125,G4)*I4,H4*J4)</f>
        <v>0</v>
      </c>
    </row>
    <row r="5" spans="1:12" x14ac:dyDescent="0.2">
      <c r="A5" s="92" t="s">
        <v>52</v>
      </c>
      <c r="B5" s="96" t="s">
        <v>53</v>
      </c>
      <c r="C5" s="96"/>
      <c r="D5" s="96"/>
      <c r="E5" s="96"/>
      <c r="F5" s="87" t="s">
        <v>54</v>
      </c>
      <c r="G5" s="6" t="s">
        <v>55</v>
      </c>
      <c r="H5" s="75">
        <v>0.5</v>
      </c>
      <c r="I5" s="76"/>
      <c r="J5" s="77">
        <f>SUMIF(Funções!$C$8:$C$125,Deflatores!G5,Funções!$H$8:$H$125)</f>
        <v>0</v>
      </c>
      <c r="K5" s="78">
        <f>IF(H5="",COUNTIF(Funções!C$8:C$125,G5)*I5,H5*J5)</f>
        <v>0</v>
      </c>
    </row>
    <row r="6" spans="1:12" x14ac:dyDescent="0.2">
      <c r="A6" s="92" t="s">
        <v>56</v>
      </c>
      <c r="B6" s="96" t="s">
        <v>57</v>
      </c>
      <c r="C6" s="96"/>
      <c r="D6" s="96"/>
      <c r="E6" s="96"/>
      <c r="F6" s="87" t="s">
        <v>54</v>
      </c>
      <c r="G6" s="6" t="s">
        <v>58</v>
      </c>
      <c r="H6" s="75">
        <v>0.4</v>
      </c>
      <c r="I6" s="76"/>
      <c r="J6" s="77">
        <f>SUMIF(Funções!$C$8:$C$125,Deflatores!G6,Funções!$H$8:$H$125)</f>
        <v>0</v>
      </c>
      <c r="K6" s="78">
        <f>IF(H6="",COUNTIF(Funções!C$8:C$125,G6)*I6,H6*J6)</f>
        <v>0</v>
      </c>
    </row>
    <row r="7" spans="1:12" x14ac:dyDescent="0.2">
      <c r="A7" s="92"/>
      <c r="B7" s="96" t="s">
        <v>59</v>
      </c>
      <c r="C7" s="96"/>
      <c r="D7" s="96"/>
      <c r="E7" s="96"/>
      <c r="F7" s="87" t="s">
        <v>54</v>
      </c>
      <c r="G7" s="6" t="s">
        <v>60</v>
      </c>
      <c r="H7" s="75">
        <v>0.5</v>
      </c>
      <c r="I7" s="76"/>
      <c r="J7" s="77">
        <f>SUMIF(Funções!$C$8:$C$125,Deflatores!G7,Funções!$H$8:$H$125)</f>
        <v>0</v>
      </c>
      <c r="K7" s="78">
        <f>IF(H7="",COUNTIF(Funções!C$8:C$125,G7)*I7,H7*J7)</f>
        <v>0</v>
      </c>
    </row>
    <row r="8" spans="1:12" x14ac:dyDescent="0.2">
      <c r="A8" s="92"/>
      <c r="B8" s="96" t="s">
        <v>61</v>
      </c>
      <c r="C8" s="96"/>
      <c r="D8" s="96"/>
      <c r="E8" s="96"/>
      <c r="F8" s="87" t="s">
        <v>54</v>
      </c>
      <c r="G8" s="6" t="s">
        <v>62</v>
      </c>
      <c r="H8" s="75">
        <v>0.75</v>
      </c>
      <c r="I8" s="76"/>
      <c r="J8" s="77">
        <f>SUMIF(Funções!$C$8:$C$125,Deflatores!G8,Funções!$H$8:$H$125)</f>
        <v>0</v>
      </c>
      <c r="K8" s="78">
        <f>IF(H8="",COUNTIF(Funções!C$8:C$125,G8)*I8,H8*J8)</f>
        <v>0</v>
      </c>
    </row>
    <row r="9" spans="1:12" x14ac:dyDescent="0.2">
      <c r="A9" s="92"/>
      <c r="B9" s="96" t="s">
        <v>63</v>
      </c>
      <c r="C9" s="96"/>
      <c r="D9" s="96"/>
      <c r="E9" s="96"/>
      <c r="F9" s="87" t="s">
        <v>54</v>
      </c>
      <c r="G9" s="6" t="s">
        <v>64</v>
      </c>
      <c r="H9" s="75">
        <v>0.9</v>
      </c>
      <c r="I9" s="76"/>
      <c r="J9" s="77">
        <f>SUMIF(Funções!$C$8:$C$125,Deflatores!G9,Funções!$H$8:$H$125)</f>
        <v>0</v>
      </c>
      <c r="K9" s="78">
        <f>IF(H9="",COUNTIF(Funções!C$8:C$125,G9)*I9,H9*J9)</f>
        <v>0</v>
      </c>
    </row>
    <row r="10" spans="1:12" x14ac:dyDescent="0.2">
      <c r="A10" s="92"/>
      <c r="B10" s="96" t="s">
        <v>65</v>
      </c>
      <c r="C10" s="96"/>
      <c r="D10" s="96"/>
      <c r="E10" s="96"/>
      <c r="F10" s="87" t="s">
        <v>66</v>
      </c>
      <c r="G10" s="6" t="s">
        <v>67</v>
      </c>
      <c r="H10" s="75">
        <v>1</v>
      </c>
      <c r="I10" s="76"/>
      <c r="J10" s="77">
        <f>SUMIF(Funções!$C$8:$C$125,Deflatores!G10,Funções!$H$8:$H$125)</f>
        <v>0</v>
      </c>
      <c r="K10" s="78">
        <f>IF(H10="",COUNTIF(Funções!C$8:C$125,G10)*I10,H10*J10)</f>
        <v>0</v>
      </c>
    </row>
    <row r="11" spans="1:12" x14ac:dyDescent="0.2">
      <c r="A11" s="92"/>
      <c r="B11" s="96" t="s">
        <v>68</v>
      </c>
      <c r="C11" s="96"/>
      <c r="D11" s="96"/>
      <c r="E11" s="96"/>
      <c r="F11" s="87" t="s">
        <v>69</v>
      </c>
      <c r="G11" s="6" t="s">
        <v>70</v>
      </c>
      <c r="H11" s="75">
        <v>0.5</v>
      </c>
      <c r="I11" s="76"/>
      <c r="J11" s="77">
        <f>SUMIF(Funções!$C$8:$C$125,Deflatores!G11,Funções!$H$8:$H$125)</f>
        <v>0</v>
      </c>
      <c r="K11" s="78">
        <f>IF(H11="",COUNTIF(Funções!C$8:C$125,G11)*I11,H11*J11)</f>
        <v>0</v>
      </c>
    </row>
    <row r="12" spans="1:12" ht="13.5" customHeight="1" x14ac:dyDescent="0.2">
      <c r="A12" s="92"/>
      <c r="B12" s="96" t="s">
        <v>71</v>
      </c>
      <c r="C12" s="96"/>
      <c r="D12" s="96"/>
      <c r="E12" s="96"/>
      <c r="F12" s="87" t="s">
        <v>69</v>
      </c>
      <c r="G12" s="6" t="s">
        <v>72</v>
      </c>
      <c r="H12" s="75">
        <v>0.5</v>
      </c>
      <c r="I12" s="76"/>
      <c r="J12" s="77">
        <f>SUMIF(Funções!$C$8:$C$125,Deflatores!G12,Funções!$H$8:$H$125)</f>
        <v>0</v>
      </c>
      <c r="K12" s="78">
        <f>IF(H12="",COUNTIF(Funções!C$8:C$125,G12)*I12,H12*J12)</f>
        <v>0</v>
      </c>
    </row>
    <row r="13" spans="1:12" ht="13.5" customHeight="1" x14ac:dyDescent="0.2">
      <c r="A13" s="92"/>
      <c r="B13" s="96" t="s">
        <v>73</v>
      </c>
      <c r="C13" s="96"/>
      <c r="D13" s="96"/>
      <c r="E13" s="96"/>
      <c r="F13" s="87" t="s">
        <v>69</v>
      </c>
      <c r="G13" s="6" t="s">
        <v>74</v>
      </c>
      <c r="H13" s="75">
        <v>0.75</v>
      </c>
      <c r="I13" s="76"/>
      <c r="J13" s="77">
        <f>SUMIF(Funções!$C$8:$C$125,Deflatores!G13,Funções!$H$8:$H$125)</f>
        <v>0</v>
      </c>
      <c r="K13" s="78">
        <f>IF(H13="",COUNTIF(Funções!C$8:C$125,G13)*I13,H13*J13)</f>
        <v>0</v>
      </c>
    </row>
    <row r="14" spans="1:12" ht="13.5" customHeight="1" x14ac:dyDescent="0.2">
      <c r="A14" s="92"/>
      <c r="B14" s="96" t="s">
        <v>75</v>
      </c>
      <c r="C14" s="96"/>
      <c r="D14" s="96"/>
      <c r="E14" s="96"/>
      <c r="F14" s="87" t="s">
        <v>69</v>
      </c>
      <c r="G14" s="6" t="s">
        <v>76</v>
      </c>
      <c r="H14" s="75">
        <v>0.9</v>
      </c>
      <c r="I14" s="76"/>
      <c r="J14" s="77">
        <f>SUMIF(Funções!$C$8:$C$125,Deflatores!G14,Funções!$H$8:$H$125)</f>
        <v>0</v>
      </c>
      <c r="K14" s="78">
        <f>IF(H14="",COUNTIF(Funções!C$8:C$125,G14)*I14,H14*J14)</f>
        <v>0</v>
      </c>
    </row>
    <row r="15" spans="1:12" ht="13.5" customHeight="1" x14ac:dyDescent="0.2">
      <c r="A15" s="92"/>
      <c r="B15" s="96" t="s">
        <v>77</v>
      </c>
      <c r="C15" s="96"/>
      <c r="D15" s="96"/>
      <c r="E15" s="96"/>
      <c r="F15" s="87" t="s">
        <v>69</v>
      </c>
      <c r="G15" s="6" t="s">
        <v>78</v>
      </c>
      <c r="H15" s="75">
        <v>0</v>
      </c>
      <c r="I15" s="76"/>
      <c r="J15" s="77">
        <f>SUMIF(Funções!$C$8:$C$125,Deflatores!G15,Funções!$H$8:$H$125)</f>
        <v>0</v>
      </c>
      <c r="K15" s="78">
        <f>IF(H15="",COUNTIF(Funções!C$8:C$125,G15)*I15,H15*J15)</f>
        <v>0</v>
      </c>
    </row>
    <row r="16" spans="1:12" ht="13.5" customHeight="1" x14ac:dyDescent="0.2">
      <c r="A16" s="92"/>
      <c r="B16" s="96" t="s">
        <v>79</v>
      </c>
      <c r="C16" s="96"/>
      <c r="D16" s="96"/>
      <c r="E16" s="96"/>
      <c r="F16" s="87" t="s">
        <v>80</v>
      </c>
      <c r="G16" s="6" t="s">
        <v>81</v>
      </c>
      <c r="H16" s="75">
        <v>1</v>
      </c>
      <c r="I16" s="76"/>
      <c r="J16" s="77">
        <f>SUMIF(Funções!$C$8:$C$125,Deflatores!G16,Funções!$H$8:$H$125)</f>
        <v>0</v>
      </c>
      <c r="K16" s="78">
        <f>IF(H16="",COUNTIF(Funções!C$8:C$125,G16)*I16,H16*J16)</f>
        <v>0</v>
      </c>
    </row>
    <row r="17" spans="1:11" x14ac:dyDescent="0.2">
      <c r="A17" s="92"/>
      <c r="B17" s="96" t="s">
        <v>82</v>
      </c>
      <c r="C17" s="96"/>
      <c r="D17" s="96"/>
      <c r="E17" s="96"/>
      <c r="F17" s="87" t="s">
        <v>83</v>
      </c>
      <c r="G17" s="6" t="s">
        <v>84</v>
      </c>
      <c r="H17" s="75">
        <v>1</v>
      </c>
      <c r="I17" s="76"/>
      <c r="J17" s="77">
        <f>SUMIF(Funções!$C$8:$C$125,Deflatores!G17,Funções!$H$8:$H$125)</f>
        <v>0</v>
      </c>
      <c r="K17" s="78">
        <f>IF(H17="",COUNTIF(Funções!C$8:C$125,G17)*I17,H17*J17)</f>
        <v>0</v>
      </c>
    </row>
    <row r="18" spans="1:11" ht="13.5" customHeight="1" x14ac:dyDescent="0.2">
      <c r="A18" s="92"/>
      <c r="B18" s="96" t="s">
        <v>85</v>
      </c>
      <c r="C18" s="96"/>
      <c r="D18" s="96"/>
      <c r="E18" s="96"/>
      <c r="F18" s="87" t="s">
        <v>83</v>
      </c>
      <c r="G18" s="6" t="s">
        <v>86</v>
      </c>
      <c r="H18" s="75">
        <v>0.3</v>
      </c>
      <c r="I18" s="76"/>
      <c r="J18" s="77">
        <f>SUMIF(Funções!$C$8:$C$125,Deflatores!G18,Funções!$H$8:$H$125)</f>
        <v>0</v>
      </c>
      <c r="K18" s="78">
        <f>IF(H18="",COUNTIF(Funções!C$8:C$125,G18)*I18,H18*J18)</f>
        <v>0</v>
      </c>
    </row>
    <row r="19" spans="1:11" ht="13.5" customHeight="1" x14ac:dyDescent="0.2">
      <c r="A19" s="92"/>
      <c r="B19" s="96" t="s">
        <v>87</v>
      </c>
      <c r="C19" s="96"/>
      <c r="D19" s="96"/>
      <c r="E19" s="96"/>
      <c r="F19" s="87" t="s">
        <v>88</v>
      </c>
      <c r="G19" s="6" t="s">
        <v>89</v>
      </c>
      <c r="H19" s="75">
        <v>0.3</v>
      </c>
      <c r="I19" s="76"/>
      <c r="J19" s="77">
        <f>SUMIF(Funções!$C$8:$C$125,Deflatores!G19,Funções!$H$8:$H$125)</f>
        <v>0</v>
      </c>
      <c r="K19" s="78">
        <f>IF(H19="",COUNTIF(Funções!C$8:C$125,G19)*I19,H19*J19)</f>
        <v>0</v>
      </c>
    </row>
    <row r="20" spans="1:11" ht="13.5" customHeight="1" x14ac:dyDescent="0.2">
      <c r="A20" s="92"/>
      <c r="B20" s="96" t="s">
        <v>90</v>
      </c>
      <c r="C20" s="96"/>
      <c r="D20" s="96"/>
      <c r="E20" s="96"/>
      <c r="F20" s="87" t="s">
        <v>91</v>
      </c>
      <c r="G20" s="6" t="s">
        <v>92</v>
      </c>
      <c r="H20" s="75">
        <v>0.3</v>
      </c>
      <c r="I20" s="76"/>
      <c r="J20" s="77">
        <f>SUMIF(Funções!$C$8:$C$125,Deflatores!G20,Funções!$H$8:$H$125)</f>
        <v>0</v>
      </c>
      <c r="K20" s="78">
        <f>IF(H20="",COUNTIF(Funções!C$8:C$125,G20)*I20,H20*J20)</f>
        <v>0</v>
      </c>
    </row>
    <row r="21" spans="1:11" ht="13.5" customHeight="1" x14ac:dyDescent="0.2">
      <c r="A21" s="92"/>
      <c r="B21" s="96" t="s">
        <v>93</v>
      </c>
      <c r="C21" s="96"/>
      <c r="D21" s="96"/>
      <c r="E21" s="96"/>
      <c r="F21" s="87" t="s">
        <v>94</v>
      </c>
      <c r="G21" s="6" t="s">
        <v>95</v>
      </c>
      <c r="H21" s="75">
        <v>0.3</v>
      </c>
      <c r="I21" s="76"/>
      <c r="J21" s="77">
        <f>SUMIF(Funções!$C$8:$C$125,Deflatores!G21,Funções!$H$8:$H$125)</f>
        <v>0</v>
      </c>
      <c r="K21" s="78">
        <f>IF(H21="",COUNTIF(Funções!C$8:C$125,G21)*I21,H21*J21)</f>
        <v>0</v>
      </c>
    </row>
    <row r="22" spans="1:11" x14ac:dyDescent="0.2">
      <c r="A22" s="92"/>
      <c r="B22" s="96" t="s">
        <v>96</v>
      </c>
      <c r="C22" s="96"/>
      <c r="D22" s="96"/>
      <c r="E22" s="96"/>
      <c r="F22" s="87" t="s">
        <v>97</v>
      </c>
      <c r="G22" s="6" t="s">
        <v>98</v>
      </c>
      <c r="H22" s="75"/>
      <c r="I22" s="76">
        <v>0.6</v>
      </c>
      <c r="J22" s="77">
        <f>SUMIF(Funções!$C$8:$C$125,Deflatores!G22,Funções!$H$8:$H$125)</f>
        <v>0</v>
      </c>
      <c r="K22" s="78">
        <f>IF(H22="",COUNTIF(Funções!C$8:C$125,G22)*I22,H22*J22)</f>
        <v>0</v>
      </c>
    </row>
    <row r="23" spans="1:11" ht="27" customHeight="1" x14ac:dyDescent="0.2">
      <c r="A23" s="92"/>
      <c r="B23" s="111" t="s">
        <v>99</v>
      </c>
      <c r="C23" s="112"/>
      <c r="D23" s="112"/>
      <c r="E23" s="113"/>
      <c r="F23" s="90" t="s">
        <v>100</v>
      </c>
      <c r="G23" s="6" t="s">
        <v>101</v>
      </c>
      <c r="H23" s="75">
        <v>0.5</v>
      </c>
      <c r="I23" s="76"/>
      <c r="J23" s="77">
        <f>SUMIF(Funções!$C$8:$C$125,Deflatores!G23,Funções!$H$8:$H$125)</f>
        <v>0</v>
      </c>
      <c r="K23" s="78">
        <f>IF(H23="",COUNTIF(Funções!C$8:C$125,G23)*I23,H23*J23)</f>
        <v>0</v>
      </c>
    </row>
    <row r="24" spans="1:11" ht="27" customHeight="1" x14ac:dyDescent="0.2">
      <c r="A24" s="92"/>
      <c r="B24" s="111" t="s">
        <v>102</v>
      </c>
      <c r="C24" s="112"/>
      <c r="D24" s="112"/>
      <c r="E24" s="113"/>
      <c r="F24" s="90" t="s">
        <v>100</v>
      </c>
      <c r="G24" s="6" t="s">
        <v>103</v>
      </c>
      <c r="H24" s="75">
        <v>0.5</v>
      </c>
      <c r="I24" s="76"/>
      <c r="J24" s="77">
        <f>SUMIF(Funções!$C$8:$C$125,Deflatores!G24,Funções!$H$8:$H$125)</f>
        <v>0</v>
      </c>
      <c r="K24" s="78">
        <f>IF(H24="",COUNTIF(Funções!C$8:C$125,G24)*I24,H24*J24)</f>
        <v>0</v>
      </c>
    </row>
    <row r="25" spans="1:11" ht="27" customHeight="1" x14ac:dyDescent="0.2">
      <c r="A25" s="92"/>
      <c r="B25" s="114" t="s">
        <v>104</v>
      </c>
      <c r="C25" s="96"/>
      <c r="D25" s="96"/>
      <c r="E25" s="96"/>
      <c r="F25" s="90" t="s">
        <v>100</v>
      </c>
      <c r="G25" s="6" t="s">
        <v>105</v>
      </c>
      <c r="H25" s="75">
        <v>0.75</v>
      </c>
      <c r="I25" s="76"/>
      <c r="J25" s="77">
        <f>SUMIF(Funções!$C$8:$C$125,Deflatores!G25,Funções!$H$8:$H$125)</f>
        <v>0</v>
      </c>
      <c r="K25" s="78">
        <f>IF(H25="",COUNTIF(Funções!C$8:C$125,G25)*I25,H25*J25)</f>
        <v>0</v>
      </c>
    </row>
    <row r="26" spans="1:11" ht="13.5" customHeight="1" x14ac:dyDescent="0.2">
      <c r="A26" s="92"/>
      <c r="B26" s="96" t="s">
        <v>106</v>
      </c>
      <c r="C26" s="96"/>
      <c r="D26" s="96"/>
      <c r="E26" s="96"/>
      <c r="F26" s="87" t="s">
        <v>107</v>
      </c>
      <c r="G26" s="6" t="s">
        <v>108</v>
      </c>
      <c r="H26" s="75">
        <v>1</v>
      </c>
      <c r="I26" s="76"/>
      <c r="J26" s="77">
        <f>SUMIF(Funções!$C$8:$C$125,Deflatores!G26,Funções!$H$8:$H$125)</f>
        <v>0</v>
      </c>
      <c r="K26" s="78">
        <f>IF(H26="",COUNTIF(Funções!C$8:C$125,G26)*I26,H26*J26)</f>
        <v>0</v>
      </c>
    </row>
    <row r="27" spans="1:11" ht="13.5" customHeight="1" x14ac:dyDescent="0.2">
      <c r="A27" s="92"/>
      <c r="B27" s="96" t="s">
        <v>109</v>
      </c>
      <c r="C27" s="96"/>
      <c r="D27" s="96"/>
      <c r="E27" s="96"/>
      <c r="F27" s="87" t="s">
        <v>107</v>
      </c>
      <c r="G27" s="6" t="s">
        <v>110</v>
      </c>
      <c r="H27" s="75">
        <v>1</v>
      </c>
      <c r="I27" s="76"/>
      <c r="J27" s="77">
        <f>SUMIF(Funções!$C$8:$C$125,Deflatores!G27,Funções!$H$8:$H$125)</f>
        <v>0</v>
      </c>
      <c r="K27" s="78">
        <f>IF(H27="",COUNTIF(Funções!C$8:C$125,G27)*I27,H27*J27)</f>
        <v>0</v>
      </c>
    </row>
    <row r="28" spans="1:11" ht="13.5" customHeight="1" x14ac:dyDescent="0.2">
      <c r="A28" s="92"/>
      <c r="B28" s="96" t="s">
        <v>111</v>
      </c>
      <c r="C28" s="96"/>
      <c r="D28" s="96"/>
      <c r="E28" s="96"/>
      <c r="F28" s="87" t="s">
        <v>107</v>
      </c>
      <c r="G28" s="6" t="s">
        <v>112</v>
      </c>
      <c r="H28" s="75">
        <v>0.6</v>
      </c>
      <c r="I28" s="76"/>
      <c r="J28" s="77">
        <f>SUMIF(Funções!$C$8:$C$125,Deflatores!G28,Funções!$H$8:$H$125)</f>
        <v>0</v>
      </c>
      <c r="K28" s="78">
        <f>IF(H28="",COUNTIF(Funções!C$8:C$125,G28)*I28,H28*J28)</f>
        <v>0</v>
      </c>
    </row>
    <row r="29" spans="1:11" ht="13.5" customHeight="1" x14ac:dyDescent="0.2">
      <c r="A29" s="92"/>
      <c r="B29" s="96" t="s">
        <v>113</v>
      </c>
      <c r="C29" s="96"/>
      <c r="D29" s="96"/>
      <c r="E29" s="96"/>
      <c r="F29" s="87" t="s">
        <v>114</v>
      </c>
      <c r="G29" s="6" t="s">
        <v>115</v>
      </c>
      <c r="H29" s="75">
        <v>1</v>
      </c>
      <c r="I29" s="76"/>
      <c r="J29" s="77">
        <f>SUMIF(Funções!$C$8:$C$125,Deflatores!G29,Funções!$H$8:$H$125)</f>
        <v>0</v>
      </c>
      <c r="K29" s="78">
        <f>IF(H29="",COUNTIF(Funções!C$8:C$125,G29)*I29,H29*J29)</f>
        <v>0</v>
      </c>
    </row>
    <row r="30" spans="1:11" ht="13.5" customHeight="1" x14ac:dyDescent="0.2">
      <c r="A30" s="92"/>
      <c r="B30" s="96" t="s">
        <v>116</v>
      </c>
      <c r="C30" s="96"/>
      <c r="D30" s="96"/>
      <c r="E30" s="96"/>
      <c r="F30" s="87" t="s">
        <v>117</v>
      </c>
      <c r="G30" s="6" t="s">
        <v>118</v>
      </c>
      <c r="H30" s="75">
        <v>0.1</v>
      </c>
      <c r="I30" s="76"/>
      <c r="J30" s="77">
        <f>SUMIF(Funções!$C$8:$C$125,Deflatores!G30,Funções!$H$8:$H$125)</f>
        <v>0</v>
      </c>
      <c r="K30" s="78">
        <f>IF(H30="",COUNTIF(Funções!C$8:C$125,G30)*I30,H30*J30)</f>
        <v>0</v>
      </c>
    </row>
    <row r="31" spans="1:11" ht="13.5" customHeight="1" x14ac:dyDescent="0.2">
      <c r="A31" s="92"/>
      <c r="B31" s="96" t="s">
        <v>119</v>
      </c>
      <c r="C31" s="96"/>
      <c r="D31" s="96"/>
      <c r="E31" s="96"/>
      <c r="F31" s="87" t="s">
        <v>120</v>
      </c>
      <c r="G31" s="6" t="s">
        <v>121</v>
      </c>
      <c r="H31" s="75">
        <v>0.1</v>
      </c>
      <c r="I31" s="76"/>
      <c r="J31" s="77">
        <f>SUMIF(Funções!$C$8:$C$125,Deflatores!G31,Funções!$H$8:$H$125)</f>
        <v>0</v>
      </c>
      <c r="K31" s="78">
        <f>IF(H31="",COUNTIF(Funções!C$8:C$125,G31)*I31,H31*J31)</f>
        <v>0</v>
      </c>
    </row>
    <row r="32" spans="1:11" ht="13.5" customHeight="1" x14ac:dyDescent="0.2">
      <c r="A32" s="92"/>
      <c r="B32" s="84" t="s">
        <v>122</v>
      </c>
      <c r="C32" s="85"/>
      <c r="D32" s="85"/>
      <c r="E32" s="86"/>
      <c r="F32" s="87" t="s">
        <v>123</v>
      </c>
      <c r="G32" s="6" t="s">
        <v>124</v>
      </c>
      <c r="H32" s="75">
        <v>0.25</v>
      </c>
      <c r="I32" s="76"/>
      <c r="J32" s="77">
        <f>SUMIF(Funções!$C$8:$C$125,Deflatores!G32,Funções!$H$8:$H$125)</f>
        <v>0</v>
      </c>
      <c r="K32" s="78">
        <f>IF(H32="",COUNTIF(Funções!C$8:C$125,G32)*I32,H32*J32)</f>
        <v>0</v>
      </c>
    </row>
    <row r="33" spans="1:12" ht="13.5" customHeight="1" x14ac:dyDescent="0.2">
      <c r="A33" s="92"/>
      <c r="B33" s="84" t="s">
        <v>125</v>
      </c>
      <c r="C33" s="85"/>
      <c r="D33" s="85"/>
      <c r="E33" s="86"/>
      <c r="F33" s="87" t="s">
        <v>126</v>
      </c>
      <c r="G33" s="6" t="s">
        <v>127</v>
      </c>
      <c r="H33" s="75">
        <v>0.2</v>
      </c>
      <c r="I33" s="76"/>
      <c r="J33" s="77">
        <f>SUMIF(Funções!$C$8:$C$125,Deflatores!G33,Funções!$H$8:$H$125)</f>
        <v>0</v>
      </c>
      <c r="K33" s="78">
        <f>IF(H33="",COUNTIF(Funções!C$8:C$125,G33)*I33,H33*J33)</f>
        <v>0</v>
      </c>
    </row>
    <row r="34" spans="1:12" ht="13.5" customHeight="1" x14ac:dyDescent="0.2">
      <c r="A34" s="92"/>
      <c r="B34" s="84" t="s">
        <v>128</v>
      </c>
      <c r="C34" s="85"/>
      <c r="D34" s="85"/>
      <c r="E34" s="86"/>
      <c r="F34" s="87" t="s">
        <v>126</v>
      </c>
      <c r="G34" s="6" t="s">
        <v>129</v>
      </c>
      <c r="H34" s="75">
        <v>0.15</v>
      </c>
      <c r="I34" s="76"/>
      <c r="J34" s="77">
        <f>SUMIF(Funções!$C$8:$C$125,Deflatores!G34,Funções!$H$8:$H$125)</f>
        <v>0</v>
      </c>
      <c r="K34" s="78">
        <f>IF(H34="",COUNTIF(Funções!C$8:C$125,G34)*I34,H34*J34)</f>
        <v>0</v>
      </c>
    </row>
    <row r="35" spans="1:12" ht="13.5" customHeight="1" x14ac:dyDescent="0.2">
      <c r="A35" s="92"/>
      <c r="B35" s="84" t="s">
        <v>130</v>
      </c>
      <c r="C35" s="85"/>
      <c r="D35" s="85"/>
      <c r="E35" s="86"/>
      <c r="F35" s="87" t="s">
        <v>131</v>
      </c>
      <c r="G35" s="6" t="s">
        <v>132</v>
      </c>
      <c r="H35" s="75">
        <v>0.15</v>
      </c>
      <c r="I35" s="76"/>
      <c r="J35" s="77">
        <f>SUMIF(Funções!$C$8:$C$125,Deflatores!G35,Funções!$H$8:$H$125)</f>
        <v>0</v>
      </c>
      <c r="K35" s="78">
        <f>IF(H35="",COUNTIF(Funções!C$8:C$125,G35)*I35,H35*J35)</f>
        <v>0</v>
      </c>
    </row>
    <row r="36" spans="1:12" ht="13.5" customHeight="1" x14ac:dyDescent="0.2">
      <c r="A36" s="92"/>
      <c r="B36" s="96" t="s">
        <v>133</v>
      </c>
      <c r="C36" s="96"/>
      <c r="D36" s="96"/>
      <c r="E36" s="96"/>
      <c r="F36" s="87" t="s">
        <v>134</v>
      </c>
      <c r="G36" s="6" t="s">
        <v>135</v>
      </c>
      <c r="H36" s="75">
        <v>1</v>
      </c>
      <c r="I36" s="76"/>
      <c r="J36" s="77">
        <f>SUMIF(Funções!$C$8:$C$125,Deflatores!G36,Funções!$H$8:$H$125)</f>
        <v>0</v>
      </c>
      <c r="K36" s="78">
        <f>IF(H36="",COUNTIF(Funções!C$8:C$125,G36)*I36,H36*J36)</f>
        <v>0</v>
      </c>
    </row>
    <row r="37" spans="1:12" ht="13.5" customHeight="1" x14ac:dyDescent="0.2">
      <c r="A37" s="92"/>
      <c r="B37" s="96"/>
      <c r="C37" s="96"/>
      <c r="D37" s="96"/>
      <c r="E37" s="96"/>
      <c r="F37" s="87"/>
      <c r="G37" s="6" t="s">
        <v>136</v>
      </c>
      <c r="H37" s="75"/>
      <c r="I37" s="76"/>
      <c r="J37" s="77">
        <f>SUMIF(Funções!$C$8:$C$125,Deflatores!G37,Funções!$H$8:$H$125)</f>
        <v>0</v>
      </c>
      <c r="K37" s="78">
        <f>IF(H37="",COUNTIF(Funções!C$8:C$125,G37)*I37,H37*J37)</f>
        <v>0</v>
      </c>
      <c r="L37" s="2" t="s">
        <v>35</v>
      </c>
    </row>
    <row r="38" spans="1:12" ht="13.5" customHeight="1" x14ac:dyDescent="0.2">
      <c r="A38" s="92"/>
      <c r="B38" s="96"/>
      <c r="C38" s="96"/>
      <c r="D38" s="96"/>
      <c r="E38" s="96"/>
      <c r="F38" s="87"/>
      <c r="G38" s="6" t="s">
        <v>136</v>
      </c>
      <c r="H38" s="75"/>
      <c r="I38" s="76"/>
      <c r="J38" s="77">
        <f>SUMIF(Funções!$C$8:$C$125,Deflatores!G38,Funções!$H$8:$H$125)</f>
        <v>0</v>
      </c>
      <c r="K38" s="78">
        <f>IF(H38="",COUNTIF(Funções!C$8:C$125,G38)*I38,H38*J38)</f>
        <v>0</v>
      </c>
      <c r="L38" s="2" t="s">
        <v>137</v>
      </c>
    </row>
    <row r="39" spans="1:12" ht="13.5" x14ac:dyDescent="0.25">
      <c r="A39" s="51"/>
      <c r="B39" s="52"/>
      <c r="C39" s="52"/>
      <c r="D39" s="52"/>
      <c r="E39" s="52"/>
      <c r="F39" s="52"/>
      <c r="G39" s="53"/>
      <c r="H39" s="54"/>
      <c r="I39" s="54"/>
      <c r="J39" s="55"/>
      <c r="K39" s="56"/>
      <c r="L39" s="2" t="s">
        <v>38</v>
      </c>
    </row>
    <row r="40" spans="1:12" ht="14.85" customHeight="1" x14ac:dyDescent="0.2">
      <c r="A40" s="108" t="s">
        <v>39</v>
      </c>
      <c r="B40" s="108"/>
      <c r="C40" s="108"/>
      <c r="D40" s="108"/>
      <c r="E40" s="108"/>
      <c r="F40" s="108"/>
      <c r="G40" s="109" t="s">
        <v>41</v>
      </c>
      <c r="H40" s="109" t="s">
        <v>42</v>
      </c>
      <c r="I40" s="109"/>
      <c r="J40" s="109" t="s">
        <v>138</v>
      </c>
      <c r="K40" s="110" t="s">
        <v>43</v>
      </c>
      <c r="L40" s="2" t="s">
        <v>37</v>
      </c>
    </row>
    <row r="41" spans="1:12" ht="14.85" customHeight="1" x14ac:dyDescent="0.2">
      <c r="A41" s="88" t="s">
        <v>44</v>
      </c>
      <c r="B41" s="109" t="s">
        <v>45</v>
      </c>
      <c r="C41" s="109"/>
      <c r="D41" s="109"/>
      <c r="E41" s="109"/>
      <c r="F41" s="89" t="s">
        <v>46</v>
      </c>
      <c r="G41" s="109"/>
      <c r="H41" s="109"/>
      <c r="I41" s="109"/>
      <c r="J41" s="109"/>
      <c r="K41" s="110"/>
      <c r="L41" s="2" t="s">
        <v>36</v>
      </c>
    </row>
    <row r="42" spans="1:12" ht="13.5" customHeight="1" x14ac:dyDescent="0.25">
      <c r="A42" s="8"/>
      <c r="B42" s="96" t="s">
        <v>139</v>
      </c>
      <c r="C42" s="96"/>
      <c r="D42" s="96"/>
      <c r="E42" s="96"/>
      <c r="F42" s="87" t="s">
        <v>140</v>
      </c>
      <c r="G42" s="6" t="s">
        <v>141</v>
      </c>
      <c r="H42" s="115">
        <v>0.6</v>
      </c>
      <c r="I42" s="115"/>
      <c r="J42" s="9">
        <f>COUNTIF(Funções!B$8:B$125,G42)</f>
        <v>0</v>
      </c>
      <c r="K42" s="7">
        <f>SUMIF(Funções!B$8:B$125,$G42,Funções!K$8:K$125)</f>
        <v>0</v>
      </c>
      <c r="L42" s="2" t="str">
        <f t="shared" ref="L42:L64" si="0">""&amp;G42</f>
        <v>PAG</v>
      </c>
    </row>
    <row r="43" spans="1:12" ht="13.5" customHeight="1" x14ac:dyDescent="0.25">
      <c r="A43" s="8"/>
      <c r="B43" s="96" t="s">
        <v>142</v>
      </c>
      <c r="C43" s="96"/>
      <c r="D43" s="96"/>
      <c r="E43" s="96"/>
      <c r="F43" s="87" t="s">
        <v>97</v>
      </c>
      <c r="G43" s="6" t="s">
        <v>143</v>
      </c>
      <c r="H43" s="115">
        <v>0.6</v>
      </c>
      <c r="I43" s="115"/>
      <c r="J43" s="9">
        <f>COUNTIF(Funções!B$8:B$125,G43)</f>
        <v>0</v>
      </c>
      <c r="K43" s="7">
        <f>SUMIF(Funções!B$8:B$125,$G43,Funções!K$8:K$125)</f>
        <v>0</v>
      </c>
      <c r="L43" s="2" t="str">
        <f t="shared" si="0"/>
        <v>COSNF</v>
      </c>
    </row>
    <row r="44" spans="1:12" ht="13.5" customHeight="1" x14ac:dyDescent="0.25">
      <c r="A44" s="8"/>
      <c r="B44" s="96" t="s">
        <v>144</v>
      </c>
      <c r="C44" s="96"/>
      <c r="D44" s="96"/>
      <c r="E44" s="96"/>
      <c r="F44" s="87"/>
      <c r="G44" s="6" t="s">
        <v>145</v>
      </c>
      <c r="H44" s="115">
        <v>0</v>
      </c>
      <c r="I44" s="115"/>
      <c r="J44" s="9">
        <f>COUNTIF(Funções!B$8:B$125,G44)</f>
        <v>0</v>
      </c>
      <c r="K44" s="7">
        <f>SUMIF(Funções!B$8:B$125,$G44,Funções!K$8:K$125)</f>
        <v>0</v>
      </c>
      <c r="L44" s="2" t="str">
        <f t="shared" si="0"/>
        <v>DC</v>
      </c>
    </row>
    <row r="45" spans="1:12" ht="13.5" customHeight="1" x14ac:dyDescent="0.25">
      <c r="A45" s="8"/>
      <c r="B45" s="96"/>
      <c r="C45" s="96"/>
      <c r="D45" s="96"/>
      <c r="E45" s="96"/>
      <c r="F45" s="87"/>
      <c r="G45" s="6" t="s">
        <v>136</v>
      </c>
      <c r="H45" s="115"/>
      <c r="I45" s="115"/>
      <c r="J45" s="9">
        <f>COUNTIF(Funções!B$8:B$125,G45)</f>
        <v>0</v>
      </c>
      <c r="K45" s="7">
        <f>SUMIF(Funções!B$8:B$125,$G45,Funções!K$8:K$125)</f>
        <v>0</v>
      </c>
      <c r="L45" s="2" t="str">
        <f t="shared" si="0"/>
        <v xml:space="preserve">           .</v>
      </c>
    </row>
    <row r="46" spans="1:12" ht="13.5" customHeight="1" x14ac:dyDescent="0.25">
      <c r="A46" s="8"/>
      <c r="B46" s="96"/>
      <c r="C46" s="96"/>
      <c r="D46" s="96"/>
      <c r="E46" s="96"/>
      <c r="F46" s="87"/>
      <c r="G46" s="6" t="s">
        <v>136</v>
      </c>
      <c r="H46" s="115"/>
      <c r="I46" s="115"/>
      <c r="J46" s="9">
        <f>COUNTIF(Funções!B$8:B$125,G46)</f>
        <v>0</v>
      </c>
      <c r="K46" s="7">
        <f>SUMIF(Funções!B$8:B$125,$G46,Funções!K$8:K$125)</f>
        <v>0</v>
      </c>
      <c r="L46" s="2" t="str">
        <f t="shared" si="0"/>
        <v xml:space="preserve">           .</v>
      </c>
    </row>
    <row r="47" spans="1:12" ht="13.5" x14ac:dyDescent="0.25">
      <c r="A47" s="8"/>
      <c r="B47" s="96"/>
      <c r="C47" s="96"/>
      <c r="D47" s="96"/>
      <c r="E47" s="96"/>
      <c r="F47" s="87"/>
      <c r="G47" s="6" t="s">
        <v>136</v>
      </c>
      <c r="H47" s="115"/>
      <c r="I47" s="115"/>
      <c r="J47" s="9">
        <f>COUNTIF(Funções!B$8:B$125,G47)</f>
        <v>0</v>
      </c>
      <c r="K47" s="7">
        <f>SUMIF(Funções!B$8:B$125,$G47,Funções!K$8:K$125)</f>
        <v>0</v>
      </c>
      <c r="L47" s="2" t="str">
        <f t="shared" si="0"/>
        <v xml:space="preserve">           .</v>
      </c>
    </row>
    <row r="48" spans="1:12" ht="13.5" x14ac:dyDescent="0.25">
      <c r="A48" s="8"/>
      <c r="B48" s="96"/>
      <c r="C48" s="96"/>
      <c r="D48" s="96"/>
      <c r="E48" s="96"/>
      <c r="F48" s="87"/>
      <c r="G48" s="6" t="s">
        <v>136</v>
      </c>
      <c r="H48" s="115"/>
      <c r="I48" s="115"/>
      <c r="J48" s="9">
        <f>COUNTIF(Funções!B$8:B$125,G48)</f>
        <v>0</v>
      </c>
      <c r="K48" s="7">
        <f>SUMIF(Funções!B$8:B$125,$G48,Funções!K$8:K$125)</f>
        <v>0</v>
      </c>
      <c r="L48" s="2" t="str">
        <f t="shared" si="0"/>
        <v xml:space="preserve">           .</v>
      </c>
    </row>
    <row r="49" spans="1:12" ht="13.5" x14ac:dyDescent="0.25">
      <c r="A49" s="8"/>
      <c r="B49" s="96"/>
      <c r="C49" s="96"/>
      <c r="D49" s="96"/>
      <c r="E49" s="96"/>
      <c r="F49" s="87"/>
      <c r="G49" s="6" t="s">
        <v>136</v>
      </c>
      <c r="H49" s="115"/>
      <c r="I49" s="115"/>
      <c r="J49" s="9">
        <f>COUNTIF(Funções!B$8:B$125,G49)</f>
        <v>0</v>
      </c>
      <c r="K49" s="7">
        <f>SUMIF(Funções!B$8:B$125,$G49,Funções!K$8:K$125)</f>
        <v>0</v>
      </c>
      <c r="L49" s="2" t="str">
        <f t="shared" si="0"/>
        <v xml:space="preserve">           .</v>
      </c>
    </row>
    <row r="50" spans="1:12" ht="13.5" x14ac:dyDescent="0.25">
      <c r="A50" s="8"/>
      <c r="B50" s="96"/>
      <c r="C50" s="96"/>
      <c r="D50" s="96"/>
      <c r="E50" s="96"/>
      <c r="F50" s="87"/>
      <c r="G50" s="6" t="s">
        <v>136</v>
      </c>
      <c r="H50" s="115"/>
      <c r="I50" s="115"/>
      <c r="J50" s="9">
        <f>COUNTIF(Funções!B$8:B$125,G50)</f>
        <v>0</v>
      </c>
      <c r="K50" s="7">
        <f>SUMIF(Funções!B$8:B$125,$G50,Funções!K$8:K$125)</f>
        <v>0</v>
      </c>
      <c r="L50" s="2" t="str">
        <f t="shared" si="0"/>
        <v xml:space="preserve">           .</v>
      </c>
    </row>
    <row r="51" spans="1:12" ht="13.5" x14ac:dyDescent="0.25">
      <c r="A51" s="8"/>
      <c r="B51" s="96"/>
      <c r="C51" s="96"/>
      <c r="D51" s="96"/>
      <c r="E51" s="96"/>
      <c r="F51" s="87"/>
      <c r="G51" s="6" t="s">
        <v>136</v>
      </c>
      <c r="H51" s="115"/>
      <c r="I51" s="115"/>
      <c r="J51" s="9">
        <f>COUNTIF(Funções!B$8:B$125,G51)</f>
        <v>0</v>
      </c>
      <c r="K51" s="7">
        <f>SUMIF(Funções!B$8:B$125,$G51,Funções!K$8:K$125)</f>
        <v>0</v>
      </c>
      <c r="L51" s="2" t="str">
        <f t="shared" si="0"/>
        <v xml:space="preserve">           .</v>
      </c>
    </row>
    <row r="52" spans="1:12" ht="13.5" x14ac:dyDescent="0.25">
      <c r="A52" s="8"/>
      <c r="B52" s="96"/>
      <c r="C52" s="96"/>
      <c r="D52" s="96"/>
      <c r="E52" s="96"/>
      <c r="F52" s="87"/>
      <c r="G52" s="6" t="s">
        <v>136</v>
      </c>
      <c r="H52" s="115"/>
      <c r="I52" s="115"/>
      <c r="J52" s="9">
        <f>COUNTIF(Funções!B$8:B$125,G52)</f>
        <v>0</v>
      </c>
      <c r="K52" s="7">
        <f>SUMIF(Funções!B$8:B$125,$G52,Funções!K$8:K$125)</f>
        <v>0</v>
      </c>
      <c r="L52" s="2" t="str">
        <f t="shared" si="0"/>
        <v xml:space="preserve">           .</v>
      </c>
    </row>
    <row r="53" spans="1:12" ht="13.5" x14ac:dyDescent="0.25">
      <c r="A53" s="8"/>
      <c r="B53" s="96"/>
      <c r="C53" s="96"/>
      <c r="D53" s="96"/>
      <c r="E53" s="96"/>
      <c r="F53" s="87"/>
      <c r="G53" s="6" t="s">
        <v>136</v>
      </c>
      <c r="H53" s="115"/>
      <c r="I53" s="115"/>
      <c r="J53" s="9">
        <f>COUNTIF(Funções!B$8:B$125,G53)</f>
        <v>0</v>
      </c>
      <c r="K53" s="7">
        <f>SUMIF(Funções!B$8:B$125,$G53,Funções!K$8:K$125)</f>
        <v>0</v>
      </c>
      <c r="L53" s="2" t="str">
        <f t="shared" si="0"/>
        <v xml:space="preserve">           .</v>
      </c>
    </row>
    <row r="54" spans="1:12" ht="13.5" x14ac:dyDescent="0.25">
      <c r="A54" s="8"/>
      <c r="B54" s="96"/>
      <c r="C54" s="96"/>
      <c r="D54" s="96"/>
      <c r="E54" s="96"/>
      <c r="F54" s="87"/>
      <c r="G54" s="6" t="s">
        <v>136</v>
      </c>
      <c r="H54" s="115"/>
      <c r="I54" s="115"/>
      <c r="J54" s="9">
        <f>COUNTIF(Funções!B$8:B$125,G54)</f>
        <v>0</v>
      </c>
      <c r="K54" s="7">
        <f>SUMIF(Funções!B$8:B$125,$G54,Funções!K$8:K$125)</f>
        <v>0</v>
      </c>
      <c r="L54" s="2" t="str">
        <f t="shared" si="0"/>
        <v xml:space="preserve">           .</v>
      </c>
    </row>
    <row r="55" spans="1:12" ht="13.5" x14ac:dyDescent="0.25">
      <c r="A55" s="8"/>
      <c r="B55" s="96"/>
      <c r="C55" s="96"/>
      <c r="D55" s="96"/>
      <c r="E55" s="96"/>
      <c r="F55" s="87"/>
      <c r="G55" s="6" t="s">
        <v>136</v>
      </c>
      <c r="H55" s="115"/>
      <c r="I55" s="115"/>
      <c r="J55" s="9">
        <f>COUNTIF(Funções!B$8:B$125,G55)</f>
        <v>0</v>
      </c>
      <c r="K55" s="7">
        <f>SUMIF(Funções!B$8:B$125,$G55,Funções!K$8:K$125)</f>
        <v>0</v>
      </c>
      <c r="L55" s="2" t="str">
        <f t="shared" si="0"/>
        <v xml:space="preserve">           .</v>
      </c>
    </row>
    <row r="56" spans="1:12" ht="13.5" x14ac:dyDescent="0.25">
      <c r="A56" s="8"/>
      <c r="B56" s="96"/>
      <c r="C56" s="96"/>
      <c r="D56" s="96"/>
      <c r="E56" s="96"/>
      <c r="F56" s="87"/>
      <c r="G56" s="6" t="s">
        <v>136</v>
      </c>
      <c r="H56" s="115"/>
      <c r="I56" s="115"/>
      <c r="J56" s="9">
        <f>COUNTIF(Funções!B$8:B$125,G56)</f>
        <v>0</v>
      </c>
      <c r="K56" s="7">
        <f>SUMIF(Funções!B$8:B$125,$G56,Funções!K$8:K$125)</f>
        <v>0</v>
      </c>
      <c r="L56" s="2" t="str">
        <f t="shared" si="0"/>
        <v xml:space="preserve">           .</v>
      </c>
    </row>
    <row r="57" spans="1:12" ht="13.5" x14ac:dyDescent="0.25">
      <c r="A57" s="8"/>
      <c r="B57" s="96"/>
      <c r="C57" s="96"/>
      <c r="D57" s="96"/>
      <c r="E57" s="96"/>
      <c r="F57" s="87"/>
      <c r="G57" s="6" t="s">
        <v>136</v>
      </c>
      <c r="H57" s="115"/>
      <c r="I57" s="115"/>
      <c r="J57" s="9">
        <f>COUNTIF(Funções!B$8:B$125,G57)</f>
        <v>0</v>
      </c>
      <c r="K57" s="7">
        <f>SUMIF(Funções!B$8:B$125,$G57,Funções!K$8:K$125)</f>
        <v>0</v>
      </c>
      <c r="L57" s="2" t="str">
        <f t="shared" si="0"/>
        <v xml:space="preserve">           .</v>
      </c>
    </row>
    <row r="58" spans="1:12" ht="13.5" x14ac:dyDescent="0.25">
      <c r="A58" s="8"/>
      <c r="B58" s="96"/>
      <c r="C58" s="96"/>
      <c r="D58" s="96"/>
      <c r="E58" s="96"/>
      <c r="F58" s="87"/>
      <c r="G58" s="6" t="s">
        <v>136</v>
      </c>
      <c r="H58" s="115"/>
      <c r="I58" s="115"/>
      <c r="J58" s="9">
        <f>COUNTIF(Funções!B$8:B$125,G58)</f>
        <v>0</v>
      </c>
      <c r="K58" s="7">
        <f>SUMIF(Funções!B$8:B$125,$G58,Funções!K$8:K$125)</f>
        <v>0</v>
      </c>
      <c r="L58" s="2" t="str">
        <f t="shared" si="0"/>
        <v xml:space="preserve">           .</v>
      </c>
    </row>
    <row r="59" spans="1:12" ht="13.5" x14ac:dyDescent="0.25">
      <c r="A59" s="8"/>
      <c r="B59" s="96"/>
      <c r="C59" s="96"/>
      <c r="D59" s="96"/>
      <c r="E59" s="96"/>
      <c r="F59" s="87"/>
      <c r="G59" s="6" t="s">
        <v>136</v>
      </c>
      <c r="H59" s="115"/>
      <c r="I59" s="115"/>
      <c r="J59" s="9">
        <f>COUNTIF(Funções!B$8:B$125,G59)</f>
        <v>0</v>
      </c>
      <c r="K59" s="7">
        <f>SUMIF(Funções!B$8:B$125,$G59,Funções!K$8:K$125)</f>
        <v>0</v>
      </c>
      <c r="L59" s="2" t="str">
        <f t="shared" si="0"/>
        <v xml:space="preserve">           .</v>
      </c>
    </row>
    <row r="60" spans="1:12" ht="13.5" x14ac:dyDescent="0.25">
      <c r="A60" s="8"/>
      <c r="B60" s="96"/>
      <c r="C60" s="96"/>
      <c r="D60" s="96"/>
      <c r="E60" s="96"/>
      <c r="F60" s="87"/>
      <c r="G60" s="6" t="s">
        <v>136</v>
      </c>
      <c r="H60" s="115"/>
      <c r="I60" s="115"/>
      <c r="J60" s="9">
        <f>COUNTIF(Funções!B$8:B$125,G60)</f>
        <v>0</v>
      </c>
      <c r="K60" s="7">
        <f>SUMIF(Funções!B$8:B$125,$G60,Funções!K$8:K$125)</f>
        <v>0</v>
      </c>
      <c r="L60" s="2" t="str">
        <f t="shared" si="0"/>
        <v xml:space="preserve">           .</v>
      </c>
    </row>
    <row r="61" spans="1:12" ht="13.5" x14ac:dyDescent="0.25">
      <c r="A61" s="8"/>
      <c r="B61" s="96"/>
      <c r="C61" s="96"/>
      <c r="D61" s="96"/>
      <c r="E61" s="96"/>
      <c r="F61" s="87"/>
      <c r="G61" s="6" t="s">
        <v>136</v>
      </c>
      <c r="H61" s="115"/>
      <c r="I61" s="115"/>
      <c r="J61" s="9">
        <f>COUNTIF(Funções!B$8:B$125,G61)</f>
        <v>0</v>
      </c>
      <c r="K61" s="7">
        <f>SUMIF(Funções!B$8:B$125,$G61,Funções!K$8:K$125)</f>
        <v>0</v>
      </c>
      <c r="L61" s="2" t="str">
        <f t="shared" si="0"/>
        <v xml:space="preserve">           .</v>
      </c>
    </row>
    <row r="62" spans="1:12" ht="13.5" x14ac:dyDescent="0.25">
      <c r="A62" s="8"/>
      <c r="B62" s="96"/>
      <c r="C62" s="96"/>
      <c r="D62" s="96"/>
      <c r="E62" s="96"/>
      <c r="F62" s="87"/>
      <c r="G62" s="6" t="s">
        <v>136</v>
      </c>
      <c r="H62" s="115"/>
      <c r="I62" s="115"/>
      <c r="J62" s="9">
        <f>COUNTIF(Funções!B$8:B$125,G62)</f>
        <v>0</v>
      </c>
      <c r="K62" s="7">
        <f>SUMIF(Funções!B$8:B$125,$G62,Funções!K$8:K$125)</f>
        <v>0</v>
      </c>
      <c r="L62" s="2" t="str">
        <f t="shared" si="0"/>
        <v xml:space="preserve">           .</v>
      </c>
    </row>
    <row r="63" spans="1:12" ht="13.5" x14ac:dyDescent="0.25">
      <c r="A63" s="8"/>
      <c r="B63" s="96"/>
      <c r="C63" s="96"/>
      <c r="D63" s="96"/>
      <c r="E63" s="96"/>
      <c r="F63" s="87"/>
      <c r="G63" s="6" t="s">
        <v>136</v>
      </c>
      <c r="H63" s="115"/>
      <c r="I63" s="115"/>
      <c r="J63" s="9">
        <f>COUNTIF(Funções!B$8:B$125,G63)</f>
        <v>0</v>
      </c>
      <c r="K63" s="7">
        <f>SUMIF(Funções!B$8:B$125,$G63,Funções!K$8:K$125)</f>
        <v>0</v>
      </c>
      <c r="L63" s="2" t="str">
        <f t="shared" si="0"/>
        <v xml:space="preserve">           .</v>
      </c>
    </row>
    <row r="64" spans="1:12" ht="13.5" x14ac:dyDescent="0.25">
      <c r="A64" s="10"/>
      <c r="B64" s="116"/>
      <c r="C64" s="116"/>
      <c r="D64" s="116"/>
      <c r="E64" s="116"/>
      <c r="F64" s="91"/>
      <c r="G64" s="11" t="s">
        <v>136</v>
      </c>
      <c r="H64" s="117"/>
      <c r="I64" s="117"/>
      <c r="J64" s="12">
        <f>COUNTIF(Funções!B$8:B$125,G64)</f>
        <v>0</v>
      </c>
      <c r="K64" s="13">
        <f>SUMIF(Funções!B$8:B$125,$G64,Funções!K$8:K$125)</f>
        <v>0</v>
      </c>
      <c r="L64" s="2" t="str">
        <f t="shared" si="0"/>
        <v xml:space="preserve">           .</v>
      </c>
    </row>
  </sheetData>
  <sheetProtection selectLockedCells="1" selectUnlockedCells="1"/>
  <mergeCells count="90"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45:E45"/>
    <mergeCell ref="H45:I45"/>
    <mergeCell ref="B46:E46"/>
    <mergeCell ref="H46:I46"/>
    <mergeCell ref="B47:E47"/>
    <mergeCell ref="H47:I47"/>
    <mergeCell ref="B43:E43"/>
    <mergeCell ref="H43:I43"/>
    <mergeCell ref="B44:E44"/>
    <mergeCell ref="H44:I44"/>
    <mergeCell ref="H40:I41"/>
    <mergeCell ref="J40:J41"/>
    <mergeCell ref="K40:K41"/>
    <mergeCell ref="B41:E41"/>
    <mergeCell ref="B42:E42"/>
    <mergeCell ref="H42:I42"/>
    <mergeCell ref="G40:G41"/>
    <mergeCell ref="B31:E31"/>
    <mergeCell ref="B36:E36"/>
    <mergeCell ref="B37:E37"/>
    <mergeCell ref="B38:E38"/>
    <mergeCell ref="A40:F40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4:E4"/>
    <mergeCell ref="B5:E5"/>
    <mergeCell ref="A1:K1"/>
    <mergeCell ref="A2:F2"/>
    <mergeCell ref="G2:G3"/>
    <mergeCell ref="H2:I2"/>
    <mergeCell ref="J2:J3"/>
    <mergeCell ref="K2:K3"/>
    <mergeCell ref="B3:E3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L52"/>
  <sheetViews>
    <sheetView showGridLines="0" view="pageBreakPreview" zoomScaleSheetLayoutView="100" workbookViewId="0">
      <pane ySplit="8" topLeftCell="A9" activePane="bottomLeft" state="frozen"/>
      <selection activeCell="B11" sqref="B11"/>
      <selection pane="bottomLeft" activeCell="N12" sqref="N12"/>
    </sheetView>
  </sheetViews>
  <sheetFormatPr defaultRowHeight="12.75" x14ac:dyDescent="0.2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10.570312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6.42578125" customWidth="1"/>
    <col min="12" max="12" width="7.42578125" customWidth="1"/>
  </cols>
  <sheetData>
    <row r="1" spans="1:12" x14ac:dyDescent="0.2">
      <c r="A1" s="176" t="s">
        <v>146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2" x14ac:dyDescent="0.2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</row>
    <row r="3" spans="1:12" x14ac:dyDescent="0.2">
      <c r="A3" s="176"/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</row>
    <row r="4" spans="1:12" x14ac:dyDescent="0.2">
      <c r="A4" s="177" t="str">
        <f>Contagem!A5&amp;" : "&amp;Contagem!F5</f>
        <v>Aplicação : Academia</v>
      </c>
      <c r="B4" s="177"/>
      <c r="C4" s="177"/>
      <c r="D4" s="177"/>
      <c r="E4" s="177"/>
      <c r="F4" s="178" t="str">
        <f>Contagem!A8&amp;" : "&amp;Contagem!F8</f>
        <v>Projeto : SIGA - Sistema de gerenciamento de uma academia</v>
      </c>
      <c r="G4" s="178"/>
      <c r="H4" s="178"/>
      <c r="I4" s="178"/>
      <c r="J4" s="178"/>
      <c r="K4" s="178"/>
      <c r="L4" s="178"/>
    </row>
    <row r="5" spans="1:12" x14ac:dyDescent="0.2">
      <c r="A5" s="177" t="str">
        <f>Contagem!A9&amp;" : "&amp;Contagem!F9</f>
        <v>Responsável : Francisco José Borges Verissimo Junior</v>
      </c>
      <c r="B5" s="177"/>
      <c r="C5" s="177"/>
      <c r="D5" s="177"/>
      <c r="E5" s="177"/>
      <c r="F5" s="178" t="str">
        <f>Contagem!A10&amp;" : "&amp;Contagem!F10</f>
        <v>Revisor : Francisco José Borges Verissimo Junior</v>
      </c>
      <c r="G5" s="178"/>
      <c r="H5" s="178"/>
      <c r="I5" s="178"/>
      <c r="J5" s="178"/>
      <c r="K5" s="178"/>
      <c r="L5" s="178"/>
    </row>
    <row r="6" spans="1:12" x14ac:dyDescent="0.2">
      <c r="A6" s="177" t="str">
        <f>Contagem!A4&amp;" : "&amp;Contagem!F4</f>
        <v>Empresa : PUC Minas - TCC Engenharia de Software</v>
      </c>
      <c r="B6" s="177"/>
      <c r="C6" s="177"/>
      <c r="D6" s="177"/>
      <c r="E6" s="177"/>
      <c r="F6" s="178" t="str">
        <f>"Tipo de Contagem : "&amp;Contagem!F6</f>
        <v>Tipo de Contagem : Projeto de Desenvolvimento</v>
      </c>
      <c r="G6" s="178"/>
      <c r="H6" s="178"/>
      <c r="I6" s="178"/>
      <c r="J6" s="178"/>
      <c r="K6" s="178"/>
      <c r="L6" s="178"/>
    </row>
    <row r="7" spans="1:12" ht="12.75" customHeight="1" x14ac:dyDescent="0.2">
      <c r="A7" s="122" t="s">
        <v>147</v>
      </c>
      <c r="B7" s="122"/>
      <c r="C7" s="123" t="s">
        <v>148</v>
      </c>
      <c r="D7" s="123"/>
      <c r="E7" s="123"/>
      <c r="F7" s="123"/>
      <c r="G7" s="118" t="s">
        <v>149</v>
      </c>
      <c r="H7" s="118" t="s">
        <v>150</v>
      </c>
      <c r="I7" s="49"/>
      <c r="J7" s="118" t="s">
        <v>151</v>
      </c>
      <c r="K7" s="118"/>
      <c r="L7" s="119" t="s">
        <v>150</v>
      </c>
    </row>
    <row r="8" spans="1:12" x14ac:dyDescent="0.2">
      <c r="A8" s="122"/>
      <c r="B8" s="122"/>
      <c r="C8" s="123"/>
      <c r="D8" s="123"/>
      <c r="E8" s="123"/>
      <c r="F8" s="123"/>
      <c r="G8" s="118"/>
      <c r="H8" s="118"/>
      <c r="I8" s="50"/>
      <c r="J8" s="118"/>
      <c r="K8" s="118"/>
      <c r="L8" s="119"/>
    </row>
    <row r="9" spans="1:12" ht="6" customHeight="1" x14ac:dyDescent="0.25">
      <c r="A9" s="27"/>
      <c r="B9" s="28"/>
      <c r="C9" s="28"/>
      <c r="D9" s="28"/>
      <c r="E9" s="28"/>
      <c r="F9" s="28"/>
      <c r="G9" s="28"/>
      <c r="H9" s="28"/>
      <c r="I9" s="28"/>
      <c r="J9" s="28"/>
      <c r="K9" s="28"/>
      <c r="L9" s="29"/>
    </row>
    <row r="10" spans="1:12" ht="13.5" x14ac:dyDescent="0.25">
      <c r="A10" s="30"/>
      <c r="B10" s="31" t="s">
        <v>38</v>
      </c>
      <c r="C10" s="32">
        <f>COUNTIF(Funções!G8:G125,"EEL")</f>
        <v>12</v>
      </c>
      <c r="D10" s="31"/>
      <c r="E10" s="33" t="s">
        <v>152</v>
      </c>
      <c r="F10" s="33" t="s">
        <v>153</v>
      </c>
      <c r="G10" s="32">
        <f>C10*3</f>
        <v>36</v>
      </c>
      <c r="H10" s="31"/>
      <c r="I10" s="14"/>
      <c r="J10" s="34" t="str">
        <f>Deflatores!$G$4&amp;"="</f>
        <v>I=</v>
      </c>
      <c r="K10" s="35">
        <f>SUMIF(Funções!$J$8:$J$125,"EE"&amp;Deflatores!G4,Funções!$L$8:$L$125)</f>
        <v>0</v>
      </c>
      <c r="L10" s="36"/>
    </row>
    <row r="11" spans="1:12" ht="13.5" x14ac:dyDescent="0.25">
      <c r="A11" s="37"/>
      <c r="B11" s="31"/>
      <c r="C11" s="32">
        <f>COUNTIF(Funções!G8:G125,"EEA")</f>
        <v>4</v>
      </c>
      <c r="D11" s="31"/>
      <c r="E11" s="33" t="s">
        <v>154</v>
      </c>
      <c r="F11" s="33" t="s">
        <v>155</v>
      </c>
      <c r="G11" s="32">
        <f>C11*4</f>
        <v>16</v>
      </c>
      <c r="H11" s="31"/>
      <c r="I11" s="14"/>
      <c r="J11" s="34" t="str">
        <f>Deflatores!$G$5&amp;"="</f>
        <v>A=</v>
      </c>
      <c r="K11" s="35">
        <f>SUMIF(Funções!$J$8:$J$125,"EE"&amp;Deflatores!G5,Funções!$L$8:$L$125)</f>
        <v>0</v>
      </c>
      <c r="L11" s="36"/>
    </row>
    <row r="12" spans="1:12" ht="13.5" x14ac:dyDescent="0.25">
      <c r="A12" s="37"/>
      <c r="B12" s="31"/>
      <c r="C12" s="32">
        <f>COUNTIF(Funções!G8:G125,"EEH")</f>
        <v>1</v>
      </c>
      <c r="D12" s="31"/>
      <c r="E12" s="33" t="s">
        <v>156</v>
      </c>
      <c r="F12" s="33" t="s">
        <v>157</v>
      </c>
      <c r="G12" s="32">
        <f>C12*6</f>
        <v>6</v>
      </c>
      <c r="H12" s="31"/>
      <c r="I12" s="14"/>
      <c r="J12" s="34" t="str">
        <f>Deflatores!$G$6&amp;"="</f>
        <v>E=</v>
      </c>
      <c r="K12" s="35">
        <f>SUMIF(Funções!$J$8:$J$125,"EE"&amp;Deflatores!G6,Funções!$L$8:$L$125)</f>
        <v>0</v>
      </c>
      <c r="L12" s="38"/>
    </row>
    <row r="13" spans="1:12" ht="13.5" x14ac:dyDescent="0.25">
      <c r="A13" s="37"/>
      <c r="B13" s="31"/>
      <c r="C13" s="31"/>
      <c r="D13" s="31"/>
      <c r="E13" s="31"/>
      <c r="F13" s="31"/>
      <c r="G13" s="31"/>
      <c r="H13" s="31"/>
      <c r="I13" s="31"/>
      <c r="J13" s="31"/>
      <c r="K13" s="39"/>
      <c r="L13" s="36"/>
    </row>
    <row r="14" spans="1:12" ht="13.5" x14ac:dyDescent="0.25">
      <c r="A14" s="37"/>
      <c r="B14" s="40" t="s">
        <v>158</v>
      </c>
      <c r="C14" s="32">
        <f>SUM(C10:C12)</f>
        <v>17</v>
      </c>
      <c r="D14" s="31"/>
      <c r="E14" s="31"/>
      <c r="F14" s="40" t="s">
        <v>159</v>
      </c>
      <c r="G14" s="32">
        <f>SUM(G10:G12)</f>
        <v>58</v>
      </c>
      <c r="H14" s="14">
        <f>IF($G$45&lt;&gt;0,G14/$G$45,"")</f>
        <v>0.39189189189189189</v>
      </c>
      <c r="I14" s="41"/>
      <c r="J14" s="34"/>
      <c r="K14" s="35">
        <f>SUM(K10:K13)</f>
        <v>0</v>
      </c>
      <c r="L14" s="16" t="str">
        <f>IF('Sumário 2'!L11&lt;&gt;0,K14/'Sumário 2'!L11,"")</f>
        <v/>
      </c>
    </row>
    <row r="15" spans="1:12" ht="6" customHeight="1" x14ac:dyDescent="0.25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43"/>
    </row>
    <row r="16" spans="1:12" ht="6" customHeight="1" x14ac:dyDescent="0.25">
      <c r="A16" s="37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6"/>
    </row>
    <row r="17" spans="1:12" ht="13.5" x14ac:dyDescent="0.25">
      <c r="A17" s="37"/>
      <c r="B17" s="31" t="s">
        <v>36</v>
      </c>
      <c r="C17" s="34">
        <f>COUNTIF(Funções!G8:G125,"SEL")</f>
        <v>0</v>
      </c>
      <c r="D17" s="31"/>
      <c r="E17" s="33" t="s">
        <v>152</v>
      </c>
      <c r="F17" s="33" t="s">
        <v>155</v>
      </c>
      <c r="G17" s="34">
        <f>C17*4</f>
        <v>0</v>
      </c>
      <c r="H17" s="31"/>
      <c r="I17" s="31"/>
      <c r="J17" s="34" t="str">
        <f>Deflatores!$G$4&amp;"="</f>
        <v>I=</v>
      </c>
      <c r="K17" s="44">
        <f>SUMIF(Funções!$J$8:$J$125,"SE"&amp;Deflatores!$G$4,Funções!$L$8:$L$125)</f>
        <v>0</v>
      </c>
      <c r="L17" s="36"/>
    </row>
    <row r="18" spans="1:12" ht="13.5" x14ac:dyDescent="0.25">
      <c r="A18" s="37"/>
      <c r="B18" s="31"/>
      <c r="C18" s="34">
        <f>COUNTIF(Funções!G8:G125,"SEA")</f>
        <v>1</v>
      </c>
      <c r="D18" s="31"/>
      <c r="E18" s="33" t="s">
        <v>154</v>
      </c>
      <c r="F18" s="33" t="s">
        <v>160</v>
      </c>
      <c r="G18" s="34">
        <f>C18*5</f>
        <v>5</v>
      </c>
      <c r="H18" s="31"/>
      <c r="I18" s="31"/>
      <c r="J18" s="34" t="str">
        <f>Deflatores!$G$5&amp;"="</f>
        <v>A=</v>
      </c>
      <c r="K18" s="44">
        <f>SUMIF(Funções!$J$8:$J$125,"SE"&amp;Deflatores!$G$5,Funções!$L$8:$L$125)</f>
        <v>0</v>
      </c>
      <c r="L18" s="36"/>
    </row>
    <row r="19" spans="1:12" ht="13.5" x14ac:dyDescent="0.25">
      <c r="A19" s="37"/>
      <c r="B19" s="31"/>
      <c r="C19" s="34">
        <f>COUNTIF(Funções!G8:G125,"SEH")</f>
        <v>0</v>
      </c>
      <c r="D19" s="31"/>
      <c r="E19" s="33" t="s">
        <v>156</v>
      </c>
      <c r="F19" s="33" t="s">
        <v>161</v>
      </c>
      <c r="G19" s="34">
        <f>C19*7</f>
        <v>0</v>
      </c>
      <c r="H19" s="31"/>
      <c r="I19" s="31"/>
      <c r="J19" s="34" t="str">
        <f>Deflatores!$G$6&amp;"="</f>
        <v>E=</v>
      </c>
      <c r="K19" s="44">
        <f>SUMIF(Funções!$J$8:$J$125,"SE"&amp;Deflatores!$G$6,Funções!$L$8:$L$125)</f>
        <v>0</v>
      </c>
      <c r="L19" s="38"/>
    </row>
    <row r="20" spans="1:12" ht="13.5" x14ac:dyDescent="0.25">
      <c r="A20" s="37"/>
      <c r="B20" s="31"/>
      <c r="C20" s="31"/>
      <c r="D20" s="31"/>
      <c r="E20" s="31"/>
      <c r="F20" s="31"/>
      <c r="G20" s="31"/>
      <c r="H20" s="31"/>
      <c r="I20" s="31"/>
      <c r="J20" s="31"/>
      <c r="K20" s="39"/>
      <c r="L20" s="36"/>
    </row>
    <row r="21" spans="1:12" ht="13.5" x14ac:dyDescent="0.25">
      <c r="A21" s="37"/>
      <c r="B21" s="40" t="s">
        <v>158</v>
      </c>
      <c r="C21" s="32">
        <f>SUM(C17:C19)</f>
        <v>1</v>
      </c>
      <c r="D21" s="31"/>
      <c r="E21" s="31"/>
      <c r="F21" s="40" t="s">
        <v>159</v>
      </c>
      <c r="G21" s="32">
        <f>SUM(G17:G19)</f>
        <v>5</v>
      </c>
      <c r="H21" s="14">
        <f>IF($G$45&lt;&gt;0,G21/$G$45,"")</f>
        <v>3.3783783783783786E-2</v>
      </c>
      <c r="I21" s="41"/>
      <c r="J21" s="34"/>
      <c r="K21" s="35">
        <f>SUM(K17:K20)</f>
        <v>0</v>
      </c>
      <c r="L21" s="16" t="str">
        <f>IF('Sumário 2'!L11&lt;&gt;0,K21/'Sumário 2'!L11,"")</f>
        <v/>
      </c>
    </row>
    <row r="22" spans="1:12" ht="6" customHeight="1" x14ac:dyDescent="0.25">
      <c r="A22" s="42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43"/>
    </row>
    <row r="23" spans="1:12" ht="6" customHeight="1" x14ac:dyDescent="0.25">
      <c r="A23" s="27"/>
      <c r="B23" s="28"/>
      <c r="C23" s="31"/>
      <c r="D23" s="28"/>
      <c r="E23" s="28"/>
      <c r="F23" s="28"/>
      <c r="G23" s="31"/>
      <c r="H23" s="28"/>
      <c r="I23" s="28"/>
      <c r="J23" s="28"/>
      <c r="K23" s="28"/>
      <c r="L23" s="29"/>
    </row>
    <row r="24" spans="1:12" ht="13.5" x14ac:dyDescent="0.25">
      <c r="A24" s="37"/>
      <c r="B24" s="31" t="s">
        <v>37</v>
      </c>
      <c r="C24" s="32">
        <f>COUNTIF(Funções!G8:G125,"CEL")</f>
        <v>7</v>
      </c>
      <c r="D24" s="31"/>
      <c r="E24" s="33" t="s">
        <v>152</v>
      </c>
      <c r="F24" s="33" t="s">
        <v>153</v>
      </c>
      <c r="G24" s="32">
        <f>C24*3</f>
        <v>21</v>
      </c>
      <c r="H24" s="31"/>
      <c r="I24" s="31"/>
      <c r="J24" s="34" t="str">
        <f>Deflatores!$G$4&amp;"="</f>
        <v>I=</v>
      </c>
      <c r="K24" s="35">
        <f>SUMIF(Funções!$J$8:$J$125,"CE"&amp;Deflatores!$G$4,Funções!$L$8:$L$125)</f>
        <v>0</v>
      </c>
      <c r="L24" s="36"/>
    </row>
    <row r="25" spans="1:12" ht="13.5" x14ac:dyDescent="0.25">
      <c r="A25" s="37"/>
      <c r="B25" s="31"/>
      <c r="C25" s="32">
        <f>COUNTIF(Funções!G8:G125,"CEA")</f>
        <v>2</v>
      </c>
      <c r="D25" s="31"/>
      <c r="E25" s="33" t="s">
        <v>154</v>
      </c>
      <c r="F25" s="33" t="s">
        <v>155</v>
      </c>
      <c r="G25" s="32">
        <f>C25*4</f>
        <v>8</v>
      </c>
      <c r="H25" s="31"/>
      <c r="I25" s="31"/>
      <c r="J25" s="34" t="str">
        <f>Deflatores!$G$5&amp;"="</f>
        <v>A=</v>
      </c>
      <c r="K25" s="35">
        <f>SUMIF(Funções!$J$8:$J$125,"CE"&amp;Deflatores!$G$5,Funções!$L$8:$L$125)</f>
        <v>0</v>
      </c>
      <c r="L25" s="36"/>
    </row>
    <row r="26" spans="1:12" ht="13.5" x14ac:dyDescent="0.25">
      <c r="A26" s="37"/>
      <c r="B26" s="31"/>
      <c r="C26" s="32">
        <f>COUNTIF(Funções!G8:G125,"CEH")</f>
        <v>0</v>
      </c>
      <c r="D26" s="31"/>
      <c r="E26" s="33" t="s">
        <v>156</v>
      </c>
      <c r="F26" s="33" t="s">
        <v>157</v>
      </c>
      <c r="G26" s="32">
        <f>C26*6</f>
        <v>0</v>
      </c>
      <c r="H26" s="31"/>
      <c r="I26" s="31"/>
      <c r="J26" s="34" t="str">
        <f>Deflatores!$G$6&amp;"="</f>
        <v>E=</v>
      </c>
      <c r="K26" s="35">
        <f>SUMIF(Funções!$J$8:$J$125,"CE"&amp;Deflatores!$G$6,Funções!$L$8:$L$125)</f>
        <v>0</v>
      </c>
      <c r="L26" s="38"/>
    </row>
    <row r="27" spans="1:12" ht="13.5" x14ac:dyDescent="0.25">
      <c r="A27" s="37"/>
      <c r="B27" s="31"/>
      <c r="C27" s="31"/>
      <c r="D27" s="31"/>
      <c r="E27" s="31"/>
      <c r="F27" s="31"/>
      <c r="G27" s="31"/>
      <c r="H27" s="31"/>
      <c r="I27" s="31"/>
      <c r="J27" s="31"/>
      <c r="K27" s="39"/>
      <c r="L27" s="36"/>
    </row>
    <row r="28" spans="1:12" ht="13.5" x14ac:dyDescent="0.25">
      <c r="A28" s="37"/>
      <c r="B28" s="40" t="s">
        <v>158</v>
      </c>
      <c r="C28" s="32">
        <f>SUM(C24:C26)</f>
        <v>9</v>
      </c>
      <c r="D28" s="31"/>
      <c r="E28" s="31"/>
      <c r="F28" s="40" t="s">
        <v>159</v>
      </c>
      <c r="G28" s="32">
        <f>SUM(G24:G26)</f>
        <v>29</v>
      </c>
      <c r="H28" s="14">
        <f>IF($G$45&lt;&gt;0,G28/$G$45,"")</f>
        <v>0.19594594594594594</v>
      </c>
      <c r="I28" s="41"/>
      <c r="J28" s="34"/>
      <c r="K28" s="35">
        <f>SUM(K24:K27)</f>
        <v>0</v>
      </c>
      <c r="L28" s="16" t="str">
        <f>IF('Sumário 2'!L11&lt;&gt;0,K28/'Sumário 2'!L11,"")</f>
        <v/>
      </c>
    </row>
    <row r="29" spans="1:12" ht="6" customHeight="1" x14ac:dyDescent="0.25">
      <c r="A29" s="42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43"/>
    </row>
    <row r="30" spans="1:12" ht="6" customHeight="1" x14ac:dyDescent="0.25">
      <c r="A30" s="27"/>
      <c r="B30" s="28"/>
      <c r="C30" s="31"/>
      <c r="D30" s="28"/>
      <c r="E30" s="28"/>
      <c r="F30" s="28"/>
      <c r="G30" s="31"/>
      <c r="H30" s="28"/>
      <c r="I30" s="28"/>
      <c r="J30" s="28"/>
      <c r="K30" s="28"/>
      <c r="L30" s="29"/>
    </row>
    <row r="31" spans="1:12" ht="13.5" x14ac:dyDescent="0.25">
      <c r="A31" s="37"/>
      <c r="B31" s="31" t="s">
        <v>35</v>
      </c>
      <c r="C31" s="32">
        <f>COUNTIF(Funções!G8:G125,"ALIL")</f>
        <v>8</v>
      </c>
      <c r="D31" s="31"/>
      <c r="E31" s="31" t="s">
        <v>152</v>
      </c>
      <c r="F31" s="31" t="s">
        <v>161</v>
      </c>
      <c r="G31" s="32">
        <f>C31*7</f>
        <v>56</v>
      </c>
      <c r="H31" s="31"/>
      <c r="I31" s="31"/>
      <c r="J31" s="34" t="str">
        <f>Deflatores!$G$4&amp;"="</f>
        <v>I=</v>
      </c>
      <c r="K31" s="35">
        <f>SUMIF(Funções!$J$8:$J$125,"ALI"&amp;Deflatores!$G$4,Funções!$L$8:$L$125)</f>
        <v>0</v>
      </c>
      <c r="L31" s="36"/>
    </row>
    <row r="32" spans="1:12" ht="13.5" x14ac:dyDescent="0.25">
      <c r="A32" s="37"/>
      <c r="B32" s="31"/>
      <c r="C32" s="32">
        <f>COUNTIF(Funções!G8:G125,"ALIA")</f>
        <v>0</v>
      </c>
      <c r="D32" s="31"/>
      <c r="E32" s="31" t="s">
        <v>154</v>
      </c>
      <c r="F32" s="31" t="s">
        <v>162</v>
      </c>
      <c r="G32" s="32">
        <f>C32*10</f>
        <v>0</v>
      </c>
      <c r="H32" s="31"/>
      <c r="I32" s="31"/>
      <c r="J32" s="34" t="str">
        <f>Deflatores!$G$5&amp;"="</f>
        <v>A=</v>
      </c>
      <c r="K32" s="35">
        <f>SUMIF(Funções!$J$8:$J$125,"ALI"&amp;Deflatores!$G$5,Funções!$L$8:$L$125)</f>
        <v>0</v>
      </c>
      <c r="L32" s="36"/>
    </row>
    <row r="33" spans="1:12" ht="13.5" x14ac:dyDescent="0.25">
      <c r="A33" s="37"/>
      <c r="B33" s="31"/>
      <c r="C33" s="32">
        <f>COUNTIF(Funções!G8:G125,"ALIH")</f>
        <v>0</v>
      </c>
      <c r="D33" s="31"/>
      <c r="E33" s="31" t="s">
        <v>156</v>
      </c>
      <c r="F33" s="31" t="s">
        <v>163</v>
      </c>
      <c r="G33" s="32">
        <f>C33*15</f>
        <v>0</v>
      </c>
      <c r="H33" s="31"/>
      <c r="I33" s="31"/>
      <c r="J33" s="34" t="str">
        <f>Deflatores!$G$6&amp;"="</f>
        <v>E=</v>
      </c>
      <c r="K33" s="35">
        <f>SUMIF(Funções!$J$8:$J$125,"ALI"&amp;Deflatores!$G$6,Funções!$L$8:$L$125)</f>
        <v>0</v>
      </c>
      <c r="L33" s="38"/>
    </row>
    <row r="34" spans="1:12" ht="13.5" x14ac:dyDescent="0.25">
      <c r="A34" s="37"/>
      <c r="B34" s="31"/>
      <c r="C34" s="31"/>
      <c r="D34" s="31"/>
      <c r="E34" s="31"/>
      <c r="F34" s="31"/>
      <c r="G34" s="31"/>
      <c r="H34" s="31"/>
      <c r="I34" s="31"/>
      <c r="J34" s="31"/>
      <c r="K34" s="39"/>
      <c r="L34" s="36"/>
    </row>
    <row r="35" spans="1:12" ht="13.5" x14ac:dyDescent="0.25">
      <c r="A35" s="37"/>
      <c r="B35" s="40" t="s">
        <v>158</v>
      </c>
      <c r="C35" s="32">
        <f>SUM(C31:C33)</f>
        <v>8</v>
      </c>
      <c r="D35" s="31"/>
      <c r="E35" s="31"/>
      <c r="F35" s="40" t="s">
        <v>159</v>
      </c>
      <c r="G35" s="32">
        <f>SUM(G31:G33)</f>
        <v>56</v>
      </c>
      <c r="H35" s="14">
        <f>IF($G$45&lt;&gt;0,G35/$G$45,"")</f>
        <v>0.3783783783783784</v>
      </c>
      <c r="I35" s="41"/>
      <c r="J35" s="34"/>
      <c r="K35" s="35">
        <f>SUM(K31:K34)</f>
        <v>0</v>
      </c>
      <c r="L35" s="16" t="str">
        <f>IF('Sumário 2'!L11&lt;&gt;0,K35/'Sumário 2'!L11,"")</f>
        <v/>
      </c>
    </row>
    <row r="36" spans="1:12" ht="6" customHeight="1" x14ac:dyDescent="0.25">
      <c r="A36" s="42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43"/>
    </row>
    <row r="37" spans="1:12" ht="6" customHeight="1" x14ac:dyDescent="0.25">
      <c r="A37" s="27"/>
      <c r="B37" s="28"/>
      <c r="C37" s="31"/>
      <c r="D37" s="28"/>
      <c r="E37" s="28"/>
      <c r="F37" s="28"/>
      <c r="G37" s="31"/>
      <c r="H37" s="28"/>
      <c r="I37" s="28"/>
      <c r="J37" s="28"/>
      <c r="K37" s="28"/>
      <c r="L37" s="29"/>
    </row>
    <row r="38" spans="1:12" ht="13.5" x14ac:dyDescent="0.25">
      <c r="A38" s="37"/>
      <c r="B38" s="31" t="s">
        <v>137</v>
      </c>
      <c r="C38" s="32">
        <f>COUNTIF(Funções!G8:G125,"AIEL")</f>
        <v>0</v>
      </c>
      <c r="D38" s="31"/>
      <c r="E38" s="31" t="s">
        <v>152</v>
      </c>
      <c r="F38" s="31" t="s">
        <v>160</v>
      </c>
      <c r="G38" s="32">
        <f>C38*5</f>
        <v>0</v>
      </c>
      <c r="H38" s="31"/>
      <c r="I38" s="31"/>
      <c r="J38" s="34" t="str">
        <f>Deflatores!$G$4&amp;"="</f>
        <v>I=</v>
      </c>
      <c r="K38" s="35">
        <f>SUMIF(Funções!$J$8:$J$125,"AIE"&amp;Deflatores!$G$4,Funções!$L$8:$L$125)</f>
        <v>0</v>
      </c>
      <c r="L38" s="36"/>
    </row>
    <row r="39" spans="1:12" ht="13.5" x14ac:dyDescent="0.25">
      <c r="A39" s="37"/>
      <c r="B39" s="31"/>
      <c r="C39" s="32">
        <f>COUNTIF(Funções!G8:G125,"AIEA")</f>
        <v>0</v>
      </c>
      <c r="D39" s="31"/>
      <c r="E39" s="31" t="s">
        <v>154</v>
      </c>
      <c r="F39" s="31" t="s">
        <v>161</v>
      </c>
      <c r="G39" s="32">
        <f>C39*7</f>
        <v>0</v>
      </c>
      <c r="H39" s="31"/>
      <c r="I39" s="31"/>
      <c r="J39" s="34" t="str">
        <f>Deflatores!$G$5&amp;"="</f>
        <v>A=</v>
      </c>
      <c r="K39" s="35">
        <f>SUMIF(Funções!$J$8:$J$125,"AIE"&amp;Deflatores!$G$5,Funções!$L$8:$L$125)</f>
        <v>0</v>
      </c>
      <c r="L39" s="36"/>
    </row>
    <row r="40" spans="1:12" ht="13.5" x14ac:dyDescent="0.25">
      <c r="A40" s="37"/>
      <c r="B40" s="31"/>
      <c r="C40" s="32">
        <f>COUNTIF(Funções!G8:G125,"AIEH")</f>
        <v>0</v>
      </c>
      <c r="D40" s="31"/>
      <c r="E40" s="31" t="s">
        <v>156</v>
      </c>
      <c r="F40" s="31" t="s">
        <v>162</v>
      </c>
      <c r="G40" s="32">
        <f>C40*10</f>
        <v>0</v>
      </c>
      <c r="H40" s="31"/>
      <c r="I40" s="31"/>
      <c r="J40" s="34" t="str">
        <f>Deflatores!$G$6&amp;"="</f>
        <v>E=</v>
      </c>
      <c r="K40" s="35">
        <f>SUMIF(Funções!$J$8:$J$125,"AIE"&amp;Deflatores!$G$6,Funções!$L$8:$L$125)</f>
        <v>0</v>
      </c>
      <c r="L40" s="38"/>
    </row>
    <row r="41" spans="1:12" ht="13.5" x14ac:dyDescent="0.25">
      <c r="A41" s="37"/>
      <c r="B41" s="31"/>
      <c r="C41" s="31"/>
      <c r="D41" s="31"/>
      <c r="E41" s="31"/>
      <c r="F41" s="31"/>
      <c r="G41" s="31"/>
      <c r="H41" s="31"/>
      <c r="I41" s="31"/>
      <c r="J41" s="31"/>
      <c r="K41" s="45"/>
      <c r="L41" s="36"/>
    </row>
    <row r="42" spans="1:12" ht="13.5" x14ac:dyDescent="0.25">
      <c r="A42" s="37"/>
      <c r="B42" s="40" t="s">
        <v>158</v>
      </c>
      <c r="C42" s="32">
        <f>SUM(C38:C40)</f>
        <v>0</v>
      </c>
      <c r="D42" s="31"/>
      <c r="E42" s="31"/>
      <c r="F42" s="40" t="s">
        <v>159</v>
      </c>
      <c r="G42" s="32">
        <f>SUM(G38:G40)</f>
        <v>0</v>
      </c>
      <c r="H42" s="14">
        <f>IF($G$45&lt;&gt;0,G42/$G$45,"")</f>
        <v>0</v>
      </c>
      <c r="I42" s="41"/>
      <c r="J42" s="34"/>
      <c r="K42" s="35">
        <f>SUM(K38:K41)</f>
        <v>0</v>
      </c>
      <c r="L42" s="16" t="str">
        <f>IF('Sumário 2'!L11&lt;&gt;0,K42/'Sumário 2'!L11,"")</f>
        <v/>
      </c>
    </row>
    <row r="43" spans="1:12" ht="6" customHeight="1" x14ac:dyDescent="0.25">
      <c r="A43" s="42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43"/>
    </row>
    <row r="44" spans="1:12" ht="6" customHeight="1" x14ac:dyDescent="0.25">
      <c r="A44" s="37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6"/>
    </row>
    <row r="45" spans="1:12" ht="13.5" x14ac:dyDescent="0.25">
      <c r="A45" s="37"/>
      <c r="B45" s="121" t="s">
        <v>164</v>
      </c>
      <c r="C45" s="121"/>
      <c r="D45" s="121"/>
      <c r="E45" s="121"/>
      <c r="F45" s="121"/>
      <c r="G45" s="32">
        <f>SUM(G14+G21+G28+G35+G42)</f>
        <v>148</v>
      </c>
      <c r="H45" s="31"/>
      <c r="I45" s="31"/>
      <c r="J45" s="31"/>
      <c r="K45" s="31"/>
      <c r="L45" s="36"/>
    </row>
    <row r="46" spans="1:12" ht="13.5" x14ac:dyDescent="0.25">
      <c r="A46" s="37"/>
      <c r="B46" s="121" t="s">
        <v>165</v>
      </c>
      <c r="C46" s="121"/>
      <c r="D46" s="121"/>
      <c r="E46" s="121"/>
      <c r="F46" s="121"/>
      <c r="G46" s="32">
        <f>(C10+C11+C12)*4+(C17+C18+C19)*5+(C24+C25+C26)*4+(C31+C32+C33)*7+(C38+C39+C40)*5</f>
        <v>165</v>
      </c>
      <c r="H46" s="31"/>
      <c r="I46" s="31"/>
      <c r="J46" s="31"/>
      <c r="K46" s="31"/>
      <c r="L46" s="36"/>
    </row>
    <row r="47" spans="1:12" ht="13.5" x14ac:dyDescent="0.25">
      <c r="A47" s="37"/>
      <c r="B47" s="121" t="s">
        <v>166</v>
      </c>
      <c r="C47" s="121"/>
      <c r="D47" s="121"/>
      <c r="E47" s="121"/>
      <c r="F47" s="121"/>
      <c r="G47" s="32">
        <f>(C31+C32+C33)*35+(C38+C39+C40)*15</f>
        <v>280</v>
      </c>
      <c r="H47" s="31"/>
      <c r="I47" s="31"/>
      <c r="J47" s="31"/>
      <c r="K47" s="31"/>
      <c r="L47" s="36"/>
    </row>
    <row r="48" spans="1:12" ht="13.5" x14ac:dyDescent="0.25">
      <c r="A48" s="37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6"/>
    </row>
    <row r="49" spans="1:12" ht="13.5" x14ac:dyDescent="0.25">
      <c r="A49" s="37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6"/>
    </row>
    <row r="50" spans="1:12" ht="13.5" x14ac:dyDescent="0.25">
      <c r="A50" s="37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6"/>
    </row>
    <row r="51" spans="1:12" ht="13.5" x14ac:dyDescent="0.25">
      <c r="A51" s="37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6"/>
    </row>
    <row r="52" spans="1:12" ht="13.5" x14ac:dyDescent="0.25">
      <c r="A52" s="46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8"/>
    </row>
  </sheetData>
  <sheetProtection selectLockedCells="1" selectUnlockedCells="1"/>
  <mergeCells count="16">
    <mergeCell ref="B45:F45"/>
    <mergeCell ref="B46:F46"/>
    <mergeCell ref="B47:F47"/>
    <mergeCell ref="A7:B8"/>
    <mergeCell ref="C7:F8"/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M70"/>
  <sheetViews>
    <sheetView showGridLines="0" view="pageBreakPreview" zoomScaleSheetLayoutView="100" workbookViewId="0">
      <pane ySplit="6" topLeftCell="A19" activePane="bottomLeft" state="frozen"/>
      <selection activeCell="B11" sqref="B11"/>
      <selection pane="bottomLeft" activeCell="B56" sqref="B55:C56"/>
    </sheetView>
  </sheetViews>
  <sheetFormatPr defaultColWidth="11.5703125" defaultRowHeight="12.75" x14ac:dyDescent="0.2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 x14ac:dyDescent="0.2">
      <c r="A1" s="98" t="s">
        <v>167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3" x14ac:dyDescent="0.2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</row>
    <row r="3" spans="1:13" x14ac:dyDescent="0.2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</row>
    <row r="4" spans="1:13" x14ac:dyDescent="0.2">
      <c r="A4" s="120" t="str">
        <f>Contagem!A5&amp;" : "&amp;Contagem!F5</f>
        <v>Aplicação : Academia</v>
      </c>
      <c r="B4" s="120"/>
      <c r="C4" s="120"/>
      <c r="D4" s="120"/>
      <c r="E4" s="120"/>
      <c r="F4" s="107" t="str">
        <f>Contagem!A8&amp;" : "&amp;Contagem!F8</f>
        <v>Projeto : SIGA - Sistema de gerenciamento de uma academia</v>
      </c>
      <c r="G4" s="107"/>
      <c r="H4" s="107"/>
      <c r="I4" s="107"/>
      <c r="J4" s="107"/>
      <c r="K4" s="107"/>
      <c r="L4" s="107"/>
      <c r="M4" s="107"/>
    </row>
    <row r="5" spans="1:13" x14ac:dyDescent="0.2">
      <c r="A5" s="124" t="str">
        <f>Contagem!A9&amp;" : "&amp;Contagem!F9</f>
        <v>Responsável : Francisco José Borges Verissimo Junior</v>
      </c>
      <c r="B5" s="124"/>
      <c r="C5" s="124"/>
      <c r="D5" s="124"/>
      <c r="E5" s="124"/>
      <c r="F5" s="107" t="str">
        <f>Contagem!A10&amp;" : "&amp;Contagem!F10</f>
        <v>Revisor : Francisco José Borges Verissimo Junior</v>
      </c>
      <c r="G5" s="107"/>
      <c r="H5" s="107"/>
      <c r="I5" s="107"/>
      <c r="J5" s="107"/>
      <c r="K5" s="107"/>
      <c r="L5" s="107"/>
      <c r="M5" s="107"/>
    </row>
    <row r="6" spans="1:13" x14ac:dyDescent="0.2">
      <c r="A6" s="124" t="str">
        <f>Contagem!A4&amp;" : "&amp;Contagem!F4</f>
        <v>Empresa : PUC Minas - TCC Engenharia de Software</v>
      </c>
      <c r="B6" s="124"/>
      <c r="C6" s="124"/>
      <c r="D6" s="124"/>
      <c r="E6" s="124"/>
      <c r="F6" s="107" t="str">
        <f>"Tipo de Contagem : "&amp;Contagem!F6</f>
        <v>Tipo de Contagem : Projeto de Desenvolvimento</v>
      </c>
      <c r="G6" s="107"/>
      <c r="H6" s="107"/>
      <c r="I6" s="107"/>
      <c r="J6" s="107"/>
      <c r="K6" s="107"/>
      <c r="L6" s="107"/>
      <c r="M6" s="107"/>
    </row>
    <row r="7" spans="1:13" x14ac:dyDescent="0.2">
      <c r="A7" s="57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58"/>
    </row>
    <row r="8" spans="1:13" ht="13.5" x14ac:dyDescent="0.25">
      <c r="A8" s="57"/>
      <c r="B8" s="125"/>
      <c r="C8" s="125"/>
      <c r="D8" s="125"/>
      <c r="E8" s="125"/>
      <c r="F8" s="125"/>
      <c r="G8" s="125"/>
      <c r="H8" s="125"/>
      <c r="I8" s="125"/>
      <c r="J8" s="41"/>
      <c r="K8" s="41"/>
      <c r="L8" s="41"/>
      <c r="M8" s="58"/>
    </row>
    <row r="9" spans="1:13" ht="13.5" x14ac:dyDescent="0.25">
      <c r="A9" s="57"/>
      <c r="B9" s="126" t="s">
        <v>168</v>
      </c>
      <c r="C9" s="126"/>
      <c r="D9" s="126"/>
      <c r="E9" s="17" t="s">
        <v>138</v>
      </c>
      <c r="F9" s="17" t="s">
        <v>2</v>
      </c>
      <c r="G9" s="17" t="s">
        <v>169</v>
      </c>
      <c r="H9" s="17" t="s">
        <v>170</v>
      </c>
      <c r="I9" s="17" t="s">
        <v>8</v>
      </c>
      <c r="J9" s="17" t="s">
        <v>171</v>
      </c>
      <c r="K9" s="41"/>
      <c r="L9" s="41"/>
      <c r="M9" s="58"/>
    </row>
    <row r="10" spans="1:13" ht="13.5" customHeight="1" x14ac:dyDescent="0.25">
      <c r="A10" s="57"/>
      <c r="B10" s="96" t="str">
        <f>""&amp;Deflatores!B4</f>
        <v>Inclusão</v>
      </c>
      <c r="C10" s="96"/>
      <c r="D10" s="6" t="str">
        <f>""&amp;Deflatores!G4</f>
        <v>I</v>
      </c>
      <c r="E10" s="79">
        <f>IF(D10="","",COUNTIF(Funções!C$8:C$125,D10))</f>
        <v>0</v>
      </c>
      <c r="F10" s="80">
        <f>SUMIF(Funções!$C$8:$C$125,Deflatores!G4,Funções!$H$8:$H$125)</f>
        <v>0</v>
      </c>
      <c r="G10" s="81">
        <f>IF(ISBLANK(Deflatores!H4),"",Deflatores!H4)</f>
        <v>1</v>
      </c>
      <c r="H10" s="80" t="str">
        <f>IF(ISBLANK(Deflatores!I4),"",Deflatores!I4)</f>
        <v/>
      </c>
      <c r="I10" s="82">
        <f>IF(F10=0,Deflatores!K4,F10*G10)</f>
        <v>0</v>
      </c>
      <c r="J10" s="83" t="str">
        <f t="shared" ref="J10:J44" si="0">IF($L$11&lt;&gt;0,I10/$L$11,"")</f>
        <v/>
      </c>
      <c r="K10" s="41"/>
      <c r="L10" s="22" t="s">
        <v>8</v>
      </c>
      <c r="M10" s="36"/>
    </row>
    <row r="11" spans="1:13" ht="13.5" customHeight="1" x14ac:dyDescent="0.25">
      <c r="A11" s="57"/>
      <c r="B11" s="96" t="str">
        <f>""&amp;Deflatores!B5</f>
        <v>Alteração (sem conhecimento do Fator de Impacto)</v>
      </c>
      <c r="C11" s="96"/>
      <c r="D11" s="6" t="str">
        <f>""&amp;Deflatores!G5</f>
        <v>A</v>
      </c>
      <c r="E11" s="79">
        <f>IF(D11="","",COUNTIF(Funções!C$8:C$125,D11))</f>
        <v>0</v>
      </c>
      <c r="F11" s="80">
        <f>SUMIF(Funções!$C$8:$C$125,Deflatores!G5,Funções!$H$8:$H$125)</f>
        <v>0</v>
      </c>
      <c r="G11" s="81">
        <f>IF(ISBLANK(Deflatores!H5),"",Deflatores!H5)</f>
        <v>0.5</v>
      </c>
      <c r="H11" s="80" t="str">
        <f>IF(ISBLANK(Deflatores!I5),"",Deflatores!I5)</f>
        <v/>
      </c>
      <c r="I11" s="82">
        <f>IF(F11=0,Deflatores!K5,F11*G11)</f>
        <v>0</v>
      </c>
      <c r="J11" s="83" t="str">
        <f t="shared" si="0"/>
        <v/>
      </c>
      <c r="K11" s="68"/>
      <c r="L11" s="23">
        <f>Contagem!Q6</f>
        <v>0</v>
      </c>
      <c r="M11" s="36"/>
    </row>
    <row r="12" spans="1:13" ht="13.5" customHeight="1" x14ac:dyDescent="0.25">
      <c r="A12" s="57"/>
      <c r="B12" s="96" t="str">
        <f>""&amp;Deflatores!B6</f>
        <v>Exclusão</v>
      </c>
      <c r="C12" s="96"/>
      <c r="D12" s="6" t="str">
        <f>""&amp;Deflatores!G6</f>
        <v>E</v>
      </c>
      <c r="E12" s="79">
        <f>IF(D12="","",COUNTIF(Funções!C$8:C$125,D12))</f>
        <v>0</v>
      </c>
      <c r="F12" s="80">
        <f>SUMIF(Funções!$C$8:$C$125,Deflatores!G6,Funções!$H$8:$H$125)</f>
        <v>0</v>
      </c>
      <c r="G12" s="81">
        <f>IF(ISBLANK(Deflatores!H6),"",Deflatores!H6)</f>
        <v>0.4</v>
      </c>
      <c r="H12" s="80" t="str">
        <f>IF(ISBLANK(Deflatores!I6),"",Deflatores!I6)</f>
        <v/>
      </c>
      <c r="I12" s="82">
        <f>IF(F12=0,Deflatores!K6,F12*G12)</f>
        <v>0</v>
      </c>
      <c r="J12" s="83" t="str">
        <f t="shared" si="0"/>
        <v/>
      </c>
      <c r="K12" s="68"/>
      <c r="L12" s="69"/>
      <c r="M12" s="36"/>
    </row>
    <row r="13" spans="1:13" ht="13.5" customHeight="1" x14ac:dyDescent="0.25">
      <c r="A13" s="57"/>
      <c r="B13" s="96" t="str">
        <f>""&amp;Deflatores!B7</f>
        <v>Alteração (50%) de função desenvolvida ou já alterada pela empresa atual</v>
      </c>
      <c r="C13" s="96"/>
      <c r="D13" s="6" t="str">
        <f>""&amp;Deflatores!G7</f>
        <v>A50</v>
      </c>
      <c r="E13" s="79">
        <f>IF(D13="","",COUNTIF(Funções!C$8:C$125,D13))</f>
        <v>0</v>
      </c>
      <c r="F13" s="80">
        <f>SUMIF(Funções!$C$8:$C$125,Deflatores!G7,Funções!$H$8:$H$125)</f>
        <v>0</v>
      </c>
      <c r="G13" s="81">
        <f>IF(ISBLANK(Deflatores!H7),"",Deflatores!H7)</f>
        <v>0.5</v>
      </c>
      <c r="H13" s="80" t="str">
        <f>IF(ISBLANK(Deflatores!I7),"",Deflatores!I7)</f>
        <v/>
      </c>
      <c r="I13" s="82">
        <f>Deflatores!K7</f>
        <v>0</v>
      </c>
      <c r="J13" s="83" t="str">
        <f t="shared" si="0"/>
        <v/>
      </c>
      <c r="K13" s="68"/>
      <c r="L13" s="22" t="s">
        <v>172</v>
      </c>
      <c r="M13" s="36"/>
    </row>
    <row r="14" spans="1:13" ht="13.5" customHeight="1" x14ac:dyDescent="0.25">
      <c r="A14" s="57"/>
      <c r="B14" s="96" t="str">
        <f>""&amp;Deflatores!B8</f>
        <v>Alteração (75%) de função não desenv. e ainda não alterada pela empresa atual</v>
      </c>
      <c r="C14" s="96"/>
      <c r="D14" s="6" t="str">
        <f>""&amp;Deflatores!G8</f>
        <v>A75</v>
      </c>
      <c r="E14" s="79">
        <f>IF(D14="","",COUNTIF(Funções!C$8:C$125,D14))</f>
        <v>0</v>
      </c>
      <c r="F14" s="80">
        <f>SUMIF(Funções!$C$8:$C$125,Deflatores!G8,Funções!$H$8:$H$125)</f>
        <v>0</v>
      </c>
      <c r="G14" s="81">
        <f>IF(ISBLANK(Deflatores!H8),"",Deflatores!H8)</f>
        <v>0.75</v>
      </c>
      <c r="H14" s="80" t="str">
        <f>IF(ISBLANK(Deflatores!I8),"",Deflatores!I8)</f>
        <v/>
      </c>
      <c r="I14" s="82">
        <f>Deflatores!K8</f>
        <v>0</v>
      </c>
      <c r="J14" s="83" t="str">
        <f t="shared" si="0"/>
        <v/>
      </c>
      <c r="K14" s="41"/>
      <c r="L14" s="23">
        <f>Contagem!Q4</f>
        <v>151</v>
      </c>
      <c r="M14" s="36"/>
    </row>
    <row r="15" spans="1:13" ht="13.5" customHeight="1" x14ac:dyDescent="0.2">
      <c r="A15" s="57"/>
      <c r="B15" s="96" t="str">
        <f>""&amp;Deflatores!B9</f>
        <v>Alteração (75%+15%): o mesmo acima + redocumentar a função</v>
      </c>
      <c r="C15" s="96"/>
      <c r="D15" s="6" t="str">
        <f>""&amp;Deflatores!G9</f>
        <v>A90</v>
      </c>
      <c r="E15" s="79">
        <f>IF(D15="","",COUNTIF(Funções!C$8:C$125,D15))</f>
        <v>0</v>
      </c>
      <c r="F15" s="80">
        <f>SUMIF(Funções!$C$8:$C$125,Deflatores!G9,Funções!$H$8:$H$125)</f>
        <v>0</v>
      </c>
      <c r="G15" s="81">
        <f>IF(ISBLANK(Deflatores!H9),"",Deflatores!H9)</f>
        <v>0.9</v>
      </c>
      <c r="H15" s="80" t="str">
        <f>IF(ISBLANK(Deflatores!I9),"",Deflatores!I9)</f>
        <v/>
      </c>
      <c r="I15" s="82">
        <f>Deflatores!K9</f>
        <v>0</v>
      </c>
      <c r="J15" s="83" t="str">
        <f t="shared" si="0"/>
        <v/>
      </c>
      <c r="K15" s="41"/>
      <c r="L15" s="41"/>
      <c r="M15" s="58"/>
    </row>
    <row r="16" spans="1:13" ht="13.5" customHeight="1" x14ac:dyDescent="0.2">
      <c r="A16" s="57"/>
      <c r="B16" s="96" t="str">
        <f>""&amp;Deflatores!B10</f>
        <v>Migração de Dados</v>
      </c>
      <c r="C16" s="96"/>
      <c r="D16" s="6" t="str">
        <f>""&amp;Deflatores!G10</f>
        <v>PMD</v>
      </c>
      <c r="E16" s="79">
        <f>IF(D16="","",COUNTIF(Funções!C$8:C$125,D16))</f>
        <v>0</v>
      </c>
      <c r="F16" s="80">
        <f>SUMIF(Funções!$C$8:$C$125,Deflatores!G10,Funções!$H$8:$H$125)</f>
        <v>0</v>
      </c>
      <c r="G16" s="81">
        <f>IF(ISBLANK(Deflatores!H10),"",Deflatores!H10)</f>
        <v>1</v>
      </c>
      <c r="H16" s="80" t="str">
        <f>IF(ISBLANK(Deflatores!I10),"",Deflatores!I10)</f>
        <v/>
      </c>
      <c r="I16" s="82">
        <f>Deflatores!K10</f>
        <v>0</v>
      </c>
      <c r="J16" s="83" t="str">
        <f t="shared" si="0"/>
        <v/>
      </c>
      <c r="K16" s="41"/>
      <c r="L16" s="41"/>
      <c r="M16" s="58"/>
    </row>
    <row r="17" spans="1:13" ht="13.5" customHeight="1" x14ac:dyDescent="0.2">
      <c r="A17" s="57"/>
      <c r="B17" s="96" t="str">
        <f>""&amp;Deflatores!B11</f>
        <v>Corretiva (sem conhecimento do Fator de Impacto)</v>
      </c>
      <c r="C17" s="96"/>
      <c r="D17" s="6" t="str">
        <f>""&amp;Deflatores!G11</f>
        <v>COR</v>
      </c>
      <c r="E17" s="79">
        <f>IF(D17="","",COUNTIF(Funções!C$8:C$125,D17))</f>
        <v>0</v>
      </c>
      <c r="F17" s="80">
        <f>SUMIF(Funções!$C$8:$C$125,Deflatores!G11,Funções!$H$8:$H$125)</f>
        <v>0</v>
      </c>
      <c r="G17" s="81">
        <f>IF(ISBLANK(Deflatores!H11),"",Deflatores!H11)</f>
        <v>0.5</v>
      </c>
      <c r="H17" s="80" t="str">
        <f>IF(ISBLANK(Deflatores!I11),"",Deflatores!I11)</f>
        <v/>
      </c>
      <c r="I17" s="82">
        <f>Deflatores!K11</f>
        <v>0</v>
      </c>
      <c r="J17" s="83" t="str">
        <f>IF($L$11&lt;&gt;0,I17/$L$11,"")</f>
        <v/>
      </c>
      <c r="K17" s="41"/>
      <c r="L17" s="41"/>
      <c r="M17" s="58"/>
    </row>
    <row r="18" spans="1:13" ht="13.5" customHeight="1" x14ac:dyDescent="0.2">
      <c r="A18" s="57"/>
      <c r="B18" s="96" t="str">
        <f>""&amp;Deflatores!B12</f>
        <v>Corretiva (50%) - Fora da garantia (mesma empresa)</v>
      </c>
      <c r="C18" s="96"/>
      <c r="D18" s="6" t="str">
        <f>""&amp;Deflatores!G12</f>
        <v>COR50</v>
      </c>
      <c r="E18" s="79">
        <f>IF(D18="","",COUNTIF(Funções!C$8:C$125,D18))</f>
        <v>0</v>
      </c>
      <c r="F18" s="80">
        <f>SUMIF(Funções!$C$8:$C$125,Deflatores!G12,Funções!$H$8:$H$125)</f>
        <v>0</v>
      </c>
      <c r="G18" s="81">
        <f>IF(ISBLANK(Deflatores!H12),"",Deflatores!H12)</f>
        <v>0.5</v>
      </c>
      <c r="H18" s="80" t="str">
        <f>IF(ISBLANK(Deflatores!I12),"",Deflatores!I12)</f>
        <v/>
      </c>
      <c r="I18" s="82">
        <f>Deflatores!K12</f>
        <v>0</v>
      </c>
      <c r="J18" s="83" t="str">
        <f t="shared" si="0"/>
        <v/>
      </c>
      <c r="K18" s="41"/>
      <c r="L18" s="41"/>
      <c r="M18" s="58"/>
    </row>
    <row r="19" spans="1:13" ht="13.5" customHeight="1" x14ac:dyDescent="0.2">
      <c r="A19" s="57"/>
      <c r="B19" s="96" t="str">
        <f>""&amp;Deflatores!B13</f>
        <v>Corretiva (75%) - Fora da garantia (outra empresa)</v>
      </c>
      <c r="C19" s="96"/>
      <c r="D19" s="6" t="str">
        <f>""&amp;Deflatores!G13</f>
        <v>COR75</v>
      </c>
      <c r="E19" s="79">
        <f>IF(D19="","",COUNTIF(Funções!C$8:C$125,D19))</f>
        <v>0</v>
      </c>
      <c r="F19" s="80">
        <f>SUMIF(Funções!$C$8:$C$125,Deflatores!G13,Funções!$H$8:$H$125)</f>
        <v>0</v>
      </c>
      <c r="G19" s="81">
        <f>IF(ISBLANK(Deflatores!H13),"",Deflatores!H13)</f>
        <v>0.75</v>
      </c>
      <c r="H19" s="80" t="str">
        <f>IF(ISBLANK(Deflatores!I13),"",Deflatores!I13)</f>
        <v/>
      </c>
      <c r="I19" s="82">
        <f>Deflatores!K13</f>
        <v>0</v>
      </c>
      <c r="J19" s="83" t="str">
        <f t="shared" si="0"/>
        <v/>
      </c>
      <c r="K19" s="41"/>
      <c r="L19" s="41"/>
      <c r="M19" s="58"/>
    </row>
    <row r="20" spans="1:13" ht="13.5" customHeight="1" x14ac:dyDescent="0.2">
      <c r="A20" s="57"/>
      <c r="B20" s="96" t="str">
        <f>""&amp;Deflatores!B14</f>
        <v>Corretiva (75%+15%) - Fora da garantia (outra empresa) + Redocumentação</v>
      </c>
      <c r="C20" s="96"/>
      <c r="D20" s="6" t="str">
        <f>""&amp;Deflatores!G14</f>
        <v>COR90</v>
      </c>
      <c r="E20" s="79">
        <f>IF(D20="","",COUNTIF(Funções!C$8:C$125,D20))</f>
        <v>0</v>
      </c>
      <c r="F20" s="80">
        <f>SUMIF(Funções!$C$8:$C$125,Deflatores!G14,Funções!$H$8:$H$125)</f>
        <v>0</v>
      </c>
      <c r="G20" s="81">
        <f>IF(ISBLANK(Deflatores!H14),"",Deflatores!H14)</f>
        <v>0.9</v>
      </c>
      <c r="H20" s="80" t="str">
        <f>IF(ISBLANK(Deflatores!I14),"",Deflatores!I14)</f>
        <v/>
      </c>
      <c r="I20" s="82">
        <f>Deflatores!K14</f>
        <v>0</v>
      </c>
      <c r="J20" s="83" t="str">
        <f>IF($L$11&lt;&gt;0,I20/$L$11,"")</f>
        <v/>
      </c>
      <c r="K20" s="41"/>
      <c r="L20" s="41"/>
      <c r="M20" s="58"/>
    </row>
    <row r="21" spans="1:13" ht="13.5" customHeight="1" x14ac:dyDescent="0.2">
      <c r="A21" s="57"/>
      <c r="B21" s="96" t="str">
        <f>""&amp;Deflatores!B15</f>
        <v>Corretiva em Garantia</v>
      </c>
      <c r="C21" s="96"/>
      <c r="D21" s="6" t="str">
        <f>""&amp;Deflatores!G15</f>
        <v>GAR</v>
      </c>
      <c r="E21" s="79">
        <f>IF(D21="","",COUNTIF(Funções!C$8:C$125,D21))</f>
        <v>0</v>
      </c>
      <c r="F21" s="80">
        <f>SUMIF(Funções!$C$8:$C$125,Deflatores!G15,Funções!$H$8:$H$125)</f>
        <v>0</v>
      </c>
      <c r="G21" s="81">
        <f>IF(ISBLANK(Deflatores!H15),"",Deflatores!H15)</f>
        <v>0</v>
      </c>
      <c r="H21" s="80" t="str">
        <f>IF(ISBLANK(Deflatores!I15),"",Deflatores!I15)</f>
        <v/>
      </c>
      <c r="I21" s="82">
        <f>Deflatores!K15</f>
        <v>0</v>
      </c>
      <c r="J21" s="83" t="str">
        <f>IF($L$11&lt;&gt;0,I21/$L$11,"")</f>
        <v/>
      </c>
      <c r="K21" s="41"/>
      <c r="L21" s="41"/>
      <c r="M21" s="58"/>
    </row>
    <row r="22" spans="1:13" ht="13.5" customHeight="1" x14ac:dyDescent="0.2">
      <c r="A22" s="57"/>
      <c r="B22" s="96" t="str">
        <f>""&amp;Deflatores!B16</f>
        <v>Mudança de Plataforma - Linguagem de Programação</v>
      </c>
      <c r="C22" s="96"/>
      <c r="D22" s="6" t="str">
        <f>""&amp;Deflatores!G16</f>
        <v>MLP</v>
      </c>
      <c r="E22" s="79">
        <f>IF(D22="","",COUNTIF(Funções!C$8:C$125,D22))</f>
        <v>0</v>
      </c>
      <c r="F22" s="80">
        <f>SUMIF(Funções!$C$8:$C$125,Deflatores!G16,Funções!$H$8:$H$125)</f>
        <v>0</v>
      </c>
      <c r="G22" s="81">
        <f>IF(ISBLANK(Deflatores!H16),"",Deflatores!H16)</f>
        <v>1</v>
      </c>
      <c r="H22" s="80" t="str">
        <f>IF(ISBLANK(Deflatores!I16),"",Deflatores!I16)</f>
        <v/>
      </c>
      <c r="I22" s="82">
        <f>Deflatores!K16</f>
        <v>0</v>
      </c>
      <c r="J22" s="83" t="str">
        <f t="shared" si="0"/>
        <v/>
      </c>
      <c r="K22" s="41"/>
      <c r="L22" s="41"/>
      <c r="M22" s="58"/>
    </row>
    <row r="23" spans="1:13" ht="13.5" customHeight="1" x14ac:dyDescent="0.2">
      <c r="A23" s="57"/>
      <c r="B23" s="96" t="str">
        <f>""&amp;Deflatores!B17</f>
        <v>Mudança de Plataforma - Banco de Dados (outro paradigma)</v>
      </c>
      <c r="C23" s="96"/>
      <c r="D23" s="6" t="str">
        <f>""&amp;Deflatores!G17</f>
        <v>MBO</v>
      </c>
      <c r="E23" s="79">
        <f>IF(D23="","",COUNTIF(Funções!C$8:C$125,D23))</f>
        <v>0</v>
      </c>
      <c r="F23" s="80">
        <f>SUMIF(Funções!$C$8:$C$125,Deflatores!G17,Funções!$H$8:$H$125)</f>
        <v>0</v>
      </c>
      <c r="G23" s="81">
        <f>IF(ISBLANK(Deflatores!H17),"",Deflatores!H17)</f>
        <v>1</v>
      </c>
      <c r="H23" s="80" t="str">
        <f>IF(ISBLANK(Deflatores!I17),"",Deflatores!I17)</f>
        <v/>
      </c>
      <c r="I23" s="82">
        <f>Deflatores!K17</f>
        <v>0</v>
      </c>
      <c r="J23" s="83" t="str">
        <f t="shared" si="0"/>
        <v/>
      </c>
      <c r="K23" s="41"/>
      <c r="L23" s="41"/>
      <c r="M23" s="58"/>
    </row>
    <row r="24" spans="1:13" ht="13.5" customHeight="1" x14ac:dyDescent="0.2">
      <c r="A24" s="57"/>
      <c r="B24" s="96" t="str">
        <f>""&amp;Deflatores!B18</f>
        <v>Mudança de Plataforma - Banco de Dados (mesmo paradigma com alterações)</v>
      </c>
      <c r="C24" s="96"/>
      <c r="D24" s="6" t="str">
        <f>""&amp;Deflatores!G18</f>
        <v>MBM</v>
      </c>
      <c r="E24" s="79">
        <f>IF(D24="","",COUNTIF(Funções!C$8:C$125,D24))</f>
        <v>0</v>
      </c>
      <c r="F24" s="80">
        <f>SUMIF(Funções!$C$8:$C$125,Deflatores!G18,Funções!$H$8:$H$125)</f>
        <v>0</v>
      </c>
      <c r="G24" s="81">
        <f>IF(ISBLANK(Deflatores!H18),"",Deflatores!H18)</f>
        <v>0.3</v>
      </c>
      <c r="H24" s="80" t="str">
        <f>IF(ISBLANK(Deflatores!I18),"",Deflatores!I18)</f>
        <v/>
      </c>
      <c r="I24" s="82">
        <f>Deflatores!K18</f>
        <v>0</v>
      </c>
      <c r="J24" s="83" t="str">
        <f t="shared" si="0"/>
        <v/>
      </c>
      <c r="K24" s="68"/>
      <c r="L24" s="41"/>
      <c r="M24" s="58"/>
    </row>
    <row r="25" spans="1:13" ht="13.5" customHeight="1" x14ac:dyDescent="0.2">
      <c r="A25" s="57"/>
      <c r="B25" s="96" t="str">
        <f>""&amp;Deflatores!B19</f>
        <v>Atualização de Versão – Linguagem de Programação</v>
      </c>
      <c r="C25" s="96"/>
      <c r="D25" s="6" t="str">
        <f>""&amp;Deflatores!G19</f>
        <v>ALP</v>
      </c>
      <c r="E25" s="79">
        <f>IF(D25="","",COUNTIF(Funções!C$8:C$125,D25))</f>
        <v>0</v>
      </c>
      <c r="F25" s="80">
        <f>SUMIF(Funções!$C$8:$C$125,Deflatores!G19,Funções!$H$8:$H$125)</f>
        <v>0</v>
      </c>
      <c r="G25" s="81">
        <f>IF(ISBLANK(Deflatores!H19),"",Deflatores!H19)</f>
        <v>0.3</v>
      </c>
      <c r="H25" s="80" t="str">
        <f>IF(ISBLANK(Deflatores!I19),"",Deflatores!I19)</f>
        <v/>
      </c>
      <c r="I25" s="82">
        <f>Deflatores!K19</f>
        <v>0</v>
      </c>
      <c r="J25" s="83" t="str">
        <f t="shared" si="0"/>
        <v/>
      </c>
      <c r="K25" s="68"/>
      <c r="L25" s="41"/>
      <c r="M25" s="58"/>
    </row>
    <row r="26" spans="1:13" ht="13.5" customHeight="1" x14ac:dyDescent="0.2">
      <c r="A26" s="57"/>
      <c r="B26" s="96" t="str">
        <f>""&amp;Deflatores!B20</f>
        <v>Atualização de Versão – Browser</v>
      </c>
      <c r="C26" s="96"/>
      <c r="D26" s="6" t="str">
        <f>""&amp;Deflatores!G20</f>
        <v>AVB</v>
      </c>
      <c r="E26" s="79">
        <f>IF(D26="","",COUNTIF(Funções!C$8:C$125,D26))</f>
        <v>0</v>
      </c>
      <c r="F26" s="80">
        <f>SUMIF(Funções!$C$8:$C$125,Deflatores!G20,Funções!$H$8:$H$125)</f>
        <v>0</v>
      </c>
      <c r="G26" s="81">
        <f>IF(ISBLANK(Deflatores!H20),"",Deflatores!H20)</f>
        <v>0.3</v>
      </c>
      <c r="H26" s="80" t="str">
        <f>IF(ISBLANK(Deflatores!I20),"",Deflatores!I20)</f>
        <v/>
      </c>
      <c r="I26" s="82">
        <f>Deflatores!K20</f>
        <v>0</v>
      </c>
      <c r="J26" s="83" t="str">
        <f t="shared" si="0"/>
        <v/>
      </c>
      <c r="K26" s="68"/>
      <c r="L26" s="41"/>
      <c r="M26" s="58"/>
    </row>
    <row r="27" spans="1:13" ht="13.5" customHeight="1" x14ac:dyDescent="0.2">
      <c r="A27" s="57"/>
      <c r="B27" s="96" t="str">
        <f>""&amp;Deflatores!B21</f>
        <v>Atualização de Versão – Banco de Dados</v>
      </c>
      <c r="C27" s="96"/>
      <c r="D27" s="6" t="str">
        <f>""&amp;Deflatores!G21</f>
        <v>ABD</v>
      </c>
      <c r="E27" s="79">
        <f>IF(D27="","",COUNTIF(Funções!C$8:C$125,D27))</f>
        <v>0</v>
      </c>
      <c r="F27" s="80">
        <f>SUMIF(Funções!$C$8:$C$125,Deflatores!G21,Funções!$H$8:$H$125)</f>
        <v>0</v>
      </c>
      <c r="G27" s="81">
        <f>IF(ISBLANK(Deflatores!H21),"",Deflatores!H21)</f>
        <v>0.3</v>
      </c>
      <c r="H27" s="80" t="str">
        <f>IF(ISBLANK(Deflatores!I21),"",Deflatores!I21)</f>
        <v/>
      </c>
      <c r="I27" s="82">
        <f>Deflatores!K21</f>
        <v>0</v>
      </c>
      <c r="J27" s="83" t="str">
        <f t="shared" si="0"/>
        <v/>
      </c>
      <c r="K27" s="68"/>
      <c r="L27" s="41"/>
      <c r="M27" s="58"/>
    </row>
    <row r="28" spans="1:13" ht="13.5" customHeight="1" x14ac:dyDescent="0.2">
      <c r="A28" s="57"/>
      <c r="B28" s="96" t="str">
        <f>""&amp;Deflatores!B22</f>
        <v>Manutenção Cosmética</v>
      </c>
      <c r="C28" s="96"/>
      <c r="D28" s="6" t="str">
        <f>""&amp;Deflatores!G22</f>
        <v>COS</v>
      </c>
      <c r="E28" s="79">
        <f>IF(D28="","",COUNTIF(Funções!C$8:C$125,D28))</f>
        <v>0</v>
      </c>
      <c r="F28" s="80">
        <f>SUMIF(Funções!$C$8:$C$125,Deflatores!G22,Funções!$H$8:$H$125)</f>
        <v>0</v>
      </c>
      <c r="G28" s="81" t="str">
        <f>IF(ISBLANK(Deflatores!H22),"",Deflatores!H22)</f>
        <v/>
      </c>
      <c r="H28" s="80">
        <f>IF(ISBLANK(Deflatores!I22),"",Deflatores!I22)</f>
        <v>0.6</v>
      </c>
      <c r="I28" s="82">
        <f>Deflatores!K22</f>
        <v>0</v>
      </c>
      <c r="J28" s="83" t="str">
        <f t="shared" si="0"/>
        <v/>
      </c>
      <c r="K28" s="41"/>
      <c r="L28" s="41"/>
      <c r="M28" s="58"/>
    </row>
    <row r="29" spans="1:13" ht="27" customHeight="1" x14ac:dyDescent="0.2">
      <c r="A29" s="57"/>
      <c r="B29" s="111" t="str">
        <f>""&amp;Deflatores!B23</f>
        <v>Adaptação em Funcionalidades sem Alteração de Requisitos Funcionais
(sem conhecimento do Fator de Impacto)</v>
      </c>
      <c r="C29" s="113"/>
      <c r="D29" s="6" t="str">
        <f>""&amp;Deflatores!G23</f>
        <v>ARN</v>
      </c>
      <c r="E29" s="79">
        <f>IF(D29="","",COUNTIF(Funções!C$8:C$125,D29))</f>
        <v>0</v>
      </c>
      <c r="F29" s="80">
        <f>SUMIF(Funções!$C$8:$C$125,Deflatores!G23,Funções!$H$8:$H$125)</f>
        <v>0</v>
      </c>
      <c r="G29" s="81">
        <f>IF(ISBLANK(Deflatores!H23),"",Deflatores!H23)</f>
        <v>0.5</v>
      </c>
      <c r="H29" s="80" t="str">
        <f>IF(ISBLANK(Deflatores!I23),"",Deflatores!I23)</f>
        <v/>
      </c>
      <c r="I29" s="82">
        <f>Deflatores!K23</f>
        <v>0</v>
      </c>
      <c r="J29" s="83" t="str">
        <f>IF($L$11&lt;&gt;0,I29/$L$11,"")</f>
        <v/>
      </c>
      <c r="K29" s="41"/>
      <c r="L29" s="41"/>
      <c r="M29" s="58"/>
    </row>
    <row r="30" spans="1:13" ht="27" customHeight="1" x14ac:dyDescent="0.2">
      <c r="A30" s="57"/>
      <c r="B30" s="111" t="str">
        <f>""&amp;Deflatores!B24</f>
        <v>Adaptação em Funcionalidades sem Alteração de Requisitos Funcionais (50%)
(em função desenvolvida ou já alterada pela empresa atual)</v>
      </c>
      <c r="C30" s="113"/>
      <c r="D30" s="6" t="str">
        <f>""&amp;Deflatores!G24</f>
        <v>ARN50</v>
      </c>
      <c r="E30" s="79">
        <f>IF(D30="","",COUNTIF(Funções!C$8:C$125,D30))</f>
        <v>0</v>
      </c>
      <c r="F30" s="80">
        <f>SUMIF(Funções!$C$8:$C$125,Deflatores!G24,Funções!$H$8:$H$125)</f>
        <v>0</v>
      </c>
      <c r="G30" s="81">
        <f>IF(ISBLANK(Deflatores!H24),"",Deflatores!H24)</f>
        <v>0.5</v>
      </c>
      <c r="H30" s="80" t="str">
        <f>IF(ISBLANK(Deflatores!I24),"",Deflatores!I24)</f>
        <v/>
      </c>
      <c r="I30" s="82">
        <f>Deflatores!K24</f>
        <v>0</v>
      </c>
      <c r="J30" s="83" t="str">
        <f t="shared" si="0"/>
        <v/>
      </c>
      <c r="K30" s="41"/>
      <c r="L30" s="41"/>
      <c r="M30" s="58"/>
    </row>
    <row r="31" spans="1:13" ht="27" customHeight="1" x14ac:dyDescent="0.2">
      <c r="A31" s="57"/>
      <c r="B31" s="111" t="str">
        <f>""&amp;Deflatores!B25</f>
        <v>Adaptação em Funcionalidades sem Alteração de Requisitos Funcionais (75%)
(em função não desenvolvida e ainda não alterada pela empresa atual)</v>
      </c>
      <c r="C31" s="113"/>
      <c r="D31" s="6" t="str">
        <f>""&amp;Deflatores!G25</f>
        <v>ARN75</v>
      </c>
      <c r="E31" s="79">
        <f>IF(D31="","",COUNTIF(Funções!C$8:C$125,D31))</f>
        <v>0</v>
      </c>
      <c r="F31" s="80">
        <f>SUMIF(Funções!$C$8:$C$125,Deflatores!G25,Funções!$H$8:$H$125)</f>
        <v>0</v>
      </c>
      <c r="G31" s="81">
        <f>IF(ISBLANK(Deflatores!H25),"",Deflatores!H25)</f>
        <v>0.75</v>
      </c>
      <c r="H31" s="80" t="str">
        <f>IF(ISBLANK(Deflatores!I25),"",Deflatores!I25)</f>
        <v/>
      </c>
      <c r="I31" s="82">
        <f>Deflatores!K25</f>
        <v>0</v>
      </c>
      <c r="J31" s="83" t="str">
        <f t="shared" si="0"/>
        <v/>
      </c>
      <c r="K31" s="41"/>
      <c r="L31" s="41"/>
      <c r="M31" s="58"/>
    </row>
    <row r="32" spans="1:13" ht="13.5" customHeight="1" x14ac:dyDescent="0.2">
      <c r="A32" s="57"/>
      <c r="B32" s="96" t="str">
        <f>""&amp;Deflatores!B26</f>
        <v>Atualização de Dados sem Consulta Prévia</v>
      </c>
      <c r="C32" s="96"/>
      <c r="D32" s="6" t="str">
        <f>""&amp;Deflatores!G26</f>
        <v>ADS</v>
      </c>
      <c r="E32" s="79">
        <f>IF(D32="","",COUNTIF(Funções!C$8:C$125,D32))</f>
        <v>0</v>
      </c>
      <c r="F32" s="80">
        <f>SUMIF(Funções!$C$8:$C$125,Deflatores!G26,Funções!$H$8:$H$125)</f>
        <v>0</v>
      </c>
      <c r="G32" s="81">
        <f>IF(ISBLANK(Deflatores!H26),"",Deflatores!H26)</f>
        <v>1</v>
      </c>
      <c r="H32" s="80" t="str">
        <f>IF(ISBLANK(Deflatores!I26),"",Deflatores!I26)</f>
        <v/>
      </c>
      <c r="I32" s="82">
        <f>Deflatores!K26</f>
        <v>0</v>
      </c>
      <c r="J32" s="83" t="str">
        <f t="shared" si="0"/>
        <v/>
      </c>
      <c r="K32" s="41"/>
      <c r="L32" s="41"/>
      <c r="M32" s="58"/>
    </row>
    <row r="33" spans="1:13" ht="13.5" customHeight="1" x14ac:dyDescent="0.2">
      <c r="A33" s="57"/>
      <c r="B33" s="96" t="str">
        <f>""&amp;Deflatores!B27</f>
        <v>Consulta Prévia sem Atualização</v>
      </c>
      <c r="C33" s="96"/>
      <c r="D33" s="6" t="str">
        <f>""&amp;Deflatores!G27</f>
        <v>CPA</v>
      </c>
      <c r="E33" s="79">
        <f>IF(D33="","",COUNTIF(Funções!C$8:C$125,D33))</f>
        <v>0</v>
      </c>
      <c r="F33" s="80">
        <f>SUMIF(Funções!$C$8:$C$125,Deflatores!G27,Funções!$H$8:$H$125)</f>
        <v>0</v>
      </c>
      <c r="G33" s="81">
        <f>IF(ISBLANK(Deflatores!H27),"",Deflatores!H27)</f>
        <v>1</v>
      </c>
      <c r="H33" s="80" t="str">
        <f>IF(ISBLANK(Deflatores!I27),"",Deflatores!I27)</f>
        <v/>
      </c>
      <c r="I33" s="82">
        <f>Deflatores!K27</f>
        <v>0</v>
      </c>
      <c r="J33" s="83" t="str">
        <f t="shared" si="0"/>
        <v/>
      </c>
      <c r="K33" s="41"/>
      <c r="L33" s="41"/>
      <c r="M33" s="58"/>
    </row>
    <row r="34" spans="1:13" ht="13.5" customHeight="1" x14ac:dyDescent="0.2">
      <c r="A34" s="57"/>
      <c r="B34" s="96" t="str">
        <f>""&amp;Deflatores!B28</f>
        <v>Atualização de Dados com Consulta Prévia</v>
      </c>
      <c r="C34" s="96"/>
      <c r="D34" s="6" t="str">
        <f>""&amp;Deflatores!G28</f>
        <v>ADC</v>
      </c>
      <c r="E34" s="79">
        <f>IF(D34="","",COUNTIF(Funções!C$8:C$125,D34))</f>
        <v>0</v>
      </c>
      <c r="F34" s="80">
        <f>SUMIF(Funções!$C$8:$C$125,Deflatores!G28,Funções!$H$8:$H$125)</f>
        <v>0</v>
      </c>
      <c r="G34" s="81">
        <f>IF(ISBLANK(Deflatores!H28),"",Deflatores!H28)</f>
        <v>0.6</v>
      </c>
      <c r="H34" s="80" t="str">
        <f>IF(ISBLANK(Deflatores!I28),"",Deflatores!I28)</f>
        <v/>
      </c>
      <c r="I34" s="82">
        <f>Deflatores!K28</f>
        <v>0</v>
      </c>
      <c r="J34" s="83" t="str">
        <f t="shared" si="0"/>
        <v/>
      </c>
      <c r="K34" s="41"/>
      <c r="L34" s="41"/>
      <c r="M34" s="58"/>
    </row>
    <row r="35" spans="1:13" ht="13.5" customHeight="1" x14ac:dyDescent="0.2">
      <c r="A35" s="57"/>
      <c r="B35" s="96" t="str">
        <f>""&amp;Deflatores!B29</f>
        <v>Apuração Especial – Geração de Relatórios</v>
      </c>
      <c r="C35" s="96"/>
      <c r="D35" s="6" t="str">
        <f>""&amp;Deflatores!G29</f>
        <v>AGR</v>
      </c>
      <c r="E35" s="79">
        <f>IF(D35="","",COUNTIF(Funções!C$8:C$125,D35))</f>
        <v>0</v>
      </c>
      <c r="F35" s="80">
        <f>SUMIF(Funções!$C$8:$C$125,Deflatores!G29,Funções!$H$8:$H$125)</f>
        <v>0</v>
      </c>
      <c r="G35" s="81">
        <f>IF(ISBLANK(Deflatores!H29),"",Deflatores!H29)</f>
        <v>1</v>
      </c>
      <c r="H35" s="80" t="str">
        <f>IF(ISBLANK(Deflatores!I29),"",Deflatores!I29)</f>
        <v/>
      </c>
      <c r="I35" s="82">
        <f>Deflatores!K29</f>
        <v>0</v>
      </c>
      <c r="J35" s="83" t="str">
        <f t="shared" si="0"/>
        <v/>
      </c>
      <c r="K35" s="41"/>
      <c r="L35" s="41"/>
      <c r="M35" s="58"/>
    </row>
    <row r="36" spans="1:13" ht="13.5" customHeight="1" x14ac:dyDescent="0.2">
      <c r="A36" s="57"/>
      <c r="B36" s="96" t="str">
        <f>""&amp;Deflatores!B30</f>
        <v>Apuração Especial – Reexecução</v>
      </c>
      <c r="C36" s="96"/>
      <c r="D36" s="6" t="str">
        <f>""&amp;Deflatores!G30</f>
        <v>AER</v>
      </c>
      <c r="E36" s="79">
        <f>IF(D36="","",COUNTIF(Funções!C$8:C$125,D36))</f>
        <v>0</v>
      </c>
      <c r="F36" s="80">
        <f>SUMIF(Funções!$C$8:$C$125,Deflatores!G30,Funções!$H$8:$H$125)</f>
        <v>0</v>
      </c>
      <c r="G36" s="81">
        <f>IF(ISBLANK(Deflatores!H30),"",Deflatores!H30)</f>
        <v>0.1</v>
      </c>
      <c r="H36" s="80" t="str">
        <f>IF(ISBLANK(Deflatores!I30),"",Deflatores!I30)</f>
        <v/>
      </c>
      <c r="I36" s="82">
        <f>Deflatores!K30</f>
        <v>0</v>
      </c>
      <c r="J36" s="83" t="str">
        <f t="shared" si="0"/>
        <v/>
      </c>
      <c r="K36" s="41"/>
      <c r="L36" s="41"/>
      <c r="M36" s="58"/>
    </row>
    <row r="37" spans="1:13" ht="13.5" customHeight="1" x14ac:dyDescent="0.2">
      <c r="A37" s="57"/>
      <c r="B37" s="96" t="str">
        <f>""&amp;Deflatores!B31</f>
        <v>Atualização de Dados</v>
      </c>
      <c r="C37" s="96"/>
      <c r="D37" s="6" t="str">
        <f>""&amp;Deflatores!G31</f>
        <v>ATD</v>
      </c>
      <c r="E37" s="79">
        <f>IF(D37="","",COUNTIF(Funções!C$8:C$125,D37))</f>
        <v>0</v>
      </c>
      <c r="F37" s="80">
        <f>SUMIF(Funções!$C$8:$C$125,Deflatores!G31,Funções!$H$8:$H$125)</f>
        <v>0</v>
      </c>
      <c r="G37" s="81">
        <f>IF(ISBLANK(Deflatores!H31),"",Deflatores!H31)</f>
        <v>0.1</v>
      </c>
      <c r="H37" s="80" t="str">
        <f>IF(ISBLANK(Deflatores!I31),"",Deflatores!I31)</f>
        <v/>
      </c>
      <c r="I37" s="82">
        <f>Deflatores!K31</f>
        <v>0</v>
      </c>
      <c r="J37" s="83" t="str">
        <f t="shared" si="0"/>
        <v/>
      </c>
      <c r="K37" s="41"/>
      <c r="L37" s="41"/>
      <c r="M37" s="58"/>
    </row>
    <row r="38" spans="1:13" ht="13.5" customHeight="1" x14ac:dyDescent="0.2">
      <c r="A38" s="57"/>
      <c r="B38" s="96" t="str">
        <f>""&amp;Deflatores!B32</f>
        <v>Manutenção de Documentação de Sistemas Legados</v>
      </c>
      <c r="C38" s="96"/>
      <c r="D38" s="6" t="str">
        <f>""&amp;Deflatores!G32</f>
        <v>MSL</v>
      </c>
      <c r="E38" s="79">
        <f>IF(D38="","",COUNTIF(Funções!C$8:C$125,D38))</f>
        <v>0</v>
      </c>
      <c r="F38" s="80">
        <f>SUMIF(Funções!$C$8:$C$125,Deflatores!G32,Funções!$H$8:$H$125)</f>
        <v>0</v>
      </c>
      <c r="G38" s="81">
        <f>IF(ISBLANK(Deflatores!H32),"",Deflatores!H32)</f>
        <v>0.25</v>
      </c>
      <c r="H38" s="80" t="str">
        <f>IF(ISBLANK(Deflatores!I32),"",Deflatores!I32)</f>
        <v/>
      </c>
      <c r="I38" s="82">
        <f>Deflatores!K32</f>
        <v>0</v>
      </c>
      <c r="J38" s="83" t="str">
        <f>IF($L$11&lt;&gt;0,I38/$L$11,"")</f>
        <v/>
      </c>
      <c r="K38" s="41"/>
      <c r="L38" s="41"/>
      <c r="M38" s="58"/>
    </row>
    <row r="39" spans="1:13" ht="13.5" customHeight="1" x14ac:dyDescent="0.2">
      <c r="A39" s="57"/>
      <c r="B39" s="96" t="str">
        <f>""&amp;Deflatores!B33</f>
        <v>Verificação de Erros (Sem Documentação de Teste existente)</v>
      </c>
      <c r="C39" s="96"/>
      <c r="D39" s="6" t="str">
        <f>""&amp;Deflatores!G33</f>
        <v>VES</v>
      </c>
      <c r="E39" s="79">
        <f>IF(D39="","",COUNTIF(Funções!C$8:C$125,D39))</f>
        <v>0</v>
      </c>
      <c r="F39" s="80">
        <f>SUMIF(Funções!$C$8:$C$125,Deflatores!G33,Funções!$H$8:$H$125)</f>
        <v>0</v>
      </c>
      <c r="G39" s="81">
        <f>IF(ISBLANK(Deflatores!H33),"",Deflatores!H33)</f>
        <v>0.2</v>
      </c>
      <c r="H39" s="80" t="str">
        <f>IF(ISBLANK(Deflatores!I33),"",Deflatores!I33)</f>
        <v/>
      </c>
      <c r="I39" s="82">
        <f>Deflatores!K33</f>
        <v>0</v>
      </c>
      <c r="J39" s="83" t="str">
        <f>IF($L$11&lt;&gt;0,I39/$L$11,"")</f>
        <v/>
      </c>
      <c r="K39" s="41"/>
      <c r="L39" s="41"/>
      <c r="M39" s="58"/>
    </row>
    <row r="40" spans="1:13" ht="13.5" customHeight="1" x14ac:dyDescent="0.2">
      <c r="A40" s="57"/>
      <c r="B40" s="96" t="str">
        <f>""&amp;Deflatores!B34</f>
        <v>Verificação de Erros (Com Documentação de Teste existente)</v>
      </c>
      <c r="C40" s="96"/>
      <c r="D40" s="6" t="str">
        <f>""&amp;Deflatores!G34</f>
        <v>VEC</v>
      </c>
      <c r="E40" s="79">
        <f>IF(D40="","",COUNTIF(Funções!C$8:C$125,D40))</f>
        <v>0</v>
      </c>
      <c r="F40" s="80">
        <f>SUMIF(Funções!$C$8:$C$125,Deflatores!G34,Funções!$H$8:$H$125)</f>
        <v>0</v>
      </c>
      <c r="G40" s="81">
        <f>IF(ISBLANK(Deflatores!H34),"",Deflatores!H34)</f>
        <v>0.15</v>
      </c>
      <c r="H40" s="80" t="str">
        <f>IF(ISBLANK(Deflatores!I34),"",Deflatores!I34)</f>
        <v/>
      </c>
      <c r="I40" s="82">
        <f>Deflatores!K34</f>
        <v>0</v>
      </c>
      <c r="J40" s="83" t="str">
        <f>IF($L$11&lt;&gt;0,I40/$L$11,"")</f>
        <v/>
      </c>
      <c r="K40" s="41"/>
      <c r="L40" s="41"/>
      <c r="M40" s="58"/>
    </row>
    <row r="41" spans="1:13" ht="13.5" customHeight="1" x14ac:dyDescent="0.2">
      <c r="A41" s="57"/>
      <c r="B41" s="96" t="str">
        <f>""&amp;Deflatores!B35</f>
        <v>Pontos de Função de Teste</v>
      </c>
      <c r="C41" s="96"/>
      <c r="D41" s="6" t="str">
        <f>""&amp;Deflatores!G35</f>
        <v>PFT</v>
      </c>
      <c r="E41" s="79">
        <f>IF(D41="","",COUNTIF(Funções!C$8:C$125,D41))</f>
        <v>0</v>
      </c>
      <c r="F41" s="80">
        <f>SUMIF(Funções!$C$8:$C$125,Deflatores!G35,Funções!$H$8:$H$125)</f>
        <v>0</v>
      </c>
      <c r="G41" s="81">
        <f>IF(ISBLANK(Deflatores!H35),"",Deflatores!H35)</f>
        <v>0.15</v>
      </c>
      <c r="H41" s="80" t="str">
        <f>IF(ISBLANK(Deflatores!I35),"",Deflatores!I35)</f>
        <v/>
      </c>
      <c r="I41" s="82">
        <f>Deflatores!K35</f>
        <v>0</v>
      </c>
      <c r="J41" s="83" t="str">
        <f>IF($L$11&lt;&gt;0,I41/$L$11,"")</f>
        <v/>
      </c>
      <c r="K41" s="41"/>
      <c r="L41" s="41"/>
      <c r="M41" s="58"/>
    </row>
    <row r="42" spans="1:13" ht="13.5" customHeight="1" x14ac:dyDescent="0.2">
      <c r="A42" s="57"/>
      <c r="B42" s="96" t="str">
        <f>""&amp;Deflatores!B36</f>
        <v>Componente Interno Reusável</v>
      </c>
      <c r="C42" s="96"/>
      <c r="D42" s="6" t="str">
        <f>""&amp;Deflatores!G36</f>
        <v>CIR</v>
      </c>
      <c r="E42" s="79">
        <f>IF(D42="","",COUNTIF(Funções!C$8:C$125,D42))</f>
        <v>0</v>
      </c>
      <c r="F42" s="80">
        <f>SUMIF(Funções!$C$8:$C$125,Deflatores!G36,Funções!$H$8:$H$125)</f>
        <v>0</v>
      </c>
      <c r="G42" s="81">
        <f>IF(ISBLANK(Deflatores!H36),"",Deflatores!H36)</f>
        <v>1</v>
      </c>
      <c r="H42" s="80" t="str">
        <f>IF(ISBLANK(Deflatores!I36),"",Deflatores!I36)</f>
        <v/>
      </c>
      <c r="I42" s="82">
        <f>Deflatores!K36</f>
        <v>0</v>
      </c>
      <c r="J42" s="83" t="str">
        <f t="shared" si="0"/>
        <v/>
      </c>
      <c r="K42" s="41"/>
      <c r="L42" s="41"/>
      <c r="M42" s="58"/>
    </row>
    <row r="43" spans="1:13" ht="13.5" customHeight="1" x14ac:dyDescent="0.2">
      <c r="A43" s="57"/>
      <c r="B43" s="96" t="str">
        <f>""&amp;Deflatores!B37</f>
        <v/>
      </c>
      <c r="C43" s="96"/>
      <c r="D43" s="6" t="str">
        <f>""&amp;Deflatores!G37</f>
        <v xml:space="preserve">           .</v>
      </c>
      <c r="E43" s="79">
        <f>IF(D43="","",COUNTIF(Funções!C$8:C$125,D43))</f>
        <v>0</v>
      </c>
      <c r="F43" s="80">
        <f>SUMIF(Funções!$C$8:$C$125,Deflatores!G37,Funções!$H$8:$H$125)</f>
        <v>0</v>
      </c>
      <c r="G43" s="81" t="str">
        <f>IF(ISBLANK(Deflatores!H37),"",Deflatores!H37)</f>
        <v/>
      </c>
      <c r="H43" s="80" t="str">
        <f>IF(ISBLANK(Deflatores!I37),"",Deflatores!I37)</f>
        <v/>
      </c>
      <c r="I43" s="82">
        <f>Deflatores!K37</f>
        <v>0</v>
      </c>
      <c r="J43" s="83" t="str">
        <f t="shared" si="0"/>
        <v/>
      </c>
      <c r="K43" s="41"/>
      <c r="L43" s="41"/>
      <c r="M43" s="58"/>
    </row>
    <row r="44" spans="1:13" ht="13.5" customHeight="1" x14ac:dyDescent="0.2">
      <c r="A44" s="57"/>
      <c r="B44" s="96" t="str">
        <f>""&amp;Deflatores!B38</f>
        <v/>
      </c>
      <c r="C44" s="96"/>
      <c r="D44" s="6" t="str">
        <f>""&amp;Deflatores!G38</f>
        <v xml:space="preserve">           .</v>
      </c>
      <c r="E44" s="79">
        <f>IF(D44="","",COUNTIF(Funções!C$8:C$125,D44))</f>
        <v>0</v>
      </c>
      <c r="F44" s="80">
        <f>SUMIF(Funções!$C$8:$C$125,Deflatores!G38,Funções!$H$8:$H$125)</f>
        <v>0</v>
      </c>
      <c r="G44" s="81" t="str">
        <f>IF(ISBLANK(Deflatores!H38),"",Deflatores!H38)</f>
        <v/>
      </c>
      <c r="H44" s="80" t="str">
        <f>IF(ISBLANK(Deflatores!I38),"",Deflatores!I38)</f>
        <v/>
      </c>
      <c r="I44" s="82">
        <f>Deflatores!K38</f>
        <v>0</v>
      </c>
      <c r="J44" s="83" t="str">
        <f t="shared" si="0"/>
        <v/>
      </c>
      <c r="K44" s="41"/>
      <c r="L44" s="41"/>
      <c r="M44" s="58"/>
    </row>
    <row r="45" spans="1:13" ht="13.5" x14ac:dyDescent="0.25">
      <c r="A45" s="57"/>
      <c r="B45" s="70"/>
      <c r="C45" s="71"/>
      <c r="D45" s="93"/>
      <c r="E45" s="55"/>
      <c r="F45" s="55"/>
      <c r="G45" s="72"/>
      <c r="H45" s="73"/>
      <c r="I45" s="74"/>
      <c r="J45" s="41"/>
      <c r="K45" s="41"/>
      <c r="L45" s="41"/>
      <c r="M45" s="58"/>
    </row>
    <row r="46" spans="1:13" ht="13.5" customHeight="1" x14ac:dyDescent="0.25">
      <c r="A46" s="57"/>
      <c r="B46" s="127" t="s">
        <v>173</v>
      </c>
      <c r="C46" s="127"/>
      <c r="D46" s="127"/>
      <c r="E46" s="25" t="s">
        <v>138</v>
      </c>
      <c r="F46" s="26"/>
      <c r="G46" s="24"/>
      <c r="H46" s="25" t="s">
        <v>170</v>
      </c>
      <c r="I46" s="25" t="s">
        <v>8</v>
      </c>
      <c r="J46" s="25" t="s">
        <v>171</v>
      </c>
      <c r="K46" s="41"/>
      <c r="L46" s="41"/>
      <c r="M46" s="58"/>
    </row>
    <row r="47" spans="1:13" ht="13.5" customHeight="1" x14ac:dyDescent="0.25">
      <c r="A47" s="57"/>
      <c r="B47" s="96" t="str">
        <f>""&amp;Deflatores!B42</f>
        <v>Páginas Estáticas</v>
      </c>
      <c r="C47" s="96"/>
      <c r="D47" s="18" t="str">
        <f>""&amp;Deflatores!G42</f>
        <v>PAG</v>
      </c>
      <c r="E47" s="19">
        <f>Deflatores!J42</f>
        <v>0</v>
      </c>
      <c r="F47" s="15"/>
      <c r="G47" s="15"/>
      <c r="H47" s="20">
        <f>IF(ISBLANK(Deflatores!H42),"",Deflatores!H42)</f>
        <v>0.6</v>
      </c>
      <c r="I47" s="20">
        <f t="shared" ref="I47:I69" si="1">IF(ISNUMBER(H47),E47*H47,"")</f>
        <v>0</v>
      </c>
      <c r="J47" s="21" t="str">
        <f t="shared" ref="J47:J69" si="2">IF(ISNUMBER(I47),IF($L$11&lt;&gt;0,I47/$L$11,""),"")</f>
        <v/>
      </c>
      <c r="K47" s="41"/>
      <c r="L47" s="41"/>
      <c r="M47" s="58"/>
    </row>
    <row r="48" spans="1:13" ht="13.5" customHeight="1" x14ac:dyDescent="0.25">
      <c r="A48" s="57"/>
      <c r="B48" s="96" t="str">
        <f>""&amp;Deflatores!B43</f>
        <v>Manutenção Cosmética (atrelada a algo não funcional)</v>
      </c>
      <c r="C48" s="96"/>
      <c r="D48" s="18" t="str">
        <f>""&amp;Deflatores!G43</f>
        <v>COSNF</v>
      </c>
      <c r="E48" s="19">
        <f>Deflatores!J43</f>
        <v>0</v>
      </c>
      <c r="F48" s="15"/>
      <c r="G48" s="15"/>
      <c r="H48" s="20">
        <f>IF(ISBLANK(Deflatores!H43),"",Deflatores!H43)</f>
        <v>0.6</v>
      </c>
      <c r="I48" s="20">
        <f t="shared" si="1"/>
        <v>0</v>
      </c>
      <c r="J48" s="21" t="str">
        <f t="shared" si="2"/>
        <v/>
      </c>
      <c r="K48" s="41"/>
      <c r="L48" s="41"/>
      <c r="M48" s="58"/>
    </row>
    <row r="49" spans="1:13" ht="13.5" x14ac:dyDescent="0.25">
      <c r="A49" s="57"/>
      <c r="B49" s="96" t="str">
        <f>""&amp;Deflatores!B44</f>
        <v>Dados de Código</v>
      </c>
      <c r="C49" s="96"/>
      <c r="D49" s="18" t="str">
        <f>""&amp;Deflatores!G44</f>
        <v>DC</v>
      </c>
      <c r="E49" s="19">
        <f>Deflatores!J44</f>
        <v>0</v>
      </c>
      <c r="F49" s="15"/>
      <c r="G49" s="15"/>
      <c r="H49" s="20">
        <f>IF(ISBLANK(Deflatores!H44),"",Deflatores!H44)</f>
        <v>0</v>
      </c>
      <c r="I49" s="20">
        <f t="shared" si="1"/>
        <v>0</v>
      </c>
      <c r="J49" s="21" t="str">
        <f t="shared" si="2"/>
        <v/>
      </c>
      <c r="K49" s="41"/>
      <c r="L49" s="41"/>
      <c r="M49" s="58"/>
    </row>
    <row r="50" spans="1:13" ht="13.5" x14ac:dyDescent="0.25">
      <c r="A50" s="57"/>
      <c r="B50" s="96" t="str">
        <f>""&amp;Deflatores!B45</f>
        <v/>
      </c>
      <c r="C50" s="96"/>
      <c r="D50" s="18" t="str">
        <f>""&amp;Deflatores!G45</f>
        <v xml:space="preserve">           .</v>
      </c>
      <c r="E50" s="19">
        <f>Deflatores!J45</f>
        <v>0</v>
      </c>
      <c r="F50" s="15"/>
      <c r="G50" s="15"/>
      <c r="H50" s="20" t="str">
        <f>IF(ISBLANK(Deflatores!H45),"",Deflatores!H45)</f>
        <v/>
      </c>
      <c r="I50" s="20" t="str">
        <f t="shared" si="1"/>
        <v/>
      </c>
      <c r="J50" s="21" t="str">
        <f t="shared" si="2"/>
        <v/>
      </c>
      <c r="K50" s="41"/>
      <c r="L50" s="41"/>
      <c r="M50" s="58"/>
    </row>
    <row r="51" spans="1:13" ht="13.5" x14ac:dyDescent="0.25">
      <c r="A51" s="57"/>
      <c r="B51" s="96" t="str">
        <f>""&amp;Deflatores!B46</f>
        <v/>
      </c>
      <c r="C51" s="96"/>
      <c r="D51" s="18" t="str">
        <f>""&amp;Deflatores!G46</f>
        <v xml:space="preserve">           .</v>
      </c>
      <c r="E51" s="19">
        <f>Deflatores!J46</f>
        <v>0</v>
      </c>
      <c r="F51" s="15"/>
      <c r="G51" s="15"/>
      <c r="H51" s="20" t="str">
        <f>IF(ISBLANK(Deflatores!H46),"",Deflatores!H46)</f>
        <v/>
      </c>
      <c r="I51" s="20" t="str">
        <f t="shared" si="1"/>
        <v/>
      </c>
      <c r="J51" s="21" t="str">
        <f t="shared" si="2"/>
        <v/>
      </c>
      <c r="K51" s="41"/>
      <c r="L51" s="41"/>
      <c r="M51" s="58"/>
    </row>
    <row r="52" spans="1:13" ht="13.5" x14ac:dyDescent="0.25">
      <c r="A52" s="57"/>
      <c r="B52" s="96" t="str">
        <f>""&amp;Deflatores!B47</f>
        <v/>
      </c>
      <c r="C52" s="96"/>
      <c r="D52" s="18" t="str">
        <f>""&amp;Deflatores!G47</f>
        <v xml:space="preserve">           .</v>
      </c>
      <c r="E52" s="19">
        <f>Deflatores!J47</f>
        <v>0</v>
      </c>
      <c r="F52" s="15"/>
      <c r="G52" s="15"/>
      <c r="H52" s="20" t="str">
        <f>IF(ISBLANK(Deflatores!H47),"",Deflatores!H47)</f>
        <v/>
      </c>
      <c r="I52" s="20" t="str">
        <f t="shared" si="1"/>
        <v/>
      </c>
      <c r="J52" s="21" t="str">
        <f t="shared" si="2"/>
        <v/>
      </c>
      <c r="K52" s="41"/>
      <c r="L52" s="41"/>
      <c r="M52" s="58"/>
    </row>
    <row r="53" spans="1:13" ht="13.5" x14ac:dyDescent="0.25">
      <c r="A53" s="57"/>
      <c r="B53" s="96" t="str">
        <f>""&amp;Deflatores!B48</f>
        <v/>
      </c>
      <c r="C53" s="96"/>
      <c r="D53" s="18" t="str">
        <f>""&amp;Deflatores!G48</f>
        <v xml:space="preserve">           .</v>
      </c>
      <c r="E53" s="19">
        <f>Deflatores!J48</f>
        <v>0</v>
      </c>
      <c r="F53" s="15"/>
      <c r="G53" s="15"/>
      <c r="H53" s="20" t="str">
        <f>IF(ISBLANK(Deflatores!H48),"",Deflatores!H48)</f>
        <v/>
      </c>
      <c r="I53" s="20" t="str">
        <f t="shared" si="1"/>
        <v/>
      </c>
      <c r="J53" s="21" t="str">
        <f t="shared" si="2"/>
        <v/>
      </c>
      <c r="K53" s="41"/>
      <c r="L53" s="41"/>
      <c r="M53" s="58"/>
    </row>
    <row r="54" spans="1:13" ht="13.5" x14ac:dyDescent="0.25">
      <c r="A54" s="57"/>
      <c r="B54" s="96" t="str">
        <f>""&amp;Deflatores!B49</f>
        <v/>
      </c>
      <c r="C54" s="96"/>
      <c r="D54" s="18" t="str">
        <f>""&amp;Deflatores!G49</f>
        <v xml:space="preserve">           .</v>
      </c>
      <c r="E54" s="19">
        <f>Deflatores!J49</f>
        <v>0</v>
      </c>
      <c r="F54" s="15"/>
      <c r="G54" s="15"/>
      <c r="H54" s="20" t="str">
        <f>IF(ISBLANK(Deflatores!H49),"",Deflatores!H49)</f>
        <v/>
      </c>
      <c r="I54" s="20" t="str">
        <f t="shared" si="1"/>
        <v/>
      </c>
      <c r="J54" s="21" t="str">
        <f t="shared" si="2"/>
        <v/>
      </c>
      <c r="K54" s="41"/>
      <c r="L54" s="41"/>
      <c r="M54" s="58"/>
    </row>
    <row r="55" spans="1:13" ht="13.5" x14ac:dyDescent="0.25">
      <c r="A55" s="57"/>
      <c r="B55" s="96" t="str">
        <f>""&amp;Deflatores!B50</f>
        <v/>
      </c>
      <c r="C55" s="96"/>
      <c r="D55" s="18" t="str">
        <f>""&amp;Deflatores!G50</f>
        <v xml:space="preserve">           .</v>
      </c>
      <c r="E55" s="19">
        <f>Deflatores!J50</f>
        <v>0</v>
      </c>
      <c r="F55" s="15"/>
      <c r="G55" s="15"/>
      <c r="H55" s="20" t="str">
        <f>IF(ISBLANK(Deflatores!H50),"",Deflatores!H50)</f>
        <v/>
      </c>
      <c r="I55" s="20" t="str">
        <f t="shared" si="1"/>
        <v/>
      </c>
      <c r="J55" s="21" t="str">
        <f t="shared" si="2"/>
        <v/>
      </c>
      <c r="K55" s="41"/>
      <c r="L55" s="41"/>
      <c r="M55" s="58"/>
    </row>
    <row r="56" spans="1:13" ht="13.5" x14ac:dyDescent="0.25">
      <c r="A56" s="57"/>
      <c r="B56" s="96" t="str">
        <f>""&amp;Deflatores!B51</f>
        <v/>
      </c>
      <c r="C56" s="96"/>
      <c r="D56" s="18" t="str">
        <f>""&amp;Deflatores!G51</f>
        <v xml:space="preserve">           .</v>
      </c>
      <c r="E56" s="19">
        <f>Deflatores!J51</f>
        <v>0</v>
      </c>
      <c r="F56" s="15"/>
      <c r="G56" s="15"/>
      <c r="H56" s="20" t="str">
        <f>IF(ISBLANK(Deflatores!H51),"",Deflatores!H51)</f>
        <v/>
      </c>
      <c r="I56" s="20" t="str">
        <f t="shared" si="1"/>
        <v/>
      </c>
      <c r="J56" s="21" t="str">
        <f t="shared" si="2"/>
        <v/>
      </c>
      <c r="K56" s="41"/>
      <c r="L56" s="41"/>
      <c r="M56" s="58"/>
    </row>
    <row r="57" spans="1:13" ht="13.5" x14ac:dyDescent="0.25">
      <c r="A57" s="57"/>
      <c r="B57" s="96" t="str">
        <f>""&amp;Deflatores!B52</f>
        <v/>
      </c>
      <c r="C57" s="96"/>
      <c r="D57" s="18" t="str">
        <f>""&amp;Deflatores!G52</f>
        <v xml:space="preserve">           .</v>
      </c>
      <c r="E57" s="19">
        <f>Deflatores!J52</f>
        <v>0</v>
      </c>
      <c r="F57" s="15"/>
      <c r="G57" s="15"/>
      <c r="H57" s="20" t="str">
        <f>IF(ISBLANK(Deflatores!H52),"",Deflatores!H52)</f>
        <v/>
      </c>
      <c r="I57" s="20" t="str">
        <f t="shared" si="1"/>
        <v/>
      </c>
      <c r="J57" s="21" t="str">
        <f t="shared" si="2"/>
        <v/>
      </c>
      <c r="K57" s="41"/>
      <c r="L57" s="41"/>
      <c r="M57" s="58"/>
    </row>
    <row r="58" spans="1:13" ht="13.5" x14ac:dyDescent="0.25">
      <c r="A58" s="57"/>
      <c r="B58" s="96" t="str">
        <f>""&amp;Deflatores!B53</f>
        <v/>
      </c>
      <c r="C58" s="96"/>
      <c r="D58" s="18" t="str">
        <f>""&amp;Deflatores!G53</f>
        <v xml:space="preserve">           .</v>
      </c>
      <c r="E58" s="19">
        <f>Deflatores!J53</f>
        <v>0</v>
      </c>
      <c r="F58" s="15"/>
      <c r="G58" s="15"/>
      <c r="H58" s="20" t="str">
        <f>IF(ISBLANK(Deflatores!H53),"",Deflatores!H53)</f>
        <v/>
      </c>
      <c r="I58" s="20" t="str">
        <f t="shared" si="1"/>
        <v/>
      </c>
      <c r="J58" s="21" t="str">
        <f t="shared" si="2"/>
        <v/>
      </c>
      <c r="K58" s="41"/>
      <c r="L58" s="41"/>
      <c r="M58" s="58"/>
    </row>
    <row r="59" spans="1:13" ht="13.5" x14ac:dyDescent="0.25">
      <c r="A59" s="57"/>
      <c r="B59" s="96" t="str">
        <f>""&amp;Deflatores!B54</f>
        <v/>
      </c>
      <c r="C59" s="96"/>
      <c r="D59" s="18" t="str">
        <f>""&amp;Deflatores!G54</f>
        <v xml:space="preserve">           .</v>
      </c>
      <c r="E59" s="19">
        <f>Deflatores!J54</f>
        <v>0</v>
      </c>
      <c r="F59" s="15"/>
      <c r="G59" s="15"/>
      <c r="H59" s="20" t="str">
        <f>IF(ISBLANK(Deflatores!H54),"",Deflatores!H54)</f>
        <v/>
      </c>
      <c r="I59" s="20" t="str">
        <f t="shared" si="1"/>
        <v/>
      </c>
      <c r="J59" s="21" t="str">
        <f t="shared" si="2"/>
        <v/>
      </c>
      <c r="K59" s="41"/>
      <c r="L59" s="41"/>
      <c r="M59" s="58"/>
    </row>
    <row r="60" spans="1:13" ht="13.5" x14ac:dyDescent="0.25">
      <c r="A60" s="57"/>
      <c r="B60" s="96" t="str">
        <f>""&amp;Deflatores!B55</f>
        <v/>
      </c>
      <c r="C60" s="96"/>
      <c r="D60" s="18" t="str">
        <f>""&amp;Deflatores!G55</f>
        <v xml:space="preserve">           .</v>
      </c>
      <c r="E60" s="19">
        <f>Deflatores!J55</f>
        <v>0</v>
      </c>
      <c r="F60" s="15"/>
      <c r="G60" s="15"/>
      <c r="H60" s="20" t="str">
        <f>IF(ISBLANK(Deflatores!H55),"",Deflatores!H55)</f>
        <v/>
      </c>
      <c r="I60" s="20" t="str">
        <f t="shared" si="1"/>
        <v/>
      </c>
      <c r="J60" s="21" t="str">
        <f t="shared" si="2"/>
        <v/>
      </c>
      <c r="K60" s="41"/>
      <c r="L60" s="41"/>
      <c r="M60" s="58"/>
    </row>
    <row r="61" spans="1:13" ht="13.5" x14ac:dyDescent="0.25">
      <c r="A61" s="57"/>
      <c r="B61" s="96" t="str">
        <f>""&amp;Deflatores!B56</f>
        <v/>
      </c>
      <c r="C61" s="96"/>
      <c r="D61" s="18" t="str">
        <f>""&amp;Deflatores!G56</f>
        <v xml:space="preserve">           .</v>
      </c>
      <c r="E61" s="19">
        <f>Deflatores!J56</f>
        <v>0</v>
      </c>
      <c r="F61" s="15"/>
      <c r="G61" s="15"/>
      <c r="H61" s="20" t="str">
        <f>IF(ISBLANK(Deflatores!H56),"",Deflatores!H56)</f>
        <v/>
      </c>
      <c r="I61" s="20" t="str">
        <f t="shared" si="1"/>
        <v/>
      </c>
      <c r="J61" s="21" t="str">
        <f t="shared" si="2"/>
        <v/>
      </c>
      <c r="K61" s="41"/>
      <c r="L61" s="41"/>
      <c r="M61" s="58"/>
    </row>
    <row r="62" spans="1:13" ht="13.5" x14ac:dyDescent="0.25">
      <c r="A62" s="57"/>
      <c r="B62" s="96" t="str">
        <f>""&amp;Deflatores!B57</f>
        <v/>
      </c>
      <c r="C62" s="96"/>
      <c r="D62" s="18" t="str">
        <f>""&amp;Deflatores!G57</f>
        <v xml:space="preserve">           .</v>
      </c>
      <c r="E62" s="19">
        <f>Deflatores!J57</f>
        <v>0</v>
      </c>
      <c r="F62" s="15"/>
      <c r="G62" s="15"/>
      <c r="H62" s="20" t="str">
        <f>IF(ISBLANK(Deflatores!H57),"",Deflatores!H57)</f>
        <v/>
      </c>
      <c r="I62" s="20" t="str">
        <f t="shared" si="1"/>
        <v/>
      </c>
      <c r="J62" s="21" t="str">
        <f t="shared" si="2"/>
        <v/>
      </c>
      <c r="K62" s="41"/>
      <c r="L62" s="41"/>
      <c r="M62" s="58"/>
    </row>
    <row r="63" spans="1:13" ht="13.5" x14ac:dyDescent="0.25">
      <c r="A63" s="57"/>
      <c r="B63" s="96" t="str">
        <f>""&amp;Deflatores!B58</f>
        <v/>
      </c>
      <c r="C63" s="96"/>
      <c r="D63" s="18" t="str">
        <f>""&amp;Deflatores!G58</f>
        <v xml:space="preserve">           .</v>
      </c>
      <c r="E63" s="19">
        <f>Deflatores!J58</f>
        <v>0</v>
      </c>
      <c r="F63" s="15"/>
      <c r="G63" s="15"/>
      <c r="H63" s="20" t="str">
        <f>IF(ISBLANK(Deflatores!H58),"",Deflatores!H58)</f>
        <v/>
      </c>
      <c r="I63" s="20" t="str">
        <f t="shared" si="1"/>
        <v/>
      </c>
      <c r="J63" s="21" t="str">
        <f t="shared" si="2"/>
        <v/>
      </c>
      <c r="K63" s="41"/>
      <c r="L63" s="41"/>
      <c r="M63" s="58"/>
    </row>
    <row r="64" spans="1:13" ht="13.5" x14ac:dyDescent="0.25">
      <c r="A64" s="57"/>
      <c r="B64" s="96" t="str">
        <f>""&amp;Deflatores!B59</f>
        <v/>
      </c>
      <c r="C64" s="96"/>
      <c r="D64" s="18" t="str">
        <f>""&amp;Deflatores!G59</f>
        <v xml:space="preserve">           .</v>
      </c>
      <c r="E64" s="19">
        <f>Deflatores!J59</f>
        <v>0</v>
      </c>
      <c r="F64" s="15"/>
      <c r="G64" s="15"/>
      <c r="H64" s="20" t="str">
        <f>IF(ISBLANK(Deflatores!H59),"",Deflatores!H59)</f>
        <v/>
      </c>
      <c r="I64" s="20" t="str">
        <f t="shared" si="1"/>
        <v/>
      </c>
      <c r="J64" s="21" t="str">
        <f t="shared" si="2"/>
        <v/>
      </c>
      <c r="K64" s="41"/>
      <c r="L64" s="41"/>
      <c r="M64" s="58"/>
    </row>
    <row r="65" spans="1:13" ht="13.5" x14ac:dyDescent="0.25">
      <c r="A65" s="57"/>
      <c r="B65" s="96" t="str">
        <f>""&amp;Deflatores!B60</f>
        <v/>
      </c>
      <c r="C65" s="96"/>
      <c r="D65" s="18" t="str">
        <f>""&amp;Deflatores!G60</f>
        <v xml:space="preserve">           .</v>
      </c>
      <c r="E65" s="19">
        <f>Deflatores!J60</f>
        <v>0</v>
      </c>
      <c r="F65" s="15"/>
      <c r="G65" s="15"/>
      <c r="H65" s="20" t="str">
        <f>IF(ISBLANK(Deflatores!H60),"",Deflatores!H60)</f>
        <v/>
      </c>
      <c r="I65" s="20" t="str">
        <f t="shared" si="1"/>
        <v/>
      </c>
      <c r="J65" s="21" t="str">
        <f t="shared" si="2"/>
        <v/>
      </c>
      <c r="K65" s="41"/>
      <c r="L65" s="41"/>
      <c r="M65" s="58"/>
    </row>
    <row r="66" spans="1:13" ht="13.5" x14ac:dyDescent="0.25">
      <c r="A66" s="57"/>
      <c r="B66" s="96" t="str">
        <f>""&amp;Deflatores!B61</f>
        <v/>
      </c>
      <c r="C66" s="96"/>
      <c r="D66" s="18" t="str">
        <f>""&amp;Deflatores!G61</f>
        <v xml:space="preserve">           .</v>
      </c>
      <c r="E66" s="19">
        <f>Deflatores!J61</f>
        <v>0</v>
      </c>
      <c r="F66" s="15"/>
      <c r="G66" s="15"/>
      <c r="H66" s="20" t="str">
        <f>IF(ISBLANK(Deflatores!H61),"",Deflatores!H61)</f>
        <v/>
      </c>
      <c r="I66" s="20" t="str">
        <f t="shared" si="1"/>
        <v/>
      </c>
      <c r="J66" s="21" t="str">
        <f t="shared" si="2"/>
        <v/>
      </c>
      <c r="K66" s="41"/>
      <c r="L66" s="41"/>
      <c r="M66" s="58"/>
    </row>
    <row r="67" spans="1:13" ht="13.5" x14ac:dyDescent="0.25">
      <c r="A67" s="57"/>
      <c r="B67" s="96" t="str">
        <f>""&amp;Deflatores!B62</f>
        <v/>
      </c>
      <c r="C67" s="96"/>
      <c r="D67" s="18" t="str">
        <f>""&amp;Deflatores!G62</f>
        <v xml:space="preserve">           .</v>
      </c>
      <c r="E67" s="19">
        <f>Deflatores!J62</f>
        <v>0</v>
      </c>
      <c r="F67" s="15"/>
      <c r="G67" s="15"/>
      <c r="H67" s="20" t="str">
        <f>IF(ISBLANK(Deflatores!H62),"",Deflatores!H62)</f>
        <v/>
      </c>
      <c r="I67" s="20" t="str">
        <f t="shared" si="1"/>
        <v/>
      </c>
      <c r="J67" s="21" t="str">
        <f t="shared" si="2"/>
        <v/>
      </c>
      <c r="K67" s="41"/>
      <c r="L67" s="41"/>
      <c r="M67" s="58"/>
    </row>
    <row r="68" spans="1:13" ht="13.5" x14ac:dyDescent="0.25">
      <c r="A68" s="57"/>
      <c r="B68" s="96" t="str">
        <f>""&amp;Deflatores!B63</f>
        <v/>
      </c>
      <c r="C68" s="96"/>
      <c r="D68" s="18" t="str">
        <f>""&amp;Deflatores!G63</f>
        <v xml:space="preserve">           .</v>
      </c>
      <c r="E68" s="19">
        <f>Deflatores!J63</f>
        <v>0</v>
      </c>
      <c r="F68" s="15"/>
      <c r="G68" s="15"/>
      <c r="H68" s="20" t="str">
        <f>IF(ISBLANK(Deflatores!H63),"",Deflatores!H63)</f>
        <v/>
      </c>
      <c r="I68" s="20" t="str">
        <f t="shared" si="1"/>
        <v/>
      </c>
      <c r="J68" s="21" t="str">
        <f t="shared" si="2"/>
        <v/>
      </c>
      <c r="K68" s="41"/>
      <c r="L68" s="41"/>
      <c r="M68" s="58"/>
    </row>
    <row r="69" spans="1:13" ht="13.5" x14ac:dyDescent="0.25">
      <c r="A69" s="57"/>
      <c r="B69" s="96" t="str">
        <f>""&amp;Deflatores!B64</f>
        <v/>
      </c>
      <c r="C69" s="96"/>
      <c r="D69" s="18" t="str">
        <f>""&amp;Deflatores!G64</f>
        <v xml:space="preserve">           .</v>
      </c>
      <c r="E69" s="19">
        <f>Deflatores!J64</f>
        <v>0</v>
      </c>
      <c r="F69" s="24"/>
      <c r="G69" s="24"/>
      <c r="H69" s="20" t="str">
        <f>IF(ISBLANK(Deflatores!H64),"",Deflatores!H64)</f>
        <v/>
      </c>
      <c r="I69" s="20" t="str">
        <f t="shared" si="1"/>
        <v/>
      </c>
      <c r="J69" s="21" t="str">
        <f t="shared" si="2"/>
        <v/>
      </c>
      <c r="K69" s="41"/>
      <c r="L69" s="41"/>
      <c r="M69" s="58"/>
    </row>
    <row r="70" spans="1:13" ht="13.5" x14ac:dyDescent="0.25">
      <c r="A70" s="59"/>
      <c r="B70" s="60"/>
      <c r="C70" s="61"/>
      <c r="D70" s="62"/>
      <c r="E70" s="63"/>
      <c r="F70" s="64"/>
      <c r="G70" s="64"/>
      <c r="H70" s="65"/>
      <c r="I70" s="66"/>
      <c r="J70" s="61"/>
      <c r="K70" s="61"/>
      <c r="L70" s="61"/>
      <c r="M70" s="67"/>
    </row>
  </sheetData>
  <sheetProtection selectLockedCells="1" selectUnlockedCells="1"/>
  <mergeCells count="68"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16:C16"/>
    <mergeCell ref="B18:C18"/>
    <mergeCell ref="B19:C19"/>
    <mergeCell ref="B22:C22"/>
    <mergeCell ref="B17:C17"/>
    <mergeCell ref="B21:C21"/>
    <mergeCell ref="B20:C20"/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Fatto Consultoria e Sistemas</dc:creator>
  <cp:keywords/>
  <dc:description/>
  <cp:lastModifiedBy>Francisco Jose Borges Verissimo Junior</cp:lastModifiedBy>
  <cp:revision/>
  <cp:lastPrinted>2020-08-23T20:12:09Z</cp:lastPrinted>
  <dcterms:created xsi:type="dcterms:W3CDTF">2015-06-26T19:24:40Z</dcterms:created>
  <dcterms:modified xsi:type="dcterms:W3CDTF">2020-08-23T20:13:31Z</dcterms:modified>
  <cp:category/>
  <cp:contentStatus/>
</cp:coreProperties>
</file>