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020" windowHeight="11895"/>
  </bookViews>
  <sheets>
    <sheet name="Parâmetros" sheetId="2" r:id="rId1"/>
    <sheet name="Dados" sheetId="1" r:id="rId2"/>
    <sheet name="Critérios" sheetId="4" r:id="rId3"/>
    <sheet name="Análise" sheetId="3" r:id="rId4"/>
  </sheets>
  <calcPr calcId="145621"/>
</workbook>
</file>

<file path=xl/calcChain.xml><?xml version="1.0" encoding="utf-8"?>
<calcChain xmlns="http://schemas.openxmlformats.org/spreadsheetml/2006/main">
  <c r="A6" i="4" l="1"/>
  <c r="A7" i="4"/>
  <c r="A5" i="4"/>
  <c r="AV24" i="1" l="1"/>
  <c r="D24" i="1" s="1"/>
  <c r="DR13" i="1"/>
  <c r="BP13" i="1"/>
  <c r="C13" i="1"/>
  <c r="B13" i="1"/>
  <c r="DR12" i="1"/>
  <c r="BL12" i="1"/>
  <c r="BK11" i="1"/>
  <c r="AW11" i="1"/>
  <c r="BP12" i="1"/>
  <c r="BK13" i="1"/>
  <c r="BT13" i="1"/>
  <c r="AW13" i="1"/>
  <c r="AR13" i="1"/>
  <c r="DD12" i="1"/>
  <c r="P13" i="1"/>
  <c r="C12" i="1"/>
  <c r="BL13" i="1"/>
  <c r="AN13" i="1"/>
  <c r="AX11" i="1"/>
  <c r="BL11" i="1"/>
  <c r="D12" i="1"/>
  <c r="BT12" i="1"/>
  <c r="AR12" i="1"/>
  <c r="AW12" i="1"/>
  <c r="D11" i="1"/>
  <c r="DP12" i="1"/>
  <c r="AP13" i="1"/>
  <c r="AB13" i="1"/>
  <c r="D13" i="1"/>
  <c r="DP13" i="1"/>
  <c r="AO12" i="1"/>
  <c r="AB11" i="1"/>
  <c r="B12" i="1"/>
  <c r="DQ12" i="1"/>
  <c r="CR13" i="1"/>
  <c r="BJ11" i="1"/>
  <c r="DD13" i="1"/>
  <c r="P12" i="1"/>
  <c r="BJ13" i="1"/>
  <c r="AQ13" i="1"/>
  <c r="CR12" i="1"/>
  <c r="BK12" i="1"/>
  <c r="B11" i="1"/>
  <c r="AP12" i="1"/>
  <c r="AB12" i="1"/>
  <c r="DQ11" i="1"/>
  <c r="AO13" i="1"/>
  <c r="BJ12" i="1"/>
  <c r="AX13" i="1"/>
  <c r="AN12" i="1"/>
  <c r="AQ12" i="1"/>
  <c r="CF13" i="1"/>
  <c r="AX12" i="1"/>
  <c r="AR11" i="1"/>
  <c r="DQ13" i="1"/>
  <c r="DR11" i="1"/>
  <c r="CF12" i="1"/>
  <c r="C11" i="1"/>
  <c r="P11" i="1"/>
  <c r="G24" i="1" l="1"/>
  <c r="F24" i="1"/>
  <c r="E24" i="1"/>
  <c r="B4" i="2"/>
  <c r="AP11" i="1"/>
  <c r="BP11" i="1"/>
  <c r="BT11" i="1"/>
  <c r="AO11" i="1"/>
  <c r="AV16" i="1"/>
  <c r="DP11" i="1"/>
  <c r="AV22" i="1"/>
  <c r="E22" i="1"/>
  <c r="G21" i="1"/>
  <c r="CF11" i="1"/>
  <c r="D22" i="1"/>
  <c r="E21" i="1"/>
  <c r="AV21" i="1"/>
  <c r="F21" i="1"/>
  <c r="AV17" i="1"/>
  <c r="F22" i="1"/>
  <c r="CR11" i="1"/>
  <c r="AQ11" i="1"/>
  <c r="D21" i="1"/>
  <c r="AN11" i="1"/>
  <c r="DD11" i="1"/>
  <c r="G22" i="1" l="1"/>
  <c r="H22" i="1" s="1"/>
  <c r="B13" i="2"/>
  <c r="D13" i="2"/>
  <c r="E13" i="2"/>
  <c r="C13" i="2"/>
  <c r="D11" i="2" l="1"/>
  <c r="B11" i="2"/>
  <c r="AS10" i="1" s="1"/>
  <c r="AU10" i="1" l="1"/>
  <c r="AT10" i="1"/>
  <c r="DZ10" i="1"/>
  <c r="DV10" i="1"/>
  <c r="EC10" i="1"/>
  <c r="DY10" i="1"/>
  <c r="DU10" i="1"/>
  <c r="EB10" i="1"/>
  <c r="DX10" i="1"/>
  <c r="DT10" i="1"/>
  <c r="EA10" i="1"/>
  <c r="DW10" i="1"/>
  <c r="DS10" i="1"/>
  <c r="DL10" i="1"/>
  <c r="DH10" i="1"/>
  <c r="DO10" i="1"/>
  <c r="DK10" i="1"/>
  <c r="DG10" i="1"/>
  <c r="DN10" i="1"/>
  <c r="DJ10" i="1"/>
  <c r="DF10" i="1"/>
  <c r="DM10" i="1"/>
  <c r="DI10" i="1"/>
  <c r="DE10" i="1"/>
  <c r="CZ10" i="1"/>
  <c r="CV10" i="1"/>
  <c r="DC10" i="1"/>
  <c r="CY10" i="1"/>
  <c r="CU10" i="1"/>
  <c r="DB10" i="1"/>
  <c r="CX10" i="1"/>
  <c r="CT10" i="1"/>
  <c r="DA10" i="1"/>
  <c r="CW10" i="1"/>
  <c r="CS10" i="1"/>
  <c r="CN10" i="1"/>
  <c r="CJ10" i="1"/>
  <c r="CQ10" i="1"/>
  <c r="CM10" i="1"/>
  <c r="CI10" i="1"/>
  <c r="CP10" i="1"/>
  <c r="CL10" i="1"/>
  <c r="CH10" i="1"/>
  <c r="CO10" i="1"/>
  <c r="CK10" i="1"/>
  <c r="CG10" i="1"/>
  <c r="CB10" i="1"/>
  <c r="BX10" i="1"/>
  <c r="CE10" i="1"/>
  <c r="CA10" i="1"/>
  <c r="BW10" i="1"/>
  <c r="CD10" i="1"/>
  <c r="BZ10" i="1"/>
  <c r="BV10" i="1"/>
  <c r="CC10" i="1"/>
  <c r="BY10" i="1"/>
  <c r="BU10" i="1"/>
  <c r="BS10" i="1"/>
  <c r="BR10" i="1"/>
  <c r="BQ10" i="1"/>
  <c r="BM10" i="1"/>
  <c r="BO10" i="1"/>
  <c r="BN10" i="1"/>
  <c r="Q10" i="1"/>
  <c r="X10" i="1"/>
  <c r="T10" i="1"/>
  <c r="AA10" i="1"/>
  <c r="W10" i="1"/>
  <c r="S10" i="1"/>
  <c r="Z10" i="1"/>
  <c r="V10" i="1"/>
  <c r="R10" i="1"/>
  <c r="Y10" i="1"/>
  <c r="U10" i="1"/>
  <c r="AJ10" i="1"/>
  <c r="AF10" i="1"/>
  <c r="AM10" i="1"/>
  <c r="AI10" i="1"/>
  <c r="AE10" i="1"/>
  <c r="AL10" i="1"/>
  <c r="AH10" i="1"/>
  <c r="AD10" i="1"/>
  <c r="AK10" i="1"/>
  <c r="AG10" i="1"/>
  <c r="AC10" i="1"/>
  <c r="BI10" i="1"/>
  <c r="BE10" i="1"/>
  <c r="BA10" i="1"/>
  <c r="BH10" i="1"/>
  <c r="BD10" i="1"/>
  <c r="AZ10" i="1"/>
  <c r="BG10" i="1"/>
  <c r="BC10" i="1"/>
  <c r="AY10" i="1"/>
  <c r="BF10" i="1"/>
  <c r="BB10" i="1"/>
  <c r="B12" i="2"/>
  <c r="O10" i="1"/>
  <c r="N10" i="1"/>
  <c r="M10" i="1"/>
  <c r="L10" i="1"/>
  <c r="K10" i="1"/>
  <c r="J10" i="1"/>
  <c r="I10" i="1"/>
  <c r="H10" i="1"/>
  <c r="G10" i="1"/>
  <c r="F10" i="1"/>
  <c r="E10" i="1"/>
  <c r="EC11" i="1"/>
  <c r="DM12" i="1"/>
  <c r="DE13" i="1"/>
  <c r="CV12" i="1"/>
  <c r="CA12" i="1"/>
  <c r="BR12" i="1"/>
  <c r="Q13" i="1"/>
  <c r="BF12" i="1"/>
  <c r="BF11" i="1"/>
  <c r="M12" i="1"/>
  <c r="CB11" i="1"/>
  <c r="AG13" i="1"/>
  <c r="AS12" i="1"/>
  <c r="BA13" i="1"/>
  <c r="BG13" i="1"/>
  <c r="DH13" i="1"/>
  <c r="CY13" i="1"/>
  <c r="CD13" i="1"/>
  <c r="BV13" i="1"/>
  <c r="BM13" i="1"/>
  <c r="DF11" i="1"/>
  <c r="BS11" i="1"/>
  <c r="X11" i="1"/>
  <c r="Z13" i="1"/>
  <c r="AH11" i="1"/>
  <c r="AA12" i="1"/>
  <c r="L13" i="1"/>
  <c r="H13" i="1"/>
  <c r="Z12" i="1"/>
  <c r="EA11" i="1"/>
  <c r="DL12" i="1"/>
  <c r="DC12" i="1"/>
  <c r="CU12" i="1"/>
  <c r="BZ12" i="1"/>
  <c r="BQ13" i="1"/>
  <c r="E12" i="1"/>
  <c r="CD11" i="1"/>
  <c r="CC11" i="1"/>
  <c r="BG11" i="1"/>
  <c r="DK11" i="1"/>
  <c r="CY11" i="1"/>
  <c r="AJ11" i="1"/>
  <c r="AT11" i="1"/>
  <c r="AT12" i="1"/>
  <c r="AK12" i="1"/>
  <c r="DV11" i="1"/>
  <c r="DI13" i="1"/>
  <c r="CZ13" i="1"/>
  <c r="CE13" i="1"/>
  <c r="BW13" i="1"/>
  <c r="BN12" i="1"/>
  <c r="J11" i="1"/>
  <c r="O12" i="1"/>
  <c r="X12" i="1"/>
  <c r="AL12" i="1"/>
  <c r="BR11" i="1"/>
  <c r="AM11" i="1"/>
  <c r="I11" i="1"/>
  <c r="G13" i="1"/>
  <c r="AL11" i="1"/>
  <c r="AH13" i="1"/>
  <c r="Y12" i="1"/>
  <c r="DZ11" i="1"/>
  <c r="DY11" i="1"/>
  <c r="BO12" i="1"/>
  <c r="BX11" i="1"/>
  <c r="CV11" i="1"/>
  <c r="CA11" i="1"/>
  <c r="CW13" i="1"/>
  <c r="AH12" i="1"/>
  <c r="CZ11" i="1"/>
  <c r="J13" i="1"/>
  <c r="T11" i="1"/>
  <c r="DJ12" i="1"/>
  <c r="CS13" i="1"/>
  <c r="AA11" i="1"/>
  <c r="AC13" i="1"/>
  <c r="T13" i="1"/>
  <c r="Z11" i="1"/>
  <c r="CX13" i="1"/>
  <c r="BM11" i="1"/>
  <c r="AC12" i="1"/>
  <c r="V13" i="1"/>
  <c r="AE13" i="1"/>
  <c r="DM11" i="1"/>
  <c r="AG12" i="1"/>
  <c r="DU11" i="1"/>
  <c r="DI12" i="1"/>
  <c r="CZ12" i="1"/>
  <c r="CE12" i="1"/>
  <c r="BW12" i="1"/>
  <c r="BN11" i="1"/>
  <c r="AZ12" i="1"/>
  <c r="BC11" i="1"/>
  <c r="BI13" i="1"/>
  <c r="AG11" i="1"/>
  <c r="Q11" i="1"/>
  <c r="BC12" i="1"/>
  <c r="I12" i="1"/>
  <c r="CU11" i="1"/>
  <c r="EB11" i="1"/>
  <c r="DL13" i="1"/>
  <c r="DC13" i="1"/>
  <c r="CU13" i="1"/>
  <c r="BZ13" i="1"/>
  <c r="BQ12" i="1"/>
  <c r="K11" i="1"/>
  <c r="BA11" i="1"/>
  <c r="AZ13" i="1"/>
  <c r="BB12" i="1"/>
  <c r="DI11" i="1"/>
  <c r="DL11" i="1"/>
  <c r="BV11" i="1"/>
  <c r="H11" i="1"/>
  <c r="BB13" i="1"/>
  <c r="AU13" i="1"/>
  <c r="DS11" i="1"/>
  <c r="DH12" i="1"/>
  <c r="CY12" i="1"/>
  <c r="CD12" i="1"/>
  <c r="BV12" i="1"/>
  <c r="BM12" i="1"/>
  <c r="AI12" i="1"/>
  <c r="AI11" i="1"/>
  <c r="G11" i="1"/>
  <c r="U12" i="1"/>
  <c r="AA13" i="1"/>
  <c r="V11" i="1"/>
  <c r="DB11" i="1"/>
  <c r="AK11" i="1"/>
  <c r="U11" i="1"/>
  <c r="CT11" i="1"/>
  <c r="DM13" i="1"/>
  <c r="DE12" i="1"/>
  <c r="CV13" i="1"/>
  <c r="CA13" i="1"/>
  <c r="BR13" i="1"/>
  <c r="V12" i="1"/>
  <c r="F13" i="1"/>
  <c r="F12" i="1"/>
  <c r="AE12" i="1"/>
  <c r="AU11" i="1"/>
  <c r="BE11" i="1"/>
  <c r="AY13" i="1"/>
  <c r="BD12" i="1"/>
  <c r="H12" i="1"/>
  <c r="AU12" i="1"/>
  <c r="BA12" i="1"/>
  <c r="AM12" i="1"/>
  <c r="R13" i="1"/>
  <c r="AF13" i="1"/>
  <c r="S13" i="1"/>
  <c r="S12" i="1"/>
  <c r="DK12" i="1"/>
  <c r="CT12" i="1"/>
  <c r="AZ11" i="1"/>
  <c r="M11" i="1"/>
  <c r="BH12" i="1"/>
  <c r="DN13" i="1"/>
  <c r="CB12" i="1"/>
  <c r="R12" i="1"/>
  <c r="BI12" i="1"/>
  <c r="BF13" i="1"/>
  <c r="BI11" i="1"/>
  <c r="DA12" i="1"/>
  <c r="BX12" i="1"/>
  <c r="AD13" i="1"/>
  <c r="AS13" i="1"/>
  <c r="X13" i="1"/>
  <c r="DO13" i="1"/>
  <c r="CC13" i="1"/>
  <c r="AD11" i="1"/>
  <c r="O11" i="1"/>
  <c r="AI13" i="1"/>
  <c r="AF11" i="1"/>
  <c r="BH11" i="1"/>
  <c r="DO12" i="1"/>
  <c r="DG12" i="1"/>
  <c r="CX12" i="1"/>
  <c r="CC12" i="1"/>
  <c r="BU13" i="1"/>
  <c r="AM13" i="1"/>
  <c r="W13" i="1"/>
  <c r="W12" i="1"/>
  <c r="BU11" i="1"/>
  <c r="I13" i="1"/>
  <c r="AY12" i="1"/>
  <c r="Y11" i="1"/>
  <c r="G12" i="1"/>
  <c r="AD12" i="1"/>
  <c r="DX11" i="1"/>
  <c r="DJ13" i="1"/>
  <c r="DA13" i="1"/>
  <c r="CS12" i="1"/>
  <c r="BX13" i="1"/>
  <c r="BO11" i="1"/>
  <c r="DA11" i="1"/>
  <c r="BQ11" i="1"/>
  <c r="CW11" i="1"/>
  <c r="BB11" i="1"/>
  <c r="F11" i="1"/>
  <c r="AT13" i="1"/>
  <c r="AF12" i="1"/>
  <c r="BW11" i="1"/>
  <c r="CS11" i="1"/>
  <c r="L12" i="1"/>
  <c r="DN12" i="1"/>
  <c r="DF12" i="1"/>
  <c r="CW12" i="1"/>
  <c r="CB13" i="1"/>
  <c r="BS12" i="1"/>
  <c r="AC11" i="1"/>
  <c r="L11" i="1"/>
  <c r="K13" i="1"/>
  <c r="N11" i="1"/>
  <c r="BD11" i="1"/>
  <c r="E13" i="1"/>
  <c r="BD13" i="1"/>
  <c r="BZ11" i="1"/>
  <c r="M13" i="1"/>
  <c r="BC13" i="1"/>
  <c r="BG12" i="1"/>
  <c r="DK13" i="1"/>
  <c r="DB13" i="1"/>
  <c r="CT13" i="1"/>
  <c r="BY13" i="1"/>
  <c r="BO13" i="1"/>
  <c r="BE12" i="1"/>
  <c r="BY11" i="1"/>
  <c r="DH11" i="1"/>
  <c r="AE11" i="1"/>
  <c r="DJ11" i="1"/>
  <c r="Y13" i="1"/>
  <c r="Q12" i="1"/>
  <c r="DC11" i="1"/>
  <c r="S11" i="1"/>
  <c r="U13" i="1"/>
  <c r="AJ13" i="1"/>
  <c r="K12" i="1"/>
  <c r="T12" i="1"/>
  <c r="DN11" i="1"/>
  <c r="AY11" i="1"/>
  <c r="DE11" i="1"/>
  <c r="N12" i="1"/>
  <c r="J12" i="1"/>
  <c r="BH13" i="1"/>
  <c r="AK13" i="1"/>
  <c r="DB12" i="1"/>
  <c r="BY12" i="1"/>
  <c r="DO11" i="1"/>
  <c r="W11" i="1"/>
  <c r="AJ12" i="1"/>
  <c r="DF13" i="1"/>
  <c r="BS13" i="1"/>
  <c r="R11" i="1"/>
  <c r="E11" i="1"/>
  <c r="DW11" i="1"/>
  <c r="BN13" i="1"/>
  <c r="AL13" i="1"/>
  <c r="CX11" i="1"/>
  <c r="DG11" i="1"/>
  <c r="DG13" i="1"/>
  <c r="BU12" i="1"/>
  <c r="AS11" i="1"/>
  <c r="O13" i="1"/>
  <c r="N13" i="1"/>
  <c r="BE13" i="1"/>
  <c r="CE11" i="1"/>
  <c r="DT11" i="1"/>
  <c r="CQ13" i="1" l="1"/>
  <c r="CQ12" i="1"/>
  <c r="CP12" i="1"/>
  <c r="CP13" i="1"/>
  <c r="CO13" i="1"/>
  <c r="CO12" i="1"/>
  <c r="CN12" i="1"/>
  <c r="CN13" i="1"/>
  <c r="CM12" i="1"/>
  <c r="CM13" i="1"/>
  <c r="CL12" i="1"/>
  <c r="CL13" i="1"/>
  <c r="CK12" i="1"/>
  <c r="CK13" i="1"/>
  <c r="CJ12" i="1"/>
  <c r="CJ13" i="1"/>
  <c r="CI12" i="1"/>
  <c r="CI13" i="1"/>
  <c r="CH12" i="1"/>
  <c r="CH13" i="1"/>
  <c r="CG13" i="1"/>
  <c r="CG12" i="1"/>
  <c r="CN11" i="1"/>
  <c r="CL11" i="1"/>
  <c r="CO11" i="1"/>
  <c r="CJ11" i="1"/>
  <c r="CQ11" i="1"/>
  <c r="CP11" i="1"/>
  <c r="CK11" i="1"/>
  <c r="CM11" i="1"/>
  <c r="CI11" i="1"/>
  <c r="CH11" i="1"/>
  <c r="CG11" i="1"/>
  <c r="DW12" i="1"/>
  <c r="DS12" i="1"/>
  <c r="DV12" i="1"/>
  <c r="DX12" i="1"/>
  <c r="EA12" i="1"/>
  <c r="EA13" i="1"/>
  <c r="DZ13" i="1"/>
  <c r="EC12" i="1"/>
  <c r="EB12" i="1"/>
  <c r="DT13" i="1"/>
  <c r="DV13" i="1"/>
  <c r="DU12" i="1"/>
  <c r="DS13" i="1"/>
  <c r="DW13" i="1"/>
  <c r="DZ12" i="1"/>
  <c r="AV12" i="1"/>
  <c r="DT12" i="1"/>
  <c r="DU13" i="1"/>
  <c r="AV13" i="1"/>
  <c r="EC13" i="1"/>
  <c r="DY13" i="1"/>
  <c r="DX13" i="1"/>
  <c r="EB13" i="1"/>
  <c r="AV11" i="1"/>
  <c r="AV18" i="1"/>
  <c r="DY12" i="1"/>
</calcChain>
</file>

<file path=xl/sharedStrings.xml><?xml version="1.0" encoding="utf-8"?>
<sst xmlns="http://schemas.openxmlformats.org/spreadsheetml/2006/main" count="478" uniqueCount="471">
  <si>
    <t>Critério Leitão</t>
  </si>
  <si>
    <t>Dividendos</t>
  </si>
  <si>
    <t>Saída</t>
  </si>
  <si>
    <t>Empresa</t>
  </si>
  <si>
    <t>Setor</t>
  </si>
  <si>
    <t>Critério Valor</t>
  </si>
  <si>
    <t>Critério Crescimento</t>
  </si>
  <si>
    <t>Parâmetros da análise</t>
  </si>
  <si>
    <t>Data atual</t>
  </si>
  <si>
    <t>VALE3</t>
  </si>
  <si>
    <t>PETR4</t>
  </si>
  <si>
    <t>BBDC4</t>
  </si>
  <si>
    <t>ITUB4</t>
  </si>
  <si>
    <t>BBAS3</t>
  </si>
  <si>
    <t>ITSA4</t>
  </si>
  <si>
    <t>BVMF3</t>
  </si>
  <si>
    <t>GGBR4</t>
  </si>
  <si>
    <t>RAIL3</t>
  </si>
  <si>
    <t>ABEV3</t>
  </si>
  <si>
    <t>BRFS3</t>
  </si>
  <si>
    <t>USIM5</t>
  </si>
  <si>
    <t>CIEL3</t>
  </si>
  <si>
    <t>KROT3</t>
  </si>
  <si>
    <t>GOAU4</t>
  </si>
  <si>
    <t>PETR3</t>
  </si>
  <si>
    <t>BBSE3</t>
  </si>
  <si>
    <t>BRDT3</t>
  </si>
  <si>
    <t>CSNA3</t>
  </si>
  <si>
    <t>EQTL3</t>
  </si>
  <si>
    <t>CMIG4</t>
  </si>
  <si>
    <t>RENT3</t>
  </si>
  <si>
    <t>FIBR3</t>
  </si>
  <si>
    <t>ESTC3</t>
  </si>
  <si>
    <t>QUAL3</t>
  </si>
  <si>
    <t>BRAP4</t>
  </si>
  <si>
    <t>SANB11</t>
  </si>
  <si>
    <t>CCRO3</t>
  </si>
  <si>
    <t>IRBR3</t>
  </si>
  <si>
    <t>FLRY3</t>
  </si>
  <si>
    <t>VIVT4</t>
  </si>
  <si>
    <t>VVAR11</t>
  </si>
  <si>
    <t>UGPA3</t>
  </si>
  <si>
    <t>BTOW3</t>
  </si>
  <si>
    <t>TIMP3</t>
  </si>
  <si>
    <t>MGLU3</t>
  </si>
  <si>
    <t>BRML3</t>
  </si>
  <si>
    <t>JBSS3</t>
  </si>
  <si>
    <t>WEGE3</t>
  </si>
  <si>
    <t>NATU3</t>
  </si>
  <si>
    <t>RADL3</t>
  </si>
  <si>
    <t>LAME4</t>
  </si>
  <si>
    <t>LREN3</t>
  </si>
  <si>
    <t>HYPE3</t>
  </si>
  <si>
    <t>CRFB3</t>
  </si>
  <si>
    <t>EMBR3</t>
  </si>
  <si>
    <t>PCAR4</t>
  </si>
  <si>
    <t>SMLS3</t>
  </si>
  <si>
    <t>IGTA3</t>
  </si>
  <si>
    <t>ELET6</t>
  </si>
  <si>
    <t>CYRE3</t>
  </si>
  <si>
    <t>DTEX3</t>
  </si>
  <si>
    <t>ELET3</t>
  </si>
  <si>
    <t>MRVE3</t>
  </si>
  <si>
    <t>BBDC3</t>
  </si>
  <si>
    <t>SUZB3</t>
  </si>
  <si>
    <t>TUPY3</t>
  </si>
  <si>
    <t>MDIA3</t>
  </si>
  <si>
    <t>BRKM5</t>
  </si>
  <si>
    <t>TAEE11</t>
  </si>
  <si>
    <t>MULT3</t>
  </si>
  <si>
    <t>SBSP3</t>
  </si>
  <si>
    <t>GOLL4</t>
  </si>
  <si>
    <t>BKBR3</t>
  </si>
  <si>
    <t>CSAN3</t>
  </si>
  <si>
    <t>CESP6</t>
  </si>
  <si>
    <t>CVCB3</t>
  </si>
  <si>
    <t>EGIE3</t>
  </si>
  <si>
    <t>ECOR3</t>
  </si>
  <si>
    <t>CSMG3</t>
  </si>
  <si>
    <t>HGTX3</t>
  </si>
  <si>
    <t>ELPL3</t>
  </si>
  <si>
    <t>BRSR6</t>
  </si>
  <si>
    <t>MPLU3</t>
  </si>
  <si>
    <t>ALSC3</t>
  </si>
  <si>
    <t>AZUL4</t>
  </si>
  <si>
    <t>WIZS3</t>
  </si>
  <si>
    <t>CPLE6</t>
  </si>
  <si>
    <t>SMTO3</t>
  </si>
  <si>
    <t>OIBR3</t>
  </si>
  <si>
    <t>VLID3</t>
  </si>
  <si>
    <t>ENBR3</t>
  </si>
  <si>
    <t>CAML3</t>
  </si>
  <si>
    <t>ENGI11</t>
  </si>
  <si>
    <t>BRPR3</t>
  </si>
  <si>
    <t>ALUP11</t>
  </si>
  <si>
    <t>TRPL4</t>
  </si>
  <si>
    <t>SAPR11</t>
  </si>
  <si>
    <t>RAPT4</t>
  </si>
  <si>
    <t>SULA11</t>
  </si>
  <si>
    <t>GUAR3</t>
  </si>
  <si>
    <t>ODPV3</t>
  </si>
  <si>
    <t>TOTS3</t>
  </si>
  <si>
    <t>GFSA3</t>
  </si>
  <si>
    <t>SEER3</t>
  </si>
  <si>
    <t>ALPA4</t>
  </si>
  <si>
    <t>MYPK3</t>
  </si>
  <si>
    <t>PSSA3</t>
  </si>
  <si>
    <t>ARZZ3</t>
  </si>
  <si>
    <t>MRFG3</t>
  </si>
  <si>
    <t>POMO4</t>
  </si>
  <si>
    <t>LIGT3</t>
  </si>
  <si>
    <t>LAME3</t>
  </si>
  <si>
    <t>CPFE3</t>
  </si>
  <si>
    <t>MOVI3</t>
  </si>
  <si>
    <t>CMIG3</t>
  </si>
  <si>
    <t>TGMA3</t>
  </si>
  <si>
    <t>SAPR4</t>
  </si>
  <si>
    <t>EZTC3</t>
  </si>
  <si>
    <t>PARD3</t>
  </si>
  <si>
    <t>ABCB4</t>
  </si>
  <si>
    <t>MEAL3</t>
  </si>
  <si>
    <t>KEPL3</t>
  </si>
  <si>
    <t>BEEF3</t>
  </si>
  <si>
    <t>CTNM4</t>
  </si>
  <si>
    <t>STBP3</t>
  </si>
  <si>
    <t>ITUB3</t>
  </si>
  <si>
    <t>TIET11</t>
  </si>
  <si>
    <t>AMAR3</t>
  </si>
  <si>
    <t>LEVE3</t>
  </si>
  <si>
    <t>ANIM3</t>
  </si>
  <si>
    <t>LINX3</t>
  </si>
  <si>
    <t>BPAC11</t>
  </si>
  <si>
    <t>QGEP3</t>
  </si>
  <si>
    <t>AALR3</t>
  </si>
  <si>
    <t>SLCE3</t>
  </si>
  <si>
    <t>VULC3</t>
  </si>
  <si>
    <t>FESA4</t>
  </si>
  <si>
    <t>OMGE3</t>
  </si>
  <si>
    <t>RLOG3</t>
  </si>
  <si>
    <t>CGAS5</t>
  </si>
  <si>
    <t>PMAM3</t>
  </si>
  <si>
    <t>MAGG3</t>
  </si>
  <si>
    <t>CARD3</t>
  </si>
  <si>
    <t>EVEN3</t>
  </si>
  <si>
    <t>OIBR4</t>
  </si>
  <si>
    <t>BBRK3</t>
  </si>
  <si>
    <t>LOGN3</t>
  </si>
  <si>
    <t>GRND3</t>
  </si>
  <si>
    <t>TEND3</t>
  </si>
  <si>
    <t>DIRR3</t>
  </si>
  <si>
    <t>CZLT33</t>
  </si>
  <si>
    <t>PRIO3</t>
  </si>
  <si>
    <t>POSI3</t>
  </si>
  <si>
    <t>LCAM3</t>
  </si>
  <si>
    <t>UNIP6</t>
  </si>
  <si>
    <t>HBOR3</t>
  </si>
  <si>
    <t>CTNM3</t>
  </si>
  <si>
    <t>GBIO33</t>
  </si>
  <si>
    <t>PTBL3</t>
  </si>
  <si>
    <t>MILS3</t>
  </si>
  <si>
    <t>DMMO3</t>
  </si>
  <si>
    <t>TCSA3</t>
  </si>
  <si>
    <t>SGPS3</t>
  </si>
  <si>
    <t>ENEV3</t>
  </si>
  <si>
    <t>JHSF3</t>
  </si>
  <si>
    <t>CPLE3</t>
  </si>
  <si>
    <t>MLFT4</t>
  </si>
  <si>
    <t>PFRM3</t>
  </si>
  <si>
    <t>SSBR3</t>
  </si>
  <si>
    <t>GUAR4</t>
  </si>
  <si>
    <t>SHOW3</t>
  </si>
  <si>
    <t>ROMI3</t>
  </si>
  <si>
    <t>TPIS3</t>
  </si>
  <si>
    <t>ITSA3</t>
  </si>
  <si>
    <t>TECN3</t>
  </si>
  <si>
    <t>SLED4</t>
  </si>
  <si>
    <t>TRIS3</t>
  </si>
  <si>
    <t>GGBR3</t>
  </si>
  <si>
    <t>RCSL4</t>
  </si>
  <si>
    <t>PDGR3</t>
  </si>
  <si>
    <t>OFSA3</t>
  </si>
  <si>
    <t>AGRO3</t>
  </si>
  <si>
    <t>LPSB3</t>
  </si>
  <si>
    <t>KLBN4</t>
  </si>
  <si>
    <t>CTKA4</t>
  </si>
  <si>
    <t>TELB4</t>
  </si>
  <si>
    <t>SNSL3</t>
  </si>
  <si>
    <t>BPHA3</t>
  </si>
  <si>
    <t>UCAS3</t>
  </si>
  <si>
    <t>USIM3</t>
  </si>
  <si>
    <t>RSID3</t>
  </si>
  <si>
    <t>GOAU3</t>
  </si>
  <si>
    <t>PNVL4</t>
  </si>
  <si>
    <t>JSLG3</t>
  </si>
  <si>
    <t>LLIS3</t>
  </si>
  <si>
    <t>POMO3</t>
  </si>
  <si>
    <t>TESA3</t>
  </si>
  <si>
    <t>SHUL4</t>
  </si>
  <si>
    <t>BRAP3</t>
  </si>
  <si>
    <t>COCE5</t>
  </si>
  <si>
    <t>ETER3</t>
  </si>
  <si>
    <t>PRML3</t>
  </si>
  <si>
    <t>LUPA3</t>
  </si>
  <si>
    <t>VVAR4</t>
  </si>
  <si>
    <t>UNIP3</t>
  </si>
  <si>
    <t>FRAS3</t>
  </si>
  <si>
    <t>BPAN4</t>
  </si>
  <si>
    <t>RNEW11</t>
  </si>
  <si>
    <t>BRIN3</t>
  </si>
  <si>
    <t>RNEW4</t>
  </si>
  <si>
    <t>VVAR3</t>
  </si>
  <si>
    <t>SANB4</t>
  </si>
  <si>
    <t>CLSC4</t>
  </si>
  <si>
    <t>EUCA4</t>
  </si>
  <si>
    <t>SCAR3</t>
  </si>
  <si>
    <t>CRPG5</t>
  </si>
  <si>
    <t>ATOM3</t>
  </si>
  <si>
    <t>IDNT3</t>
  </si>
  <si>
    <t>CGRA4</t>
  </si>
  <si>
    <t>CGAS3</t>
  </si>
  <si>
    <t>PNVL3</t>
  </si>
  <si>
    <t>VIVT3</t>
  </si>
  <si>
    <t>SAPR3</t>
  </si>
  <si>
    <t>FHER3</t>
  </si>
  <si>
    <t>PLAS3</t>
  </si>
  <si>
    <t>NFLX34</t>
  </si>
  <si>
    <t>UNIP5</t>
  </si>
  <si>
    <t>SANB3</t>
  </si>
  <si>
    <t>TIET4</t>
  </si>
  <si>
    <t>BSEV3</t>
  </si>
  <si>
    <t>KLBN3</t>
  </si>
  <si>
    <t>BIOM3</t>
  </si>
  <si>
    <t>CESP3</t>
  </si>
  <si>
    <t>MTSA4</t>
  </si>
  <si>
    <t>BEES3</t>
  </si>
  <si>
    <t>EALT4</t>
  </si>
  <si>
    <t>JBDU4</t>
  </si>
  <si>
    <t>TCNO3</t>
  </si>
  <si>
    <t>TRPN3</t>
  </si>
  <si>
    <t>ECPR3</t>
  </si>
  <si>
    <t>GPIV33</t>
  </si>
  <si>
    <t>RNEW3</t>
  </si>
  <si>
    <t>RDNI3</t>
  </si>
  <si>
    <t>CPRE3</t>
  </si>
  <si>
    <t>OGXP3</t>
  </si>
  <si>
    <t>VIVR3</t>
  </si>
  <si>
    <t>TCNO4</t>
  </si>
  <si>
    <t>RPAD5</t>
  </si>
  <si>
    <t>MOAR3</t>
  </si>
  <si>
    <t>LIXC4</t>
  </si>
  <si>
    <t>JOPA3</t>
  </si>
  <si>
    <t>CREM3</t>
  </si>
  <si>
    <t>BAHI3</t>
  </si>
  <si>
    <t>PTNT4</t>
  </si>
  <si>
    <t>CTAX3</t>
  </si>
  <si>
    <t>BRIV4</t>
  </si>
  <si>
    <t>MGEL4</t>
  </si>
  <si>
    <t>FJTA4</t>
  </si>
  <si>
    <t>CTSA3</t>
  </si>
  <si>
    <t>ADHM3</t>
  </si>
  <si>
    <t>CCXC3</t>
  </si>
  <si>
    <t>CGRA3</t>
  </si>
  <si>
    <t>BOBR4</t>
  </si>
  <si>
    <t>SEDU3</t>
  </si>
  <si>
    <t>WSON33</t>
  </si>
  <si>
    <t>TIET3</t>
  </si>
  <si>
    <t>NIKE34</t>
  </si>
  <si>
    <t>MLFT3</t>
  </si>
  <si>
    <t>CORR4</t>
  </si>
  <si>
    <t>GILD34</t>
  </si>
  <si>
    <t>CEED4</t>
  </si>
  <si>
    <t>GEPA3</t>
  </si>
  <si>
    <t>BGIP4</t>
  </si>
  <si>
    <t>DAGB33</t>
  </si>
  <si>
    <t>RANI3</t>
  </si>
  <si>
    <t>HAGA4</t>
  </si>
  <si>
    <t>ALPA3</t>
  </si>
  <si>
    <t>CRDE3</t>
  </si>
  <si>
    <t>BDLL4</t>
  </si>
  <si>
    <t>RPMG3</t>
  </si>
  <si>
    <t>BAZA3</t>
  </si>
  <si>
    <t>CSRN3</t>
  </si>
  <si>
    <t>WLMM4</t>
  </si>
  <si>
    <t>SLED3</t>
  </si>
  <si>
    <t>PEAB3</t>
  </si>
  <si>
    <t>GEPA4</t>
  </si>
  <si>
    <t>TRPL3</t>
  </si>
  <si>
    <t>TELB3</t>
  </si>
  <si>
    <t>MSPA4</t>
  </si>
  <si>
    <t>ELEK4</t>
  </si>
  <si>
    <t>OSXB3</t>
  </si>
  <si>
    <t>BRKM3</t>
  </si>
  <si>
    <t>PEAB4</t>
  </si>
  <si>
    <t>CRPG6</t>
  </si>
  <si>
    <t>BMEB4</t>
  </si>
  <si>
    <t>RCSL3</t>
  </si>
  <si>
    <t>ENGI4</t>
  </si>
  <si>
    <t>ALUP3</t>
  </si>
  <si>
    <t>LIPR3</t>
  </si>
  <si>
    <t>EEEL4</t>
  </si>
  <si>
    <t>IDVL4</t>
  </si>
  <si>
    <t>RPAD6</t>
  </si>
  <si>
    <t>EKTR4</t>
  </si>
  <si>
    <t>JFEN3</t>
  </si>
  <si>
    <t>PINE4</t>
  </si>
  <si>
    <t>CEPE5</t>
  </si>
  <si>
    <t>EEEL3</t>
  </si>
  <si>
    <t>ESTR4</t>
  </si>
  <si>
    <t>GSHP3</t>
  </si>
  <si>
    <t>FESA3</t>
  </si>
  <si>
    <t>USIM6</t>
  </si>
  <si>
    <t>BTTL4</t>
  </si>
  <si>
    <t>BNBR3</t>
  </si>
  <si>
    <t>MNDL3</t>
  </si>
  <si>
    <t>EMAE4</t>
  </si>
  <si>
    <t>DASA3</t>
  </si>
  <si>
    <t>CEED3</t>
  </si>
  <si>
    <t>RAPT3</t>
  </si>
  <si>
    <t>TXRX4</t>
  </si>
  <si>
    <t>ENGI3</t>
  </si>
  <si>
    <t>ECPR4</t>
  </si>
  <si>
    <t>IGBR3</t>
  </si>
  <si>
    <t>TEKA4</t>
  </si>
  <si>
    <t>WLMM3</t>
  </si>
  <si>
    <t>CTSA4</t>
  </si>
  <si>
    <t>SOND5</t>
  </si>
  <si>
    <t>BAUH4</t>
  </si>
  <si>
    <t>BMKS3</t>
  </si>
  <si>
    <t>LIXC3</t>
  </si>
  <si>
    <t>CEEB5</t>
  </si>
  <si>
    <t>NUTR3</t>
  </si>
  <si>
    <t>CESP5</t>
  </si>
  <si>
    <t>INEP4</t>
  </si>
  <si>
    <t>CSAB3</t>
  </si>
  <si>
    <t>CAMB4</t>
  </si>
  <si>
    <t>BRGE3</t>
  </si>
  <si>
    <t>MTIG4</t>
  </si>
  <si>
    <t>SULA3</t>
  </si>
  <si>
    <t>BMEB3</t>
  </si>
  <si>
    <t>COCE3</t>
  </si>
  <si>
    <t>CEBR6</t>
  </si>
  <si>
    <t>IDVL3</t>
  </si>
  <si>
    <t>MSPA3</t>
  </si>
  <si>
    <t>DTCY3</t>
  </si>
  <si>
    <t>CEDO4</t>
  </si>
  <si>
    <t>SNSY5</t>
  </si>
  <si>
    <t>SOND6</t>
  </si>
  <si>
    <t>FRIO3</t>
  </si>
  <si>
    <t>CEDO3</t>
  </si>
  <si>
    <t>BGIP3</t>
  </si>
  <si>
    <t>BMIN4</t>
  </si>
  <si>
    <t>MMXM3</t>
  </si>
  <si>
    <t>ALUP4</t>
  </si>
  <si>
    <t>HOOT4</t>
  </si>
  <si>
    <t>BMIN3</t>
  </si>
  <si>
    <t>ENMA3B</t>
  </si>
  <si>
    <t>RPAD3</t>
  </si>
  <si>
    <t>GPCP3</t>
  </si>
  <si>
    <t>AFLT3</t>
  </si>
  <si>
    <t>RIGG34</t>
  </si>
  <si>
    <t>HETA4</t>
  </si>
  <si>
    <t>BPAC3</t>
  </si>
  <si>
    <t>CEBR5</t>
  </si>
  <si>
    <t>BRSR5</t>
  </si>
  <si>
    <t>RSUL4</t>
  </si>
  <si>
    <t>BRGE8</t>
  </si>
  <si>
    <t>CEBR3</t>
  </si>
  <si>
    <t>BRSR3</t>
  </si>
  <si>
    <t>WHRL4</t>
  </si>
  <si>
    <t>NAFG3</t>
  </si>
  <si>
    <t>CEEB3</t>
  </si>
  <si>
    <t>PATI3</t>
  </si>
  <si>
    <t>JOPA4</t>
  </si>
  <si>
    <t>CRPG3</t>
  </si>
  <si>
    <t>BPAC5</t>
  </si>
  <si>
    <t>CBEE3</t>
  </si>
  <si>
    <t>DOHL4</t>
  </si>
  <si>
    <t>CCPR3</t>
  </si>
  <si>
    <t>BEES4</t>
  </si>
  <si>
    <t>CRIV4</t>
  </si>
  <si>
    <t>JBDU3</t>
  </si>
  <si>
    <t>EUCA3</t>
  </si>
  <si>
    <t>SPRI3</t>
  </si>
  <si>
    <t>PATI4</t>
  </si>
  <si>
    <t>MRSA3B</t>
  </si>
  <si>
    <t>CEPE6</t>
  </si>
  <si>
    <t>CRIV3</t>
  </si>
  <si>
    <t>HBTS5</t>
  </si>
  <si>
    <t>MERC4</t>
  </si>
  <si>
    <t>FRTA3</t>
  </si>
  <si>
    <t>ELEK3</t>
  </si>
  <si>
    <t>TAEE3</t>
  </si>
  <si>
    <t>WHRL3</t>
  </si>
  <si>
    <t>TOYB4</t>
  </si>
  <si>
    <t>AZEV4</t>
  </si>
  <si>
    <t>MWET4</t>
  </si>
  <si>
    <t>BNFS11</t>
  </si>
  <si>
    <t>MEND5</t>
  </si>
  <si>
    <t>BALM4</t>
  </si>
  <si>
    <t>INEP3</t>
  </si>
  <si>
    <t>BTTL3</t>
  </si>
  <si>
    <t>CELP5</t>
  </si>
  <si>
    <t>MNPR3</t>
  </si>
  <si>
    <t>BRGE6</t>
  </si>
  <si>
    <t>REDE3</t>
  </si>
  <si>
    <t>SULA4</t>
  </si>
  <si>
    <t>TAEE4</t>
  </si>
  <si>
    <t>MAPT4</t>
  </si>
  <si>
    <t>BRIV3</t>
  </si>
  <si>
    <t>CTKA3</t>
  </si>
  <si>
    <t>HAGA3</t>
  </si>
  <si>
    <t>AELP3</t>
  </si>
  <si>
    <t>MRSA5B</t>
  </si>
  <si>
    <t>RANI4</t>
  </si>
  <si>
    <t>CELP3</t>
  </si>
  <si>
    <t>FJTA3</t>
  </si>
  <si>
    <t>MEND6</t>
  </si>
  <si>
    <t>FBMC4</t>
  </si>
  <si>
    <t>TOYB3</t>
  </si>
  <si>
    <t>CELP7</t>
  </si>
  <si>
    <t>JPSA3</t>
  </si>
  <si>
    <t>JPSA4</t>
  </si>
  <si>
    <t>Trimestre 1</t>
  </si>
  <si>
    <t>Trimestre 2</t>
  </si>
  <si>
    <t>Trimestre 3</t>
  </si>
  <si>
    <t>Trimestre 4</t>
  </si>
  <si>
    <t xml:space="preserve">Dia </t>
  </si>
  <si>
    <t>Mês</t>
  </si>
  <si>
    <t>Limites de entrega</t>
  </si>
  <si>
    <t>Trimestre do resultado</t>
  </si>
  <si>
    <t>Ano do último resultado</t>
  </si>
  <si>
    <t>Último ano fechado</t>
  </si>
  <si>
    <t>Dados dos ativos</t>
  </si>
  <si>
    <t>Dados para os critérios de seleção</t>
  </si>
  <si>
    <t>As células desta aba não devem ser editados</t>
  </si>
  <si>
    <t>Cadastro</t>
  </si>
  <si>
    <t xml:space="preserve">EMPRESA
</t>
  </si>
  <si>
    <t xml:space="preserve">RAZÃO SOCIAL
</t>
  </si>
  <si>
    <t xml:space="preserve">SEGMENTO
</t>
  </si>
  <si>
    <t xml:space="preserve">P/L ATUAL
</t>
  </si>
  <si>
    <t>P/L CALCULADO
3 últimos anos</t>
  </si>
  <si>
    <t xml:space="preserve">P/VP
</t>
  </si>
  <si>
    <t xml:space="preserve">DY ATUAL
</t>
  </si>
  <si>
    <t xml:space="preserve">PAYOUT
</t>
  </si>
  <si>
    <t>VALOR DE
MERCADO</t>
  </si>
  <si>
    <t>Demonstração de resultados</t>
  </si>
  <si>
    <t>Balanço</t>
  </si>
  <si>
    <t>LUCRO LÍQUIDO
ATUAL</t>
  </si>
  <si>
    <t>RECEITA
LÍQUIDA ATUAL</t>
  </si>
  <si>
    <t>PATRIMÔNIO
LÍQUIDO ATUAL</t>
  </si>
  <si>
    <t>ATIVO
CIRCULANTE ATUAL</t>
  </si>
  <si>
    <t>ATIVO
TOTAL ATUAL</t>
  </si>
  <si>
    <t>PASSIVO EXIGÍVEL DE
LONGO PRAZO ATUAL</t>
  </si>
  <si>
    <t>PASSIVO CIRCULANTE
ATUAL</t>
  </si>
  <si>
    <t>Indicadores</t>
  </si>
  <si>
    <t>LIQUIDEZ CORRENTE
ATUAL</t>
  </si>
  <si>
    <t>DÍVIDA BRUTA POR
PATRIMÔNIO LÍQUIDO ATUAL</t>
  </si>
  <si>
    <t>LUCRO LÍQUIDO
POR AÇÃO ATUAL</t>
  </si>
  <si>
    <t xml:space="preserve">ROE Atual
</t>
  </si>
  <si>
    <t>MARGEM LÍQUIDA
ATUAL</t>
  </si>
  <si>
    <t>MARGEM BRUTA
ATUAL</t>
  </si>
  <si>
    <t>Cotações</t>
  </si>
  <si>
    <t>DIAS DESDE A
ÚLTIMA NEGOCIAÇÃO</t>
  </si>
  <si>
    <t xml:space="preserve">LIQUIDEZ
</t>
  </si>
  <si>
    <t xml:space="preserve">COTAÇÃO ATUAL
</t>
  </si>
  <si>
    <r>
      <t xml:space="preserve">Alterar apenas as informações de campos em </t>
    </r>
    <r>
      <rPr>
        <b/>
        <sz val="11"/>
        <color rgb="FF00B0F0"/>
        <rFont val="Calibri"/>
        <family val="2"/>
        <scheme val="minor"/>
      </rPr>
      <t>azul</t>
    </r>
  </si>
  <si>
    <t>Datas limite para entrega de resultados</t>
  </si>
  <si>
    <t>Limites para critérios diversos</t>
  </si>
  <si>
    <t>Valor mínimo do Ativo Total para empresa de grande porte (R$1000)</t>
  </si>
  <si>
    <t>Critérios para seleção de ações</t>
  </si>
  <si>
    <t>Esta aba registra os critérios usados pelas diversas estratégias. Nenhum valor deve ser editado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</si>
</sst>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EEEEE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0" fillId="0" borderId="0" xfId="0" applyFont="1"/>
    <xf numFmtId="16" fontId="0" fillId="0" borderId="0" xfId="0" applyNumberFormat="1"/>
    <xf numFmtId="0" fontId="0" fillId="0" borderId="0" xfId="0" applyNumberForma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0" fontId="0" fillId="2" borderId="0" xfId="0" applyFill="1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0" fillId="0" borderId="0" xfId="0" applyFill="1"/>
    <xf numFmtId="0" fontId="0" fillId="2" borderId="0" xfId="0" applyFont="1" applyFill="1"/>
    <xf numFmtId="0" fontId="0" fillId="3" borderId="0" xfId="0" applyFont="1" applyFill="1"/>
    <xf numFmtId="0" fontId="0" fillId="3" borderId="0" xfId="0" applyFill="1"/>
    <xf numFmtId="0" fontId="4" fillId="3" borderId="0" xfId="0" applyFont="1" applyFill="1"/>
    <xf numFmtId="0" fontId="4" fillId="3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0" fillId="4" borderId="0" xfId="0" applyFont="1" applyFill="1"/>
    <xf numFmtId="0" fontId="4" fillId="4" borderId="0" xfId="0" applyFont="1" applyFill="1"/>
    <xf numFmtId="0" fontId="4" fillId="4" borderId="0" xfId="0" applyFont="1" applyFill="1" applyAlignment="1">
      <alignment wrapText="1"/>
    </xf>
    <xf numFmtId="0" fontId="0" fillId="4" borderId="0" xfId="0" applyFill="1"/>
    <xf numFmtId="0" fontId="0" fillId="5" borderId="0" xfId="0" applyFont="1" applyFill="1"/>
    <xf numFmtId="0" fontId="4" fillId="5" borderId="0" xfId="0" applyFont="1" applyFill="1"/>
    <xf numFmtId="0" fontId="4" fillId="5" borderId="0" xfId="0" applyFont="1" applyFill="1" applyAlignment="1">
      <alignment wrapText="1"/>
    </xf>
    <xf numFmtId="0" fontId="0" fillId="5" borderId="0" xfId="0" applyFill="1"/>
    <xf numFmtId="0" fontId="0" fillId="6" borderId="0" xfId="0" applyFont="1" applyFill="1"/>
    <xf numFmtId="0" fontId="4" fillId="6" borderId="0" xfId="0" applyFont="1" applyFill="1"/>
    <xf numFmtId="0" fontId="4" fillId="6" borderId="0" xfId="0" applyFont="1" applyFill="1" applyAlignment="1">
      <alignment wrapText="1"/>
    </xf>
    <xf numFmtId="0" fontId="0" fillId="6" borderId="0" xfId="0" applyFill="1"/>
    <xf numFmtId="1" fontId="0" fillId="6" borderId="0" xfId="0" applyNumberFormat="1" applyFill="1"/>
    <xf numFmtId="0" fontId="5" fillId="0" borderId="0" xfId="0" applyFont="1"/>
    <xf numFmtId="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rtdsrv.c3b2adb84f7449e6b4139d8a6a94a82c">
      <tp>
        <v>47166109000</v>
        <stp/>
        <stp>PatrimonioLiquido</stp>
        <stp>ABEV3</stp>
        <stp/>
        <stp/>
        <stp>NP</stp>
        <tr r="AB13" s="1"/>
      </tp>
      <tp>
        <v>0.75270000000000004</v>
        <stp/>
        <stp>LiquidezCorrente</stp>
        <stp>ABEV3</stp>
        <stp/>
        <stp/>
        <stp>NP</stp>
        <tr r="BL13" s="1"/>
      </tp>
    </main>
    <main first="rtdsrv.c3b2adb84f7449e6b4139d8a6a94a82c">
      <tp>
        <v>2.1652999999999998</v>
        <stp/>
        <stp>LucroLiquidoAcao</stp>
        <stp>ABCB4</stp>
        <stp/>
        <stp>1</stp>
        <stp>NP</stp>
        <tr r="BT12" s="1"/>
      </tp>
    </main>
    <main first="rtdsrv.c3b2adb84f7449e6b4139d8a6a94a82c">
      <tp>
        <v>1230385000</v>
        <stp/>
        <stp>PatrimonioLiquido</stp>
        <stp>AALR3</stp>
        <stp/>
        <stp/>
        <stp>NP</stp>
        <tr r="AB11" s="1"/>
      </tp>
      <tp>
        <v>0.56559999999999999</v>
        <stp/>
        <stp>LucroLiquidoAcao</stp>
        <stp>ABEV3</stp>
        <stp/>
        <stp>1</stp>
        <stp>NP</stp>
        <tr r="BT13" s="1"/>
      </tp>
      <tp>
        <v>0.2117</v>
        <stp/>
        <stp>LucroLiquidoAcao</stp>
        <stp>AALR3</stp>
        <stp/>
        <stp>1</stp>
        <stp>NP</stp>
        <tr r="BT11" s="1"/>
      </tp>
      <tp>
        <v>0.26440000000000002</v>
        <stp/>
        <stp>LiquidezCorrente</stp>
        <stp>AALR3</stp>
        <stp/>
        <stp/>
        <stp>NP</stp>
        <tr r="BL11" s="1"/>
      </tp>
    </main>
    <main first="rtdsrv.c3b2adb84f7449e6b4139d8a6a94a82c">
      <tp>
        <v>19085375000</v>
        <stp/>
        <stp>PassivoCirculante</stp>
        <stp>ABCB4</stp>
        <stp/>
        <stp/>
        <stp>NP</stp>
        <tr r="AQ12" s="1"/>
      </tp>
    </main>
    <main first="rtdsrv.c3b2adb84f7449e6b4139d8a6a94a82c">
      <tp t="s">
        <v>Serv.Méd.Hospit..Análises e Diagnósticos</v>
        <stp/>
        <stp>Segmento</stp>
        <stp>AALR3</stp>
        <stp/>
        <stp/>
        <stp/>
        <tr r="C11" s="1"/>
      </tp>
      <tp t="s">
        <v/>
        <stp/>
        <stp>DividaTotalBrutaPatrimonioLiquido</stp>
        <stp>ABCB4</stp>
        <stp/>
        <stp/>
        <stp>NP</stp>
        <tr r="BP12" s="1"/>
      </tp>
    </main>
    <main first="rtdsrv.c3b2adb84f7449e6b4139d8a6a94a82c">
      <tp>
        <v>1788230000</v>
        <stp/>
        <stp>AtivoTotal</stp>
        <stp>AALR3</stp>
        <stp/>
        <stp/>
        <stp>NP</stp>
        <tr r="AN11" s="1"/>
      </tp>
      <tp t="s">
        <v/>
        <stp/>
        <stp>PassivoExigivelLp</stp>
        <stp>AALR3</stp>
        <stp/>
        <stp/>
        <stp>NP</stp>
        <tr r="AP11" s="1"/>
      </tp>
    </main>
    <main first="rtdsrv.c3b2adb84f7449e6b4139d8a6a94a82c">
      <tp>
        <v>0.32629999999999998</v>
        <stp/>
        <stp>MargemLiquida</stp>
        <stp>ABEV3</stp>
        <stp>4T_2013</stp>
        <stp>1</stp>
        <stp>SP</stp>
        <tr r="CW13" s="1"/>
      </tp>
      <tp>
        <v>0.33019999999999999</v>
        <stp/>
        <stp>MargemLiquida</stp>
        <stp>ABEV3</stp>
        <stp>4T_2012</stp>
        <stp>1</stp>
        <stp>SP</stp>
        <tr r="CX13" s="1"/>
      </tp>
      <tp>
        <v>0.32140000000000002</v>
        <stp/>
        <stp>MargemLiquida</stp>
        <stp>ABEV3</stp>
        <stp>4T_2011</stp>
        <stp>1</stp>
        <stp>SP</stp>
        <tr r="CY13" s="1"/>
      </tp>
      <tp>
        <v>0.30199999999999999</v>
        <stp/>
        <stp>MargemLiquida</stp>
        <stp>ABEV3</stp>
        <stp>4T_2010</stp>
        <stp>1</stp>
        <stp>SP</stp>
        <tr r="CZ13" s="1"/>
      </tp>
      <tp>
        <v>0.20380000000000001</v>
        <stp/>
        <stp>MargemLiquida</stp>
        <stp>ABEV3</stp>
        <stp>3T_2017</stp>
        <stp>1</stp>
        <stp>SP</stp>
        <tr r="CS13" s="1"/>
      </tp>
      <tp>
        <v>0.28689999999999999</v>
        <stp/>
        <stp>MargemLiquida</stp>
        <stp>ABEV3</stp>
        <stp>4T_2016</stp>
        <stp>1</stp>
        <stp>SP</stp>
        <tr r="CT13" s="1"/>
      </tp>
      <tp>
        <v>0.2757</v>
        <stp/>
        <stp>MargemLiquida</stp>
        <stp>ABEV3</stp>
        <stp>4T_2015</stp>
        <stp>1</stp>
        <stp>SP</stp>
        <tr r="CU13" s="1"/>
      </tp>
      <tp>
        <v>0.3246</v>
        <stp/>
        <stp>MargemLiquida</stp>
        <stp>ABEV3</stp>
        <stp>4T_2014</stp>
        <stp>1</stp>
        <stp>SP</stp>
        <tr r="CV13" s="1"/>
      </tp>
    </main>
    <main first="rtdsrv.c3b2adb84f7449e6b4139d8a6a94a82c">
      <tp>
        <v>0.14330000000000001</v>
        <stp/>
        <stp>MargemLiquida</stp>
        <stp>ABEV3</stp>
        <stp>4T_2007</stp>
        <stp>1</stp>
        <stp>SP</stp>
        <tr r="DC13" s="1"/>
      </tp>
      <tp t="s">
        <v>Bancos</v>
        <stp/>
        <stp>Segmento</stp>
        <stp>ABCB4</stp>
        <stp/>
        <stp/>
        <stp/>
        <tr r="C12" s="1"/>
      </tp>
      <tp>
        <v>0.53220000000000001</v>
        <stp/>
        <stp>MargemLiquida</stp>
        <stp>ABEV3</stp>
        <stp>4T_2009</stp>
        <stp>1</stp>
        <stp>SP</stp>
        <tr r="DA13" s="1"/>
      </tp>
      <tp>
        <v>0.1464</v>
        <stp/>
        <stp>MargemLiquida</stp>
        <stp>ABEV3</stp>
        <stp>4T_2008</stp>
        <stp>1</stp>
        <stp>SP</stp>
        <tr r="DB13" s="1"/>
      </tp>
      <tp t="s">
        <v>Cervejas e Refrigerantes</v>
        <stp/>
        <stp>Segmento</stp>
        <stp>ABEV3</stp>
        <stp/>
        <stp/>
        <stp/>
        <tr r="C13" s="1"/>
      </tp>
    </main>
    <main first="rtdsrv.c3b2adb84f7449e6b4139d8a6a94a82c">
      <tp>
        <v>90469486000</v>
        <stp/>
        <stp>AtivoTotal</stp>
        <stp>ABEV3</stp>
        <stp/>
        <stp/>
        <stp>NP</stp>
        <tr r="AN13" s="1"/>
      </tp>
      <tp t="s">
        <v/>
        <stp/>
        <stp>PassivoExigivelLp</stp>
        <stp>ABEV3</stp>
        <stp/>
        <stp/>
        <stp>NP</stp>
        <tr r="AP13" s="1"/>
      </tp>
    </main>
    <main first="rtdsrv.c3b2adb84f7449e6b4139d8a6a94a82c">
      <tp t="s">
        <v/>
        <stp/>
        <stp>MargemLiquida</stp>
        <stp>AALR3</stp>
        <stp>4T_2013</stp>
        <stp>1</stp>
        <stp>SP</stp>
        <tr r="CW11" s="1"/>
      </tp>
      <tp t="s">
        <v/>
        <stp/>
        <stp>MargemLiquida</stp>
        <stp>AALR3</stp>
        <stp>4T_2012</stp>
        <stp>1</stp>
        <stp>SP</stp>
        <tr r="CX11" s="1"/>
      </tp>
      <tp t="s">
        <v/>
        <stp/>
        <stp>MargemLiquida</stp>
        <stp>AALR3</stp>
        <stp>4T_2011</stp>
        <stp>1</stp>
        <stp>SP</stp>
        <tr r="CY11" s="1"/>
      </tp>
      <tp t="s">
        <v/>
        <stp/>
        <stp>MargemLiquida</stp>
        <stp>AALR3</stp>
        <stp>4T_2010</stp>
        <stp>1</stp>
        <stp>SP</stp>
        <tr r="CZ11" s="1"/>
      </tp>
      <tp t="s">
        <v/>
        <stp/>
        <stp>MargemLiquida</stp>
        <stp>AALR3</stp>
        <stp>3T_2017</stp>
        <stp>1</stp>
        <stp>SP</stp>
        <tr r="CS11" s="1"/>
      </tp>
      <tp>
        <v>3.0200000000000001E-2</v>
        <stp/>
        <stp>MargemLiquida</stp>
        <stp>AALR3</stp>
        <stp>4T_2016</stp>
        <stp>1</stp>
        <stp>SP</stp>
        <tr r="CT11" s="1"/>
      </tp>
      <tp>
        <v>-1.6299999999999999E-2</v>
        <stp/>
        <stp>MargemLiquida</stp>
        <stp>AALR3</stp>
        <stp>4T_2015</stp>
        <stp>1</stp>
        <stp>SP</stp>
        <tr r="CU11" s="1"/>
      </tp>
      <tp t="s">
        <v/>
        <stp/>
        <stp>MargemLiquida</stp>
        <stp>AALR3</stp>
        <stp>4T_2014</stp>
        <stp>1</stp>
        <stp>SP</stp>
        <tr r="CV11" s="1"/>
      </tp>
      <tp t="s">
        <v/>
        <stp/>
        <stp>MargemLiquida</stp>
        <stp>AALR3</stp>
        <stp>4T_2007</stp>
        <stp>1</stp>
        <stp>SP</stp>
        <tr r="DC11" s="1"/>
      </tp>
      <tp t="s">
        <v/>
        <stp/>
        <stp>MargemLiquida</stp>
        <stp>AALR3</stp>
        <stp>4T_2009</stp>
        <stp>1</stp>
        <stp>SP</stp>
        <tr r="DA11" s="1"/>
      </tp>
      <tp t="s">
        <v/>
        <stp/>
        <stp>MargemLiquida</stp>
        <stp>AALR3</stp>
        <stp>4T_2008</stp>
        <stp>1</stp>
        <stp>SP</stp>
        <tr r="DB11" s="1"/>
      </tp>
    </main>
    <main first="rtdsrv.c3b2adb84f7449e6b4139d8a6a94a82c">
      <tp>
        <v>13848978000</v>
        <stp/>
        <stp>PassivoCirculante</stp>
        <stp>ABEV3</stp>
        <stp/>
        <stp/>
        <stp>NP</stp>
        <tr r="AQ13" s="1"/>
      </tp>
    </main>
    <main first="rtdsrv.c3b2adb84f7449e6b4139d8a6a94a82c">
      <tp>
        <v>3284332000</v>
        <stp/>
        <stp>PatrimonioLiquido</stp>
        <stp>ABCB4</stp>
        <stp/>
        <stp/>
        <stp>NP</stp>
        <tr r="AB12" s="1"/>
      </tp>
      <tp>
        <v>1.1801999999999999</v>
        <stp/>
        <stp>LiquidezCorrente</stp>
        <stp>ABCB4</stp>
        <stp/>
        <stp/>
        <stp>NP</stp>
        <tr r="BL12" s="1"/>
      </tp>
    </main>
    <main first="rtdsrv.0f97f73be2e14eea84440824c6174395">
      <tp t="s">
        <v/>
        <stp/>
        <stp>Payout</stp>
        <stp>AALR3</stp>
        <stp/>
        <stp>1</stp>
        <stp/>
        <tr r="BJ11" s="1"/>
      </tp>
    </main>
    <main first="rtdsrv.c3b2adb84f7449e6b4139d8a6a94a82c">
      <tp>
        <v>210782000</v>
        <stp/>
        <stp>PassivoCirculante</stp>
        <stp>AALR3</stp>
        <stp/>
        <stp/>
        <stp>NP</stp>
        <tr r="AQ11" s="1"/>
      </tp>
      <tp>
        <v>792.43</v>
        <stp/>
        <stp>QtdeNegocio21d</stp>
        <stp>AALR3</stp>
        <tr r="DP11" s="1"/>
      </tp>
      <tp t="s">
        <v/>
        <stp/>
        <stp>DividendYield</stp>
        <stp>AALR3</stp>
        <stp>3T_2017</stp>
        <stp>1</stp>
        <stp/>
        <tr r="AY11" s="1"/>
      </tp>
      <tp t="s">
        <v/>
        <stp/>
        <stp>DividendYield</stp>
        <stp>AALR3</stp>
        <stp>4T_2012</stp>
        <stp>1</stp>
        <stp/>
        <tr r="BD11" s="1"/>
      </tp>
      <tp t="s">
        <v/>
        <stp/>
        <stp>DividendYield</stp>
        <stp>AALR3</stp>
        <stp>4T_2013</stp>
        <stp>1</stp>
        <stp/>
        <tr r="BC11" s="1"/>
      </tp>
      <tp t="s">
        <v/>
        <stp/>
        <stp>DividendYield</stp>
        <stp>AALR3</stp>
        <stp>4T_2010</stp>
        <stp>1</stp>
        <stp/>
        <tr r="BF11" s="1"/>
      </tp>
      <tp t="s">
        <v/>
        <stp/>
        <stp>DividendYield</stp>
        <stp>AALR3</stp>
        <stp>4T_2011</stp>
        <stp>1</stp>
        <stp/>
        <tr r="BE11" s="1"/>
      </tp>
      <tp t="s">
        <v/>
        <stp/>
        <stp>DividendYield</stp>
        <stp>AALR3</stp>
        <stp>4T_2016</stp>
        <stp>1</stp>
        <stp/>
        <tr r="AZ11" s="1"/>
      </tp>
      <tp t="s">
        <v/>
        <stp/>
        <stp>DividendYield</stp>
        <stp>AALR3</stp>
        <stp>4T_2014</stp>
        <stp>1</stp>
        <stp/>
        <tr r="BB11" s="1"/>
      </tp>
      <tp t="s">
        <v/>
        <stp/>
        <stp>DividendYield</stp>
        <stp>AALR3</stp>
        <stp>4T_2015</stp>
        <stp>1</stp>
        <stp/>
        <tr r="BA11" s="1"/>
      </tp>
      <tp t="s">
        <v/>
        <stp/>
        <stp>DividendYield</stp>
        <stp>AALR3</stp>
        <stp>4T_2008</stp>
        <stp>1</stp>
        <stp/>
        <tr r="BH11" s="1"/>
      </tp>
      <tp t="s">
        <v/>
        <stp/>
        <stp>DividendYield</stp>
        <stp>AALR3</stp>
        <stp>4T_2009</stp>
        <stp>1</stp>
        <stp/>
        <tr r="BG11" s="1"/>
      </tp>
      <tp t="s">
        <v/>
        <stp/>
        <stp>DividendYield</stp>
        <stp>AALR3</stp>
        <stp>4T_2007</stp>
        <stp>1</stp>
        <stp/>
        <tr r="BI11" s="1"/>
      </tp>
      <tp>
        <v>0.24610000000000001</v>
        <stp/>
        <stp>DividaTotalBrutaPatrimonioLiquido</stp>
        <stp>AALR3</stp>
        <stp/>
        <stp/>
        <stp>NP</stp>
        <tr r="BP11" s="1"/>
      </tp>
      <tp>
        <v>2159</v>
        <stp/>
        <stp>QtdeNegocio21d</stp>
        <stp>ABCB4</stp>
        <tr r="DP12" s="1"/>
      </tp>
    </main>
    <main first="rtdsrv.c3b2adb84f7449e6b4139d8a6a94a82c">
      <tp>
        <v>28760537000</v>
        <stp/>
        <stp>AtivoTotal</stp>
        <stp>ABCB4</stp>
        <stp/>
        <stp/>
        <stp>NP</stp>
        <tr r="AN12" s="1"/>
      </tp>
      <tp>
        <v>6358195000</v>
        <stp/>
        <stp>PassivoExigivelLp</stp>
        <stp>ABCB4</stp>
        <stp/>
        <stp/>
        <stp>NP</stp>
        <tr r="AP12" s="1"/>
      </tp>
    </main>
    <main first="rtdsrv.0f97f73be2e14eea84440824c6174395">
      <tp>
        <v>0.50160000000000005</v>
        <stp/>
        <stp>Payout</stp>
        <stp>ABCB4</stp>
        <stp/>
        <stp>1</stp>
        <stp/>
        <tr r="BJ12" s="1"/>
      </tp>
    </main>
    <main first="rtdsrv.c3b2adb84f7449e6b4139d8a6a94a82c">
      <tp>
        <v>2500739000</v>
        <stp/>
        <stp>ReceitaLiquidaOperacional</stp>
        <stp>ABCB4</stp>
        <stp/>
        <stp>1</stp>
        <stp>NP</stp>
        <tr r="P12" s="1"/>
      </tp>
    </main>
    <main first="rtdsrv.c3b2adb84f7449e6b4139d8a6a94a82c">
      <tp>
        <v>2.1700000000000001E-2</v>
        <stp/>
        <stp>DividendYield</stp>
        <stp>ABEV3</stp>
        <stp>3T_2017</stp>
        <stp>1</stp>
        <stp/>
        <tr r="AY13" s="1"/>
      </tp>
      <tp>
        <v>0.12330000000000001</v>
        <stp/>
        <stp>DividendYield</stp>
        <stp>ABCB4</stp>
        <stp>4T_2015</stp>
        <stp>1</stp>
        <stp/>
        <tr r="BA12" s="1"/>
      </tp>
      <tp>
        <v>7.1400000000000005E-2</v>
        <stp/>
        <stp>DividendYield</stp>
        <stp>ABCB4</stp>
        <stp>4T_2014</stp>
        <stp>1</stp>
        <stp/>
        <tr r="BB12" s="1"/>
      </tp>
      <tp>
        <v>8.7499999999999994E-2</v>
        <stp/>
        <stp>DividendYield</stp>
        <stp>ABCB4</stp>
        <stp>4T_2016</stp>
        <stp>1</stp>
        <stp/>
        <tr r="AZ12" s="1"/>
      </tp>
      <tp>
        <v>7.5700000000000003E-2</v>
        <stp/>
        <stp>DividendYield</stp>
        <stp>ABCB4</stp>
        <stp>4T_2011</stp>
        <stp>1</stp>
        <stp/>
        <tr r="BE12" s="1"/>
      </tp>
      <tp>
        <v>6.1100000000000002E-2</v>
        <stp/>
        <stp>DividendYield</stp>
        <stp>ABCB4</stp>
        <stp>4T_2010</stp>
        <stp>1</stp>
        <stp/>
        <tr r="BF12" s="1"/>
      </tp>
      <tp>
        <v>0.113</v>
        <stp/>
        <stp>DividendYield</stp>
        <stp>ABCB4</stp>
        <stp>4T_2013</stp>
        <stp>1</stp>
        <stp/>
        <tr r="BC12" s="1"/>
      </tp>
      <tp>
        <v>4.02E-2</v>
        <stp/>
        <stp>DividendYield</stp>
        <stp>ABCB4</stp>
        <stp>4T_2012</stp>
        <stp>1</stp>
        <stp/>
        <tr r="BD12" s="1"/>
      </tp>
      <tp>
        <v>7.4300000000000005E-2</v>
        <stp/>
        <stp>DividendYield</stp>
        <stp>ABCB4</stp>
        <stp>4T_2009</stp>
        <stp>1</stp>
        <stp/>
        <tr r="BG12" s="1"/>
      </tp>
      <tp>
        <v>0.17910000000000001</v>
        <stp/>
        <stp>DividendYield</stp>
        <stp>ABCB4</stp>
        <stp>4T_2008</stp>
        <stp>1</stp>
        <stp/>
        <tr r="BH12" s="1"/>
      </tp>
      <tp>
        <v>5.2699999999999997E-2</v>
        <stp/>
        <stp>DividendYield</stp>
        <stp>ABCB4</stp>
        <stp>4T_2007</stp>
        <stp>1</stp>
        <stp/>
        <tr r="BI12" s="1"/>
      </tp>
      <tp>
        <v>6.4199999999999993E-2</v>
        <stp/>
        <stp>DividendYield</stp>
        <stp>ABCB4</stp>
        <stp>3T_2017</stp>
        <stp>1</stp>
        <stp/>
        <tr r="AY12" s="1"/>
      </tp>
      <tp t="s">
        <v/>
        <stp/>
        <stp>DividendYield</stp>
        <stp>ABEV3</stp>
        <stp>4T_2012</stp>
        <stp>1</stp>
        <stp/>
        <tr r="BD13" s="1"/>
      </tp>
      <tp t="s">
        <v/>
        <stp/>
        <stp>DividendYield</stp>
        <stp>ABEV3</stp>
        <stp>4T_2013</stp>
        <stp>1</stp>
        <stp/>
        <tr r="BC13" s="1"/>
      </tp>
      <tp t="s">
        <v/>
        <stp/>
        <stp>DividendYield</stp>
        <stp>ABEV3</stp>
        <stp>4T_2010</stp>
        <stp>1</stp>
        <stp/>
        <tr r="BF13" s="1"/>
      </tp>
      <tp t="s">
        <v/>
        <stp/>
        <stp>DividendYield</stp>
        <stp>ABEV3</stp>
        <stp>4T_2011</stp>
        <stp>1</stp>
        <stp/>
        <tr r="BE13" s="1"/>
      </tp>
      <tp>
        <v>3.0099999999999998E-2</v>
        <stp/>
        <stp>DividendYield</stp>
        <stp>ABEV3</stp>
        <stp>4T_2016</stp>
        <stp>1</stp>
        <stp/>
        <tr r="AZ13" s="1"/>
      </tp>
      <tp>
        <v>6.0400000000000002E-2</v>
        <stp/>
        <stp>DividendYield</stp>
        <stp>ABEV3</stp>
        <stp>4T_2014</stp>
        <stp>1</stp>
        <stp/>
        <tr r="BB13" s="1"/>
      </tp>
      <tp>
        <v>3.49E-2</v>
        <stp/>
        <stp>DividendYield</stp>
        <stp>ABEV3</stp>
        <stp>4T_2015</stp>
        <stp>1</stp>
        <stp/>
        <tr r="BA13" s="1"/>
      </tp>
      <tp t="s">
        <v/>
        <stp/>
        <stp>DividendYield</stp>
        <stp>ABEV3</stp>
        <stp>4T_2008</stp>
        <stp>1</stp>
        <stp/>
        <tr r="BH13" s="1"/>
      </tp>
      <tp t="s">
        <v/>
        <stp/>
        <stp>DividendYield</stp>
        <stp>ABEV3</stp>
        <stp>4T_2009</stp>
        <stp>1</stp>
        <stp/>
        <tr r="BG13" s="1"/>
      </tp>
      <tp t="s">
        <v/>
        <stp/>
        <stp>DividendYield</stp>
        <stp>ABEV3</stp>
        <stp>4T_2007</stp>
        <stp>1</stp>
        <stp/>
        <tr r="BI13" s="1"/>
      </tp>
    </main>
    <main first="rtdsrv.0f97f73be2e14eea84440824c6174395">
      <tp>
        <v>0.90380000000000005</v>
        <stp/>
        <stp>Payout</stp>
        <stp>ABEV3</stp>
        <stp/>
        <stp>1</stp>
        <stp/>
        <tr r="BJ13" s="1"/>
      </tp>
    </main>
    <main first="rtdsrv.c3b2adb84f7449e6b4139d8a6a94a82c">
      <tp>
        <v>2.46E-2</v>
        <stp/>
        <stp>DividaTotalBrutaPatrimonioLiquido</stp>
        <stp>ABEV3</stp>
        <stp/>
        <stp/>
        <stp>NP</stp>
        <tr r="BP13" s="1"/>
      </tp>
      <tp>
        <v>106665000</v>
        <stp/>
        <stp>ReceitaLiquidaOperacional</stp>
        <stp>AALR3</stp>
        <stp/>
        <stp>1</stp>
        <stp>NP</stp>
        <tr r="P11" s="1"/>
      </tp>
      <tp>
        <v>20800153000</v>
        <stp/>
        <stp>ReceitaLiquidaOperacional</stp>
        <stp>ABEV3</stp>
        <stp/>
        <stp>1</stp>
        <stp>NP</stp>
        <tr r="P13" s="1"/>
      </tp>
    </main>
    <main first="rtdsrv.c3b2adb84f7449e6b4139d8a6a94a82c">
      <tp>
        <v>0.19700000000000001</v>
        <stp/>
        <stp>MargemLiquida</stp>
        <stp>ABCB4</stp>
        <stp>4T_2014</stp>
        <stp>1</stp>
        <stp>SP</stp>
        <tr r="CV12" s="1"/>
      </tp>
      <tp>
        <v>0.1734</v>
        <stp/>
        <stp>MargemLiquida</stp>
        <stp>ABCB4</stp>
        <stp>4T_2015</stp>
        <stp>1</stp>
        <stp>SP</stp>
        <tr r="CU12" s="1"/>
      </tp>
      <tp>
        <v>0.1948</v>
        <stp/>
        <stp>MargemLiquida</stp>
        <stp>ABCB4</stp>
        <stp>4T_2016</stp>
        <stp>1</stp>
        <stp>SP</stp>
        <tr r="CT12" s="1"/>
      </tp>
      <tp>
        <v>0.17369999999999999</v>
        <stp/>
        <stp>MargemLiquida</stp>
        <stp>ABCB4</stp>
        <stp>3T_2017</stp>
        <stp>1</stp>
        <stp>SP</stp>
        <tr r="CS12" s="1"/>
      </tp>
      <tp>
        <v>0.19889999999999999</v>
        <stp/>
        <stp>MargemLiquida</stp>
        <stp>ABCB4</stp>
        <stp>4T_2010</stp>
        <stp>1</stp>
        <stp>SP</stp>
        <tr r="CZ12" s="1"/>
      </tp>
      <tp>
        <v>0.1797</v>
        <stp/>
        <stp>MargemLiquida</stp>
        <stp>ABCB4</stp>
        <stp>4T_2011</stp>
        <stp>1</stp>
        <stp>SP</stp>
        <tr r="CY12" s="1"/>
      </tp>
      <tp>
        <v>0.16389999999999999</v>
        <stp/>
        <stp>MargemLiquida</stp>
        <stp>ABCB4</stp>
        <stp>4T_2012</stp>
        <stp>1</stp>
        <stp>SP</stp>
        <tr r="CX12" s="1"/>
      </tp>
      <tp>
        <v>0.1578</v>
        <stp/>
        <stp>MargemLiquida</stp>
        <stp>ABCB4</stp>
        <stp>4T_2013</stp>
        <stp>1</stp>
        <stp>SP</stp>
        <tr r="CW12" s="1"/>
      </tp>
      <tp>
        <v>24875.95</v>
        <stp/>
        <stp>QtdeNegocio21d</stp>
        <stp>ABEV3</stp>
        <tr r="DP13" s="1"/>
      </tp>
    </main>
    <main first="rtdsrv.c3b2adb84f7449e6b4139d8a6a94a82c">
      <tp>
        <v>0.39860000000000001</v>
        <stp/>
        <stp>MargemLiquida</stp>
        <stp>ABCB4</stp>
        <stp>4T_2007</stp>
        <stp>1</stp>
        <stp>SP</stp>
        <tr r="DC12" s="1"/>
      </tp>
      <tp>
        <v>0.55169999999999997</v>
        <stp/>
        <stp>MargemLiquida</stp>
        <stp>ABCB4</stp>
        <stp>4T_2008</stp>
        <stp>1</stp>
        <stp>SP</stp>
        <tr r="DB12" s="1"/>
      </tp>
      <tp>
        <v>0.42320000000000002</v>
        <stp/>
        <stp>MargemLiquida</stp>
        <stp>ABCB4</stp>
        <stp>4T_2009</stp>
        <stp>1</stp>
        <stp>SP</stp>
        <tr r="DA12" s="1"/>
      </tp>
    </main>
    <main first="rtdsrv.0f97f73be2e14eea84440824c6174395">
      <tp>
        <v>1817483021.2</v>
        <stp/>
        <stp>ValorMercado</stp>
        <stp>AALR3</stp>
        <stp/>
        <stp/>
        <stp/>
        <tr r="AV11" s="1"/>
        <tr r="BK11" s="1"/>
      </tp>
    </main>
    <main first="rtdsrv.bc867788a4164653af6b06ab108c10ea">
      <tp>
        <v>18.7</v>
        <stp/>
        <stp>PrecoUltimo</stp>
        <stp>ABCB4</stp>
        <tr r="DR12" s="1"/>
      </tp>
    </main>
    <main first="rtdsrv.0f97f73be2e14eea84440824c6174395">
      <tp>
        <v>3616312421.6999998</v>
        <stp/>
        <stp>ValorMercado</stp>
        <stp>ABCB4</stp>
        <stp/>
        <stp/>
        <stp/>
        <tr r="AV18" s="1"/>
        <tr r="AV12" s="1"/>
        <tr r="AV16" s="1"/>
        <tr r="BK12" s="1"/>
      </tp>
      <tp>
        <v>351540953837.21997</v>
        <stp/>
        <stp>ValorMercado</stp>
        <stp>ABEV3</stp>
        <stp/>
        <stp/>
        <stp/>
        <tr r="AV13" s="1"/>
        <tr r="BK13" s="1"/>
      </tp>
    </main>
    <main first="rtdsrv.c3b2adb84f7449e6b4139d8a6a94a82c">
      <tp>
        <v>391716000</v>
        <stp/>
        <stp>LucroLiquido</stp>
        <stp>ABCB4</stp>
        <stp>4T_2016</stp>
        <stp>1</stp>
        <stp>SP</stp>
        <tr r="F12" s="1"/>
      </tp>
      <tp>
        <v>416653000</v>
        <stp/>
        <stp>LucroLiquido</stp>
        <stp>ABCB4</stp>
        <stp>3T_2017</stp>
        <stp>1</stp>
        <stp>SP</stp>
        <tr r="E12" s="1"/>
      </tp>
      <tp>
        <v>328379000</v>
        <stp/>
        <stp>LucroLiquido</stp>
        <stp>ABCB4</stp>
        <stp>4T_2014</stp>
        <stp>1</stp>
        <stp>SP</stp>
        <tr r="H12" s="1"/>
      </tp>
      <tp>
        <v>388557000</v>
        <stp/>
        <stp>LucroLiquido</stp>
        <stp>ABCB4</stp>
        <stp>4T_2015</stp>
        <stp>1</stp>
        <stp>SP</stp>
        <tr r="G12" s="1"/>
      </tp>
      <tp>
        <v>240919000</v>
        <stp/>
        <stp>LucroLiquido</stp>
        <stp>ABCB4</stp>
        <stp>4T_2012</stp>
        <stp>1</stp>
        <stp>SP</stp>
        <tr r="J12" s="1"/>
      </tp>
      <tp>
        <v>265417000</v>
        <stp/>
        <stp>LucroLiquido</stp>
        <stp>ABCB4</stp>
        <stp>4T_2013</stp>
        <stp>1</stp>
        <stp>SP</stp>
        <tr r="I12" s="1"/>
      </tp>
      <tp>
        <v>202757000</v>
        <stp/>
        <stp>LucroLiquido</stp>
        <stp>ABCB4</stp>
        <stp>4T_2010</stp>
        <stp>1</stp>
        <stp>SP</stp>
        <tr r="L12" s="1"/>
      </tp>
      <tp>
        <v>235599000</v>
        <stp/>
        <stp>LucroLiquido</stp>
        <stp>ABCB4</stp>
        <stp>4T_2011</stp>
        <stp>1</stp>
        <stp>SP</stp>
        <tr r="K12" s="1"/>
      </tp>
    </main>
    <main first="rtdsrv.c3b2adb84f7449e6b4139d8a6a94a82c">
      <tp>
        <v>150088000</v>
        <stp/>
        <stp>LucroLiquido</stp>
        <stp>ABCB4</stp>
        <stp>4T_2008</stp>
        <stp>1</stp>
        <stp>SP</stp>
        <tr r="N12" s="1"/>
      </tp>
      <tp>
        <v>151154000</v>
        <stp/>
        <stp>LucroLiquido</stp>
        <stp>ABCB4</stp>
        <stp>4T_2009</stp>
        <stp>1</stp>
        <stp>SP</stp>
        <tr r="M12" s="1"/>
      </tp>
      <tp>
        <v>97511000</v>
        <stp/>
        <stp>LucroLiquido</stp>
        <stp>ABCB4</stp>
        <stp>4T_2007</stp>
        <stp>1</stp>
        <stp>SP</stp>
        <tr r="O12" s="1"/>
      </tp>
    </main>
    <main first="rtdsrv.bc867788a4164653af6b06ab108c10ea">
      <tp>
        <v>22.38</v>
        <stp/>
        <stp>PrecoUltimo</stp>
        <stp>ABEV3</stp>
        <tr r="DR13" s="1"/>
      </tp>
    </main>
    <main first="rtdsrv.c3b2adb84f7449e6b4139d8a6a94a82c">
      <tp>
        <v>0.66679999999999995</v>
        <stp/>
        <stp>MargemBruta</stp>
        <stp>ABEV3</stp>
        <stp>4T_2007</stp>
        <stp>1</stp>
        <stp>SP</stp>
        <tr r="DO13" s="1"/>
      </tp>
      <tp>
        <v>0.60299999999999998</v>
        <stp/>
        <stp>MargemBruta</stp>
        <stp>ABEV3</stp>
        <stp>4T_2009</stp>
        <stp>1</stp>
        <stp>SP</stp>
        <tr r="DM13" s="1"/>
      </tp>
      <tp>
        <v>0.65720000000000001</v>
        <stp/>
        <stp>MargemBruta</stp>
        <stp>ABEV3</stp>
        <stp>4T_2008</stp>
        <stp>1</stp>
        <stp>SP</stp>
        <tr r="DN13" s="1"/>
      </tp>
      <tp>
        <v>0.1275</v>
        <stp/>
        <stp>RentabilidadePatrimonioLiquido</stp>
        <stp>ABCB4</stp>
        <stp/>
        <stp>1</stp>
        <stp>NP</stp>
        <tr r="CF12" s="1"/>
      </tp>
    </main>
    <main first="rtdsrv.c3b2adb84f7449e6b4139d8a6a94a82c">
      <tp>
        <v>0.67579999999999996</v>
        <stp/>
        <stp>MargemBruta</stp>
        <stp>ABEV3</stp>
        <stp>4T_2011</stp>
        <stp>1</stp>
        <stp>SP</stp>
        <tr r="DK13" s="1"/>
      </tp>
      <tp>
        <v>0.66520000000000001</v>
        <stp/>
        <stp>MargemBruta</stp>
        <stp>ABEV3</stp>
        <stp>4T_2010</stp>
        <stp>1</stp>
        <stp>SP</stp>
        <tr r="DL13" s="1"/>
      </tp>
      <tp>
        <v>0.6724</v>
        <stp/>
        <stp>MargemBruta</stp>
        <stp>ABEV3</stp>
        <stp>4T_2013</stp>
        <stp>1</stp>
        <stp>SP</stp>
        <tr r="DI13" s="1"/>
      </tp>
      <tp>
        <v>0.68069999999999997</v>
        <stp/>
        <stp>MargemBruta</stp>
        <stp>ABEV3</stp>
        <stp>4T_2012</stp>
        <stp>1</stp>
        <stp>SP</stp>
        <tr r="DJ13" s="1"/>
      </tp>
      <tp>
        <v>0.65620000000000001</v>
        <stp/>
        <stp>MargemBruta</stp>
        <stp>ABEV3</stp>
        <stp>4T_2015</stp>
        <stp>1</stp>
        <stp>SP</stp>
        <tr r="DG13" s="1"/>
      </tp>
      <tp>
        <v>0.66349999999999998</v>
        <stp/>
        <stp>MargemBruta</stp>
        <stp>ABEV3</stp>
        <stp>4T_2014</stp>
        <stp>1</stp>
        <stp>SP</stp>
        <tr r="DH13" s="1"/>
      </tp>
      <tp>
        <v>0.61650000000000005</v>
        <stp/>
        <stp>MargemBruta</stp>
        <stp>ABEV3</stp>
        <stp>3T_2017</stp>
        <stp>1</stp>
        <stp>SP</stp>
        <tr r="DE13" s="1"/>
      </tp>
      <tp>
        <v>0.63429999999999997</v>
        <stp/>
        <stp>MargemBruta</stp>
        <stp>ABEV3</stp>
        <stp>4T_2016</stp>
        <stp>1</stp>
        <stp>SP</stp>
        <tr r="DF13" s="1"/>
      </tp>
    </main>
    <main first="rtdsrv.c3b2adb84f7449e6b4139d8a6a94a82c">
      <tp>
        <v>0.18840000000000001</v>
        <stp/>
        <stp>RentabilidadePatrimonioLiquido</stp>
        <stp>ABEV3</stp>
        <stp/>
        <stp>1</stp>
        <stp>NP</stp>
        <tr r="CF13" s="1"/>
      </tp>
      <tp>
        <v>2.0299999999999999E-2</v>
        <stp/>
        <stp>RentabilidadePatrimonioLiquido</stp>
        <stp>AALR3</stp>
        <stp/>
        <stp>1</stp>
        <stp>NP</stp>
        <tr r="CF11" s="1"/>
      </tp>
      <tp t="s">
        <v/>
        <stp/>
        <stp>MargemBruta</stp>
        <stp>AALR3</stp>
        <stp>4T_2007</stp>
        <stp>1</stp>
        <stp>SP</stp>
        <tr r="DO11" s="1"/>
      </tp>
      <tp t="s">
        <v/>
        <stp/>
        <stp>MargemBruta</stp>
        <stp>AALR3</stp>
        <stp>4T_2009</stp>
        <stp>1</stp>
        <stp>SP</stp>
        <tr r="DM11" s="1"/>
      </tp>
      <tp t="s">
        <v/>
        <stp/>
        <stp>MargemBruta</stp>
        <stp>AALR3</stp>
        <stp>4T_2008</stp>
        <stp>1</stp>
        <stp>SP</stp>
        <tr r="DN11" s="1"/>
      </tp>
      <tp>
        <v>22524244000</v>
        <stp/>
        <stp>AtivoCirculante</stp>
        <stp>ABCB4</stp>
        <stp/>
        <stp/>
        <stp>NP</stp>
        <tr r="AO12" s="1"/>
      </tp>
      <tp t="s">
        <v/>
        <stp/>
        <stp>MargemBruta</stp>
        <stp>AALR3</stp>
        <stp>4T_2011</stp>
        <stp>1</stp>
        <stp>SP</stp>
        <tr r="DK11" s="1"/>
      </tp>
      <tp t="s">
        <v/>
        <stp/>
        <stp>MargemBruta</stp>
        <stp>AALR3</stp>
        <stp>4T_2010</stp>
        <stp>1</stp>
        <stp>SP</stp>
        <tr r="DL11" s="1"/>
      </tp>
      <tp t="s">
        <v/>
        <stp/>
        <stp>MargemBruta</stp>
        <stp>AALR3</stp>
        <stp>4T_2013</stp>
        <stp>1</stp>
        <stp>SP</stp>
        <tr r="DI11" s="1"/>
      </tp>
      <tp t="s">
        <v/>
        <stp/>
        <stp>MargemBruta</stp>
        <stp>AALR3</stp>
        <stp>4T_2012</stp>
        <stp>1</stp>
        <stp>SP</stp>
        <tr r="DJ11" s="1"/>
      </tp>
      <tp>
        <v>0.39660000000000001</v>
        <stp/>
        <stp>MargemBruta</stp>
        <stp>AALR3</stp>
        <stp>4T_2015</stp>
        <stp>1</stp>
        <stp>SP</stp>
        <tr r="DG11" s="1"/>
      </tp>
      <tp t="s">
        <v/>
        <stp/>
        <stp>MargemBruta</stp>
        <stp>AALR3</stp>
        <stp>4T_2014</stp>
        <stp>1</stp>
        <stp>SP</stp>
        <tr r="DH11" s="1"/>
      </tp>
      <tp t="s">
        <v/>
        <stp/>
        <stp>MargemBruta</stp>
        <stp>AALR3</stp>
        <stp>3T_2017</stp>
        <stp>1</stp>
        <stp>SP</stp>
        <tr r="DE11" s="1"/>
      </tp>
      <tp>
        <v>0.37880000000000003</v>
        <stp/>
        <stp>MargemBruta</stp>
        <stp>AALR3</stp>
        <stp>4T_2016</stp>
        <stp>1</stp>
        <stp>SP</stp>
        <tr r="DF11" s="1"/>
      </tp>
    </main>
    <main first="rtdsrv.bc867788a4164653af6b06ab108c10ea">
      <tp>
        <v>15.4</v>
        <stp/>
        <stp>PrecoUltimo</stp>
        <stp>AALR3</stp>
        <tr r="DR11" s="1"/>
      </tp>
    </main>
    <main first="rtdsrv.c3b2adb84f7449e6b4139d8a6a94a82c">
      <tp t="s">
        <v/>
        <stp/>
        <stp>LucroLiquido</stp>
        <stp>ABEV3</stp>
        <stp>1T_2018</stp>
        <stp>1</stp>
        <stp>SP</stp>
        <tr r="D21" s="1"/>
      </tp>
    </main>
    <main first="rtdsrv.c3b2adb84f7449e6b4139d8a6a94a82c">
      <tp>
        <v>8719764000</v>
        <stp/>
        <stp>LucroLiquido</stp>
        <stp>ABEV3</stp>
        <stp>4T_2011</stp>
        <stp>1</stp>
        <stp>SP</stp>
        <tr r="K13" s="1"/>
      </tp>
      <tp>
        <v>7619243000</v>
        <stp/>
        <stp>LucroLiquido</stp>
        <stp>ABEV3</stp>
        <stp>4T_2010</stp>
        <stp>1</stp>
        <stp>SP</stp>
        <tr r="L13" s="1"/>
      </tp>
      <tp>
        <v>11354070000</v>
        <stp/>
        <stp>LucroLiquido</stp>
        <stp>ABEV3</stp>
        <stp>4T_2013</stp>
        <stp>1</stp>
        <stp>SP</stp>
        <tr r="I13" s="1"/>
      </tp>
      <tp>
        <v>10642555000</v>
        <stp/>
        <stp>LucroLiquido</stp>
        <stp>ABEV3</stp>
        <stp>4T_2012</stp>
        <stp>1</stp>
        <stp>SP</stp>
        <tr r="J13" s="1"/>
      </tp>
      <tp>
        <v>12879141000</v>
        <stp/>
        <stp>LucroLiquido</stp>
        <stp>ABEV3</stp>
        <stp>4T_2015</stp>
        <stp>1</stp>
        <stp>SP</stp>
        <tr r="G13" s="1"/>
      </tp>
    </main>
    <main first="rtdsrv.c3b2adb84f7449e6b4139d8a6a94a82c">
      <tp>
        <v>12362019000</v>
        <stp/>
        <stp>LucroLiquido</stp>
        <stp>ABEV3</stp>
        <stp>4T_2014</stp>
        <stp>1</stp>
        <stp>SP</stp>
        <tr r="H13" s="1"/>
      </tp>
      <tp t="s">
        <v/>
        <stp/>
        <stp>LucroLiquido</stp>
        <stp>ABEV3</stp>
        <stp>4T_2017</stp>
        <stp>1</stp>
        <stp>SP</stp>
        <tr r="E21" s="1"/>
      </tp>
      <tp>
        <v>2124833000</v>
        <stp/>
        <stp>LucroLiquido</stp>
        <stp>ABEV3</stp>
        <stp>2T_2017</stp>
        <stp>2</stp>
        <stp>SP</stp>
        <tr r="D22" s="1"/>
      </tp>
      <tp>
        <v>136490000</v>
        <stp/>
        <stp>LucroLiquido</stp>
        <stp>ABEV3</stp>
        <stp>3T_2017</stp>
        <stp>2</stp>
        <stp>SP</stp>
        <tr r="E22" s="1"/>
      </tp>
      <tp>
        <v>9384888000</v>
        <stp/>
        <stp>LucroLiquido</stp>
        <stp>ABEV3</stp>
        <stp>3T_2017</stp>
        <stp>1</stp>
        <stp>SP</stp>
        <tr r="E13" s="1"/>
        <tr r="F21" s="1"/>
      </tp>
      <tp>
        <v>2289831000</v>
        <stp/>
        <stp>LucroLiquido</stp>
        <stp>ABEV3</stp>
        <stp>1T_2017</stp>
        <stp>2</stp>
        <stp>SP</stp>
        <tr r="AV22" s="1"/>
      </tp>
      <tp>
        <v>12431547000</v>
        <stp/>
        <stp>LucroLiquido</stp>
        <stp>ABEV3</stp>
        <stp>2T_2017</stp>
        <stp>1</stp>
        <stp>SP</stp>
        <tr r="G21" s="1"/>
      </tp>
      <tp>
        <v>13083397000</v>
        <stp/>
        <stp>LucroLiquido</stp>
        <stp>ABEV3</stp>
        <stp>4T_2016</stp>
        <stp>1</stp>
        <stp>SP</stp>
        <tr r="F13" s="1"/>
      </tp>
      <tp>
        <v>4833734000</v>
        <stp/>
        <stp>LucroLiquido</stp>
        <stp>ABEV3</stp>
        <stp>4T_2016</stp>
        <stp>2</stp>
        <stp>SP</stp>
        <tr r="F22" s="1"/>
      </tp>
    </main>
    <main first="rtdsrv.c3b2adb84f7449e6b4139d8a6a94a82c">
      <tp>
        <v>5959937000</v>
        <stp/>
        <stp>LucroLiquido</stp>
        <stp>ABEV3</stp>
        <stp>4T_2009</stp>
        <stp>1</stp>
        <stp>SP</stp>
        <tr r="M13" s="1"/>
      </tp>
      <tp>
        <v>3059478000</v>
        <stp/>
        <stp>LucroLiquido</stp>
        <stp>ABEV3</stp>
        <stp>4T_2008</stp>
        <stp>1</stp>
        <stp>SP</stp>
        <tr r="N13" s="1"/>
      </tp>
    </main>
    <main first="rtdsrv.c3b2adb84f7449e6b4139d8a6a94a82c">
      <tp>
        <v>2816407000</v>
        <stp/>
        <stp>LucroLiquido</stp>
        <stp>ABEV3</stp>
        <stp>4T_2007</stp>
        <stp>1</stp>
        <stp>SP</stp>
        <tr r="O13" s="1"/>
      </tp>
    </main>
    <main first="rtdsrv.c3b2adb84f7449e6b4139d8a6a94a82c">
      <tp t="s">
        <v/>
        <stp/>
        <stp>LucroLiquido</stp>
        <stp>AALR3</stp>
        <stp>4T_2011</stp>
        <stp>1</stp>
        <stp>SP</stp>
        <tr r="K11" s="1"/>
      </tp>
      <tp t="s">
        <v/>
        <stp/>
        <stp>LucroLiquido</stp>
        <stp>AALR3</stp>
        <stp>4T_2010</stp>
        <stp>1</stp>
        <stp>SP</stp>
        <tr r="L11" s="1"/>
      </tp>
      <tp t="s">
        <v/>
        <stp/>
        <stp>LucroLiquido</stp>
        <stp>AALR3</stp>
        <stp>4T_2013</stp>
        <stp>1</stp>
        <stp>SP</stp>
        <tr r="I11" s="1"/>
      </tp>
      <tp t="s">
        <v/>
        <stp/>
        <stp>LucroLiquido</stp>
        <stp>AALR3</stp>
        <stp>4T_2012</stp>
        <stp>1</stp>
        <stp>SP</stp>
        <tr r="J11" s="1"/>
      </tp>
      <tp>
        <v>-11429000</v>
        <stp/>
        <stp>LucroLiquido</stp>
        <stp>AALR3</stp>
        <stp>4T_2015</stp>
        <stp>1</stp>
        <stp>SP</stp>
        <tr r="G11" s="1"/>
      </tp>
      <tp t="s">
        <v/>
        <stp/>
        <stp>LucroLiquido</stp>
        <stp>AALR3</stp>
        <stp>4T_2014</stp>
        <stp>1</stp>
        <stp>SP</stp>
        <tr r="H11" s="1"/>
      </tp>
      <tp t="s">
        <v/>
        <stp/>
        <stp>LucroLiquido</stp>
        <stp>AALR3</stp>
        <stp>3T_2017</stp>
        <stp>1</stp>
        <stp>SP</stp>
        <tr r="E11" s="1"/>
      </tp>
      <tp>
        <v>28767000</v>
        <stp/>
        <stp>LucroLiquido</stp>
        <stp>AALR3</stp>
        <stp>4T_2016</stp>
        <stp>1</stp>
        <stp>SP</stp>
        <tr r="F11" s="1"/>
      </tp>
    </main>
    <main first="rtdsrv.c3b2adb84f7449e6b4139d8a6a94a82c">
      <tp t="s">
        <v/>
        <stp/>
        <stp>LucroLiquido</stp>
        <stp>AALR3</stp>
        <stp>4T_2009</stp>
        <stp>1</stp>
        <stp>SP</stp>
        <tr r="M11" s="1"/>
      </tp>
      <tp t="s">
        <v/>
        <stp/>
        <stp>LucroLiquido</stp>
        <stp>AALR3</stp>
        <stp>4T_2008</stp>
        <stp>1</stp>
        <stp>SP</stp>
        <tr r="N11" s="1"/>
      </tp>
    </main>
    <main first="rtdsrv.c3b2adb84f7449e6b4139d8a6a94a82c">
      <tp t="s">
        <v/>
        <stp/>
        <stp>LucroLiquido</stp>
        <stp>AALR3</stp>
        <stp>4T_2007</stp>
        <stp>1</stp>
        <stp>SP</stp>
        <tr r="O11" s="1"/>
      </tp>
    </main>
    <main first="rtdsrv.c3b2adb84f7449e6b4139d8a6a94a82c">
      <tp>
        <v>10423848000</v>
        <stp/>
        <stp>AtivoCirculante</stp>
        <stp>ABEV3</stp>
        <stp/>
        <stp/>
        <stp>NP</stp>
        <tr r="AO13" s="1"/>
      </tp>
    </main>
    <main first="rtdsrv.c3b2adb84f7449e6b4139d8a6a94a82c">
      <tp>
        <v>0.49280000000000002</v>
        <stp/>
        <stp>MargemBruta</stp>
        <stp>ABCB4</stp>
        <stp>4T_2007</stp>
        <stp>1</stp>
        <stp>SP</stp>
        <tr r="DO12" s="1"/>
      </tp>
      <tp>
        <v>55743000</v>
        <stp/>
        <stp>AtivoCirculante</stp>
        <stp>AALR3</stp>
        <stp/>
        <stp/>
        <stp>NP</stp>
        <tr r="AO11" s="1"/>
      </tp>
      <tp>
        <v>0.25459999999999999</v>
        <stp/>
        <stp>MargemBruta</stp>
        <stp>ABCB4</stp>
        <stp>4T_2008</stp>
        <stp>1</stp>
        <stp>SP</stp>
        <tr r="DN12" s="1"/>
      </tp>
      <tp>
        <v>0.4874</v>
        <stp/>
        <stp>MargemBruta</stp>
        <stp>ABCB4</stp>
        <stp>4T_2009</stp>
        <stp>1</stp>
        <stp>SP</stp>
        <tr r="DM12" s="1"/>
      </tp>
    </main>
    <main first="rtdsrv.c3b2adb84f7449e6b4139d8a6a94a82c">
      <tp>
        <v>0.18210000000000001</v>
        <stp/>
        <stp>MargemBruta</stp>
        <stp>ABCB4</stp>
        <stp>4T_2016</stp>
        <stp>1</stp>
        <stp>SP</stp>
        <tr r="DF12" s="1"/>
      </tp>
      <tp>
        <v>0.2802</v>
        <stp/>
        <stp>MargemBruta</stp>
        <stp>ABCB4</stp>
        <stp>3T_2017</stp>
        <stp>1</stp>
        <stp>SP</stp>
        <tr r="DE12" s="1"/>
      </tp>
      <tp>
        <v>0.1137</v>
        <stp/>
        <stp>MargemBruta</stp>
        <stp>ABCB4</stp>
        <stp>4T_2014</stp>
        <stp>1</stp>
        <stp>SP</stp>
        <tr r="DH12" s="1"/>
      </tp>
      <tp>
        <v>0.41470000000000001</v>
        <stp/>
        <stp>MargemBruta</stp>
        <stp>ABCB4</stp>
        <stp>4T_2015</stp>
        <stp>1</stp>
        <stp>SP</stp>
        <tr r="DG12" s="1"/>
      </tp>
      <tp>
        <v>0.29430000000000001</v>
        <stp/>
        <stp>MargemBruta</stp>
        <stp>ABCB4</stp>
        <stp>4T_2012</stp>
        <stp>1</stp>
        <stp>SP</stp>
        <tr r="DJ12" s="1"/>
      </tp>
      <tp>
        <v>0.16600000000000001</v>
        <stp/>
        <stp>MargemBruta</stp>
        <stp>ABCB4</stp>
        <stp>4T_2013</stp>
        <stp>1</stp>
        <stp>SP</stp>
        <tr r="DI12" s="1"/>
      </tp>
      <tp>
        <v>0.39760000000000001</v>
        <stp/>
        <stp>MargemBruta</stp>
        <stp>ABCB4</stp>
        <stp>4T_2010</stp>
        <stp>1</stp>
        <stp>SP</stp>
        <tr r="DL12" s="1"/>
      </tp>
      <tp>
        <v>0.3463</v>
        <stp/>
        <stp>MargemBruta</stp>
        <stp>ABCB4</stp>
        <stp>4T_2011</stp>
        <stp>1</stp>
        <stp>SP</stp>
        <tr r="DK12" s="1"/>
      </tp>
    </main>
    <main first="rtdsrv.0f97f73be2e14eea84440824c6174395">
      <tp>
        <v>1.1011</v>
        <stp/>
        <stp>PrecoValorPatrimonial</stp>
        <stp>ABCB4</stp>
        <stp/>
        <stp/>
        <stp>NP</stp>
        <tr r="AW12" s="1"/>
      </tp>
    </main>
    <main first="rtdsrv.c3b2adb84f7449e6b4139d8a6a94a82c">
      <tp>
        <v>1.2221</v>
        <stp/>
        <stp>LiquidezCorrente</stp>
        <stp>AALR3</stp>
        <stp>4T_2016</stp>
        <stp/>
        <stp>SP</stp>
        <tr r="BN11" s="1"/>
      </tp>
      <tp>
        <v>1.1548</v>
        <stp/>
        <stp>LiquidezCorrente</stp>
        <stp>AALR3</stp>
        <stp>4T_2015</stp>
        <stp/>
        <stp>SP</stp>
        <tr r="BO11" s="1"/>
      </tp>
      <tp t="s">
        <v/>
        <stp/>
        <stp>LiquidezCorrente</stp>
        <stp>AALR3</stp>
        <stp>3T_2017</stp>
        <stp/>
        <stp>SP</stp>
        <tr r="BM11" s="1"/>
      </tp>
    </main>
    <main first="rtdsrv.c3b2adb84f7449e6b4139d8a6a94a82c">
      <tp>
        <v>0.83020000000000005</v>
        <stp/>
        <stp>LiquidezCorrente</stp>
        <stp>ABEV3</stp>
        <stp>4T_2016</stp>
        <stp/>
        <stp>SP</stp>
        <tr r="BN13" s="1"/>
      </tp>
      <tp>
        <v>0.93940000000000001</v>
        <stp/>
        <stp>LiquidezCorrente</stp>
        <stp>ABEV3</stp>
        <stp>4T_2015</stp>
        <stp/>
        <stp>SP</stp>
        <tr r="BO13" s="1"/>
      </tp>
      <tp>
        <v>1.2743</v>
        <stp/>
        <stp>LiquidezCorrente</stp>
        <stp>ABCB4</stp>
        <stp>3T_2017</stp>
        <stp/>
        <stp>SP</stp>
        <tr r="BM12" s="1"/>
      </tp>
    </main>
    <main first="rtdsrv.c3b2adb84f7449e6b4139d8a6a94a82c">
      <tp>
        <v>0.05</v>
        <stp/>
        <stp>LiquidezCorrente</stp>
        <stp>ABCB4</stp>
        <stp>4T_2015</stp>
        <stp/>
        <stp>SP</stp>
        <tr r="BO12" s="1"/>
      </tp>
      <tp>
        <v>1.2500000000000001E-2</v>
        <stp/>
        <stp>LiquidezCorrente</stp>
        <stp>ABCB4</stp>
        <stp>4T_2016</stp>
        <stp/>
        <stp>SP</stp>
        <tr r="BN12" s="1"/>
      </tp>
      <tp>
        <v>0.94669999999999999</v>
        <stp/>
        <stp>LiquidezCorrente</stp>
        <stp>ABEV3</stp>
        <stp>3T_2017</stp>
        <stp/>
        <stp>SP</stp>
        <tr r="BM13" s="1"/>
      </tp>
    </main>
    <main first="rtdsrv.c3b2adb84f7449e6b4139d8a6a94a82c">
      <tp t="s">
        <v/>
        <stp/>
        <stp>PatrimonioLiquido</stp>
        <stp>AALR3</stp>
        <stp>3T_2017</stp>
        <stp/>
        <stp>SP</stp>
        <tr r="AC11" s="1"/>
      </tp>
    </main>
    <main first="rtdsrv.0f97f73be2e14eea84440824c6174395">
      <tp>
        <v>1.4772000000000001</v>
        <stp/>
        <stp>PrecoValorPatrimonial</stp>
        <stp>AALR3</stp>
        <stp/>
        <stp/>
        <stp>NP</stp>
        <tr r="AW11" s="1"/>
      </tp>
    </main>
    <main first="rtdsrv.c3b2adb84f7449e6b4139d8a6a94a82c">
      <tp t="s">
        <v>CENTRO DE IMAGEM DIAGNOSTICOS S.A.</v>
        <stp/>
        <stp>RazaoSocial</stp>
        <stp>AALR3</stp>
        <stp/>
        <stp/>
        <stp/>
        <tr r="B11" s="1"/>
      </tp>
      <tp t="s">
        <v/>
        <stp/>
        <stp>PatrimonioLiquido</stp>
        <stp>AALR3</stp>
        <stp>4T_2011</stp>
        <stp/>
        <stp>SP</stp>
        <tr r="AI11" s="1"/>
      </tp>
      <tp t="s">
        <v/>
        <stp/>
        <stp>PatrimonioLiquido</stp>
        <stp>AALR3</stp>
        <stp>4T_2010</stp>
        <stp/>
        <stp>SP</stp>
        <tr r="AJ11" s="1"/>
      </tp>
      <tp t="s">
        <v/>
        <stp/>
        <stp>PatrimonioLiquido</stp>
        <stp>AALR3</stp>
        <stp>4T_2013</stp>
        <stp/>
        <stp>SP</stp>
        <tr r="AG11" s="1"/>
      </tp>
      <tp t="s">
        <v/>
        <stp/>
        <stp>PatrimonioLiquido</stp>
        <stp>AALR3</stp>
        <stp>4T_2012</stp>
        <stp/>
        <stp>SP</stp>
        <tr r="AH11" s="1"/>
      </tp>
      <tp>
        <v>733000000</v>
        <stp/>
        <stp>PatrimonioLiquido</stp>
        <stp>AALR3</stp>
        <stp>4T_2015</stp>
        <stp/>
        <stp>SP</stp>
        <tr r="AE11" s="1"/>
      </tp>
      <tp t="s">
        <v/>
        <stp/>
        <stp>PatrimonioLiquido</stp>
        <stp>AALR3</stp>
        <stp>4T_2014</stp>
        <stp/>
        <stp>SP</stp>
        <tr r="AF11" s="1"/>
      </tp>
      <tp>
        <v>1211935000</v>
        <stp/>
        <stp>PatrimonioLiquido</stp>
        <stp>AALR3</stp>
        <stp>4T_2016</stp>
        <stp/>
        <stp>SP</stp>
        <tr r="AD11" s="1"/>
      </tp>
      <tp t="s">
        <v/>
        <stp/>
        <stp>PatrimonioLiquido</stp>
        <stp>AALR3</stp>
        <stp>4T_2009</stp>
        <stp/>
        <stp>SP</stp>
        <tr r="AK11" s="1"/>
      </tp>
      <tp t="s">
        <v/>
        <stp/>
        <stp>PatrimonioLiquido</stp>
        <stp>AALR3</stp>
        <stp>4T_2008</stp>
        <stp/>
        <stp>SP</stp>
        <tr r="AL11" s="1"/>
      </tp>
      <tp t="s">
        <v/>
        <stp/>
        <stp>PatrimonioLiquido</stp>
        <stp>AALR3</stp>
        <stp>4T_2007</stp>
        <stp/>
        <stp>SP</stp>
        <tr r="AM11" s="1"/>
      </tp>
    </main>
    <main first="rtdsrv.0f97f73be2e14eea84440824c6174395">
      <tp t="s">
        <v/>
        <stp/>
        <stp>DividendYield</stp>
        <stp>AALR3</stp>
        <stp/>
        <stp>1</stp>
        <stp/>
        <tr r="AX11" s="1"/>
      </tp>
    </main>
    <main first="rtdsrv.c3b2adb84f7449e6b4139d8a6a94a82c">
      <tp t="s">
        <v>BCO ABC BRASIL S.A.</v>
        <stp/>
        <stp>RazaoSocial</stp>
        <stp>ABCB4</stp>
        <stp/>
        <stp/>
        <stp/>
        <tr r="B12" s="1"/>
      </tp>
    </main>
    <main first="rtdsrv.0f97f73be2e14eea84440824c6174395">
      <tp>
        <v>7.4532999999999996</v>
        <stp/>
        <stp>PrecoValorPatrimonial</stp>
        <stp>ABEV3</stp>
        <stp/>
        <stp/>
        <stp>NP</stp>
        <tr r="AW13" s="1"/>
      </tp>
    </main>
    <main first="rtdsrv.c3b2adb84f7449e6b4139d8a6a94a82c">
      <tp t="s">
        <v>AMBEV S.A.</v>
        <stp/>
        <stp>RazaoSocial</stp>
        <stp>ABEV3</stp>
        <stp/>
        <stp/>
        <stp/>
        <tr r="B13" s="1"/>
      </tp>
    </main>
    <main first="rtdsrv.c3b2adb84f7449e6b4139d8a6a94a82c">
      <tp>
        <v>48939678000</v>
        <stp/>
        <stp>PatrimonioLiquido</stp>
        <stp>ABEV3</stp>
        <stp>3T_2017</stp>
        <stp/>
        <stp>SP</stp>
        <tr r="AC13" s="1"/>
      </tp>
    </main>
    <main first="rtdsrv.c3b2adb84f7449e6b4139d8a6a94a82c">
      <tp>
        <v>2994121000</v>
        <stp/>
        <stp>PatrimonioLiquido</stp>
        <stp>ABCB4</stp>
        <stp>4T_2016</stp>
        <stp/>
        <stp>SP</stp>
        <tr r="AD12" s="1"/>
      </tp>
      <tp>
        <v>2284769000</v>
        <stp/>
        <stp>PatrimonioLiquido</stp>
        <stp>ABCB4</stp>
        <stp>4T_2014</stp>
        <stp/>
        <stp>SP</stp>
        <tr r="AF12" s="1"/>
      </tp>
      <tp>
        <v>2633973000</v>
        <stp/>
        <stp>PatrimonioLiquido</stp>
        <stp>ABCB4</stp>
        <stp>4T_2015</stp>
        <stp/>
        <stp>SP</stp>
        <tr r="AE12" s="1"/>
      </tp>
      <tp>
        <v>1735481000</v>
        <stp/>
        <stp>PatrimonioLiquido</stp>
        <stp>ABCB4</stp>
        <stp>4T_2012</stp>
        <stp/>
        <stp>SP</stp>
        <tr r="AH12" s="1"/>
      </tp>
      <tp>
        <v>1973838000</v>
        <stp/>
        <stp>PatrimonioLiquido</stp>
        <stp>ABCB4</stp>
        <stp>4T_2013</stp>
        <stp/>
        <stp>SP</stp>
        <tr r="AG12" s="1"/>
      </tp>
      <tp>
        <v>1385801000</v>
        <stp/>
        <stp>PatrimonioLiquido</stp>
        <stp>ABCB4</stp>
        <stp>4T_2010</stp>
        <stp/>
        <stp>SP</stp>
        <tr r="AJ12" s="1"/>
      </tp>
      <tp>
        <v>1539616000</v>
        <stp/>
        <stp>PatrimonioLiquido</stp>
        <stp>ABCB4</stp>
        <stp>4T_2011</stp>
        <stp/>
        <stp>SP</stp>
        <tr r="AI12" s="1"/>
      </tp>
      <tp>
        <v>1161740000</v>
        <stp/>
        <stp>PatrimonioLiquido</stp>
        <stp>ABCB4</stp>
        <stp>4T_2008</stp>
        <stp/>
        <stp>SP</stp>
        <tr r="AL12" s="1"/>
      </tp>
      <tp>
        <v>1218441000</v>
        <stp/>
        <stp>PatrimonioLiquido</stp>
        <stp>ABCB4</stp>
        <stp>4T_2009</stp>
        <stp/>
        <stp>SP</stp>
        <tr r="AK12" s="1"/>
      </tp>
      <tp>
        <v>1085582000</v>
        <stp/>
        <stp>PatrimonioLiquido</stp>
        <stp>ABCB4</stp>
        <stp>4T_2007</stp>
        <stp/>
        <stp>SP</stp>
        <tr r="AM12" s="1"/>
      </tp>
    </main>
    <main first="rtdsrv.0f97f73be2e14eea84440824c6174395">
      <tp>
        <v>5.8099999999999999E-2</v>
        <stp/>
        <stp>DividendYield</stp>
        <stp>ABCB4</stp>
        <stp/>
        <stp>1</stp>
        <stp/>
        <tr r="AX12" s="1"/>
      </tp>
    </main>
    <main first="rtdsrv.c3b2adb84f7449e6b4139d8a6a94a82c">
      <tp>
        <v>3228438000</v>
        <stp/>
        <stp>PatrimonioLiquido</stp>
        <stp>ABCB4</stp>
        <stp>3T_2017</stp>
        <stp/>
        <stp>SP</stp>
        <tr r="AC12" s="1"/>
      </tp>
    </main>
    <main first="rtdsrv.c3b2adb84f7449e6b4139d8a6a94a82c">
      <tp>
        <v>25828845000</v>
        <stp/>
        <stp>PatrimonioLiquido</stp>
        <stp>ABEV3</stp>
        <stp>4T_2011</stp>
        <stp/>
        <stp>SP</stp>
        <tr r="AI13" s="1"/>
      </tp>
      <tp>
        <v>24564842000</v>
        <stp/>
        <stp>PatrimonioLiquido</stp>
        <stp>ABEV3</stp>
        <stp>4T_2010</stp>
        <stp/>
        <stp>SP</stp>
        <tr r="AJ13" s="1"/>
      </tp>
      <tp>
        <v>43997398000</v>
        <stp/>
        <stp>PatrimonioLiquido</stp>
        <stp>ABEV3</stp>
        <stp>4T_2013</stp>
        <stp/>
        <stp>SP</stp>
        <tr r="AG13" s="1"/>
      </tp>
      <tp>
        <v>29923817000</v>
        <stp/>
        <stp>PatrimonioLiquido</stp>
        <stp>ABEV3</stp>
        <stp>4T_2012</stp>
        <stp/>
        <stp>SP</stp>
        <tr r="AH13" s="1"/>
      </tp>
      <tp>
        <v>50333633000</v>
        <stp/>
        <stp>PatrimonioLiquido</stp>
        <stp>ABEV3</stp>
        <stp>4T_2015</stp>
        <stp/>
        <stp>SP</stp>
        <tr r="AE13" s="1"/>
      </tp>
      <tp>
        <v>43644669000</v>
        <stp/>
        <stp>PatrimonioLiquido</stp>
        <stp>ABEV3</stp>
        <stp>4T_2014</stp>
        <stp/>
        <stp>SP</stp>
        <tr r="AF13" s="1"/>
      </tp>
      <tp>
        <v>46651273000</v>
        <stp/>
        <stp>PatrimonioLiquido</stp>
        <stp>ABEV3</stp>
        <stp>4T_2016</stp>
        <stp/>
        <stp>SP</stp>
        <tr r="AD13" s="1"/>
      </tp>
      <tp>
        <v>19243058000</v>
        <stp/>
        <stp>PatrimonioLiquido</stp>
        <stp>ABEV3</stp>
        <stp>4T_2009</stp>
        <stp/>
        <stp>SP</stp>
        <tr r="AK13" s="1"/>
      </tp>
      <tp>
        <v>17278138000</v>
        <stp/>
        <stp>PatrimonioLiquido</stp>
        <stp>ABEV3</stp>
        <stp>4T_2008</stp>
        <stp/>
        <stp>SP</stp>
        <tr r="AL13" s="1"/>
      </tp>
      <tp>
        <v>17419950000</v>
        <stp/>
        <stp>PatrimonioLiquido</stp>
        <stp>ABEV3</stp>
        <stp>4T_2007</stp>
        <stp/>
        <stp>SP</stp>
        <tr r="AM13" s="1"/>
      </tp>
    </main>
    <main first="rtdsrv.0f97f73be2e14eea84440824c6174395">
      <tp>
        <v>2.41E-2</v>
        <stp/>
        <stp>DividendYield</stp>
        <stp>ABEV3</stp>
        <stp/>
        <stp>1</stp>
        <stp/>
        <tr r="AX13" s="1"/>
      </tp>
    </main>
    <main first="rtdsrv.c3b2adb84f7449e6b4139d8a6a94a82c">
      <tp>
        <v>16.78</v>
        <stp/>
        <stp>FechamentoData</stp>
        <stp>ABEV3</stp>
        <stp>31/12/2015</stp>
        <stp/>
        <stp/>
        <tr r="DU13" s="1"/>
      </tp>
      <tp t="s">
        <v/>
        <stp/>
        <stp>FechamentoData</stp>
        <stp>AALR3</stp>
        <stp>31/12/2011</stp>
        <stp/>
        <stp/>
        <tr r="DY11" s="1"/>
      </tp>
      <tp>
        <v>418733000</v>
        <stp/>
        <stp>LucroLiquido</stp>
        <stp>ABCB4</stp>
        <stp/>
        <stp>1</stp>
        <stp>NP</stp>
        <tr r="AV16" s="1"/>
        <tr r="D12" s="1"/>
      </tp>
      <tp>
        <v>14.81</v>
        <stp/>
        <stp>FechamentoData</stp>
        <stp>ABEV3</stp>
        <stp>31/12/2014</stp>
        <stp/>
        <stp/>
        <tr r="DV13" s="1"/>
      </tp>
      <tp t="s">
        <v/>
        <stp/>
        <stp>FechamentoData</stp>
        <stp>AALR3</stp>
        <stp>31/12/2010</stp>
        <stp/>
        <stp/>
        <tr r="DZ11" s="1"/>
      </tp>
      <tp>
        <v>21.21</v>
        <stp/>
        <stp>FechamentoData</stp>
        <stp>ABEV3</stp>
        <stp>31/12/2017</stp>
        <stp/>
        <stp/>
        <tr r="DS13" s="1"/>
      </tp>
      <tp>
        <v>3.57</v>
        <stp/>
        <stp>FechamentoData</stp>
        <stp>ABEV3</stp>
        <stp>31/12/2007</stp>
        <stp/>
        <stp/>
        <tr r="EC13" s="1"/>
      </tp>
      <tp t="s">
        <v/>
        <stp/>
        <stp>FechamentoData</stp>
        <stp>AALR3</stp>
        <stp>31/12/2013</stp>
        <stp/>
        <stp/>
        <tr r="DW11" s="1"/>
      </tp>
    </main>
    <main first="rtdsrv.c3b2adb84f7449e6b4139d8a6a94a82c">
      <tp>
        <v>15.94</v>
        <stp/>
        <stp>FechamentoData</stp>
        <stp>ABEV3</stp>
        <stp>31/12/2016</stp>
        <stp/>
        <stp/>
        <tr r="DT13" s="1"/>
      </tp>
      <tp t="s">
        <v/>
        <stp/>
        <stp>FechamentoData</stp>
        <stp>AALR3</stp>
        <stp>31/12/2012</stp>
        <stp/>
        <stp/>
        <tr r="DX11" s="1"/>
      </tp>
    </main>
    <main first="rtdsrv.c3b2adb84f7449e6b4139d8a6a94a82c">
      <tp>
        <v>11.04</v>
        <stp/>
        <stp>FechamentoData</stp>
        <stp>ABEV3</stp>
        <stp>31/12/2011</stp>
        <stp/>
        <stp/>
        <tr r="DY13" s="1"/>
      </tp>
      <tp t="s">
        <v/>
        <stp/>
        <stp>FechamentoData</stp>
        <stp>AALR3</stp>
        <stp>31/12/2015</stp>
        <stp/>
        <stp/>
        <tr r="DU11" s="1"/>
      </tp>
      <tp>
        <v>0.77580000000000005</v>
        <stp/>
        <stp>LucroLiquidoAcao</stp>
        <stp>ABCB4</stp>
        <stp>4T_2009</stp>
        <stp>1</stp>
        <stp>SP</stp>
        <tr r="CC12" s="1"/>
      </tp>
      <tp>
        <v>0.7702</v>
        <stp/>
        <stp>LucroLiquidoAcao</stp>
        <stp>ABCB4</stp>
        <stp>4T_2008</stp>
        <stp>1</stp>
        <stp>SP</stp>
        <tr r="CD12" s="1"/>
      </tp>
    </main>
    <main first="rtdsrv.c3b2adb84f7449e6b4139d8a6a94a82c">
      <tp>
        <v>0.49609999999999999</v>
        <stp/>
        <stp>LucroLiquidoAcao</stp>
        <stp>ABCB4</stp>
        <stp>4T_2007</stp>
        <stp>1</stp>
        <stp>SP</stp>
        <tr r="CE12" s="1"/>
      </tp>
      <tp>
        <v>8</v>
        <stp/>
        <stp>FechamentoData</stp>
        <stp>ABEV3</stp>
        <stp>31/12/2010</stp>
        <stp/>
        <stp/>
        <tr r="DZ13" s="1"/>
      </tp>
      <tp t="s">
        <v/>
        <stp/>
        <stp>FechamentoData</stp>
        <stp>AALR3</stp>
        <stp>31/12/2014</stp>
        <stp/>
        <stp/>
        <tr r="DV11" s="1"/>
      </tp>
    </main>
    <main first="rtdsrv.c3b2adb84f7449e6b4139d8a6a94a82c">
      <tp>
        <v>2.0402999999999998</v>
        <stp/>
        <stp>LucroLiquidoAcao</stp>
        <stp>ABCB4</stp>
        <stp>4T_2015</stp>
        <stp>1</stp>
        <stp>SP</stp>
        <tr r="BW12" s="1"/>
      </tp>
      <tp>
        <v>1.7179</v>
        <stp/>
        <stp>LucroLiquidoAcao</stp>
        <stp>ABCB4</stp>
        <stp>4T_2014</stp>
        <stp>1</stp>
        <stp>SP</stp>
        <tr r="BX12" s="1"/>
      </tp>
      <tp>
        <v>2.1496</v>
        <stp/>
        <stp>LucroLiquidoAcao</stp>
        <stp>ABCB4</stp>
        <stp>3T_2017</stp>
        <stp>1</stp>
        <stp>SP</stp>
        <tr r="BU12" s="1"/>
      </tp>
      <tp>
        <v>2.0419999999999998</v>
        <stp/>
        <stp>LucroLiquidoAcao</stp>
        <stp>ABCB4</stp>
        <stp>4T_2016</stp>
        <stp>1</stp>
        <stp>SP</stp>
        <tr r="BV12" s="1"/>
      </tp>
      <tp>
        <v>1.2132000000000001</v>
        <stp/>
        <stp>LucroLiquidoAcao</stp>
        <stp>ABCB4</stp>
        <stp>4T_2011</stp>
        <stp>1</stp>
        <stp>SP</stp>
        <tr r="CA12" s="1"/>
      </tp>
      <tp>
        <v>1.0407</v>
        <stp/>
        <stp>LucroLiquidoAcao</stp>
        <stp>ABCB4</stp>
        <stp>4T_2010</stp>
        <stp>1</stp>
        <stp>SP</stp>
        <tr r="CB12" s="1"/>
      </tp>
      <tp>
        <v>1.3815</v>
        <stp/>
        <stp>LucroLiquidoAcao</stp>
        <stp>ABCB4</stp>
        <stp>4T_2013</stp>
        <stp>1</stp>
        <stp>SP</stp>
        <tr r="BY12" s="1"/>
      </tp>
      <tp>
        <v>1.2415</v>
        <stp/>
        <stp>LucroLiquidoAcao</stp>
        <stp>ABCB4</stp>
        <stp>4T_2012</stp>
        <stp>1</stp>
        <stp>SP</stp>
        <tr r="BZ12" s="1"/>
      </tp>
      <tp>
        <v>14.97</v>
        <stp/>
        <stp>FechamentoData</stp>
        <stp>ABEV3</stp>
        <stp>31/12/2013</stp>
        <stp/>
        <stp/>
        <tr r="DW13" s="1"/>
      </tp>
      <tp t="s">
        <v/>
        <stp/>
        <stp>FechamentoData</stp>
        <stp>AALR3</stp>
        <stp>31/12/2007</stp>
        <stp/>
        <stp/>
        <tr r="EC11" s="1"/>
      </tp>
      <tp>
        <v>14.8</v>
        <stp/>
        <stp>FechamentoData</stp>
        <stp>AALR3</stp>
        <stp>31/12/2017</stp>
        <stp/>
        <stp/>
        <tr r="DS11" s="1"/>
      </tp>
    </main>
    <main first="rtdsrv.c3b2adb84f7449e6b4139d8a6a94a82c">
      <tp>
        <v>14.59</v>
        <stp/>
        <stp>FechamentoData</stp>
        <stp>ABEV3</stp>
        <stp>31/12/2012</stp>
        <stp/>
        <stp/>
        <tr r="DX13" s="1"/>
      </tp>
      <tp>
        <v>14.65</v>
        <stp/>
        <stp>FechamentoData</stp>
        <stp>AALR3</stp>
        <stp>31/12/2016</stp>
        <stp/>
        <stp/>
        <tr r="DT11" s="1"/>
      </tp>
      <tp>
        <v>8884865000</v>
        <stp/>
        <stp>LucroLiquido</stp>
        <stp>ABEV3</stp>
        <stp/>
        <stp>1</stp>
        <stp>NP</stp>
        <tr r="AV21" s="1"/>
        <tr r="D13" s="1"/>
      </tp>
      <tp>
        <v>24981000</v>
        <stp/>
        <stp>LucroLiquido</stp>
        <stp>AALR3</stp>
        <stp/>
        <stp>1</stp>
        <stp>NP</stp>
        <tr r="D11" s="1"/>
      </tp>
    </main>
    <main first="rtdsrv.c3b2adb84f7449e6b4139d8a6a94a82c">
      <tp t="s">
        <v/>
        <stp/>
        <stp>FechamentoData</stp>
        <stp>AALR3</stp>
        <stp>31/12/2009</stp>
        <stp/>
        <stp/>
        <tr r="EA11" s="1"/>
      </tp>
      <tp t="s">
        <v/>
        <stp/>
        <stp>FechamentoData</stp>
        <stp>AALR3</stp>
        <stp>31/12/2008</stp>
        <stp/>
        <stp/>
        <tr r="EB11" s="1"/>
      </tp>
      <tp t="s">
        <v/>
        <stp/>
        <stp>ReceitaLiquidaOperacional</stp>
        <stp>AALR3</stp>
        <stp>4T_2007</stp>
        <stp>1</stp>
        <stp>SP</stp>
        <tr r="AA11" s="1"/>
      </tp>
      <tp t="s">
        <v/>
        <stp/>
        <stp>ReceitaLiquidaOperacional</stp>
        <stp>AALR3</stp>
        <stp>4T_2009</stp>
        <stp>1</stp>
        <stp>SP</stp>
        <tr r="Y11" s="1"/>
      </tp>
      <tp t="s">
        <v/>
        <stp/>
        <stp>ReceitaLiquidaOperacional</stp>
        <stp>AALR3</stp>
        <stp>4T_2008</stp>
        <stp>1</stp>
        <stp>SP</stp>
        <tr r="Z11" s="1"/>
      </tp>
      <tp>
        <v>6.0868000000000002</v>
        <stp/>
        <stp>PrecoLucro</stp>
        <stp>ABCB4</stp>
        <stp>4T_2016</stp>
        <stp>1</stp>
        <stp>SP</stp>
        <tr r="AT12" s="1"/>
      </tp>
      <tp>
        <v>7.6571999999999996</v>
        <stp/>
        <stp>PrecoLucro</stp>
        <stp>ABCB4</stp>
        <stp>4T_2017</stp>
        <stp>1</stp>
        <stp>SP</stp>
        <tr r="AV17" s="1"/>
      </tp>
      <tp>
        <v>7.9195000000000002</v>
        <stp/>
        <stp>PrecoLucro</stp>
        <stp>ABCB4</stp>
        <stp>3T_2017</stp>
        <stp>1</stp>
        <stp>SP</stp>
        <tr r="AS12" s="1"/>
      </tp>
      <tp>
        <v>3.4396</v>
        <stp/>
        <stp>PrecoLucro</stp>
        <stp>ABCB4</stp>
        <stp>4T_2015</stp>
        <stp>1</stp>
        <stp>SP</stp>
        <tr r="AU12" s="1"/>
      </tp>
    </main>
    <main first="rtdsrv.c3b2adb84f7449e6b4139d8a6a94a82c">
      <tp t="s">
        <v/>
        <stp/>
        <stp>ReceitaLiquidaOperacional</stp>
        <stp>AALR3</stp>
        <stp>4T_2013</stp>
        <stp>1</stp>
        <stp>SP</stp>
        <tr r="U11" s="1"/>
      </tp>
      <tp t="s">
        <v/>
        <stp/>
        <stp>ReceitaLiquidaOperacional</stp>
        <stp>AALR3</stp>
        <stp>4T_2012</stp>
        <stp>1</stp>
        <stp>SP</stp>
        <tr r="V11" s="1"/>
      </tp>
      <tp t="s">
        <v/>
        <stp/>
        <stp>ReceitaLiquidaOperacional</stp>
        <stp>AALR3</stp>
        <stp>4T_2011</stp>
        <stp>1</stp>
        <stp>SP</stp>
        <tr r="W11" s="1"/>
      </tp>
      <tp t="s">
        <v/>
        <stp/>
        <stp>ReceitaLiquidaOperacional</stp>
        <stp>AALR3</stp>
        <stp>4T_2010</stp>
        <stp>1</stp>
        <stp>SP</stp>
        <tr r="X11" s="1"/>
      </tp>
      <tp t="s">
        <v/>
        <stp/>
        <stp>ReceitaLiquidaOperacional</stp>
        <stp>AALR3</stp>
        <stp>3T_2017</stp>
        <stp>1</stp>
        <stp>SP</stp>
        <tr r="Q11" s="1"/>
      </tp>
      <tp>
        <v>951470000</v>
        <stp/>
        <stp>ReceitaLiquidaOperacional</stp>
        <stp>AALR3</stp>
        <stp>4T_2016</stp>
        <stp>1</stp>
        <stp>SP</stp>
        <tr r="R11" s="1"/>
      </tp>
      <tp>
        <v>699664000</v>
        <stp/>
        <stp>ReceitaLiquidaOperacional</stp>
        <stp>AALR3</stp>
        <stp>4T_2015</stp>
        <stp>1</stp>
        <stp>SP</stp>
        <tr r="S11" s="1"/>
      </tp>
      <tp t="s">
        <v/>
        <stp/>
        <stp>ReceitaLiquidaOperacional</stp>
        <stp>AALR3</stp>
        <stp>4T_2014</stp>
        <stp>1</stp>
        <stp>SP</stp>
        <tr r="T11" s="1"/>
      </tp>
      <tp>
        <v>5.3</v>
        <stp/>
        <stp>FechamentoData</stp>
        <stp>ABEV3</stp>
        <stp>31/12/2009</stp>
        <stp/>
        <stp/>
        <tr r="EA13" s="1"/>
      </tp>
      <tp>
        <v>2.95</v>
        <stp/>
        <stp>FechamentoData</stp>
        <stp>ABEV3</stp>
        <stp>31/12/2008</stp>
        <stp/>
        <stp/>
        <tr r="EB13" s="1"/>
      </tp>
    </main>
    <main first="rtdsrv.c3b2adb84f7449e6b4139d8a6a94a82c">
      <tp>
        <v>19648220000</v>
        <stp/>
        <stp>ReceitaLiquidaOperacional</stp>
        <stp>ABEV3</stp>
        <stp>4T_2007</stp>
        <stp>1</stp>
        <stp>SP</stp>
        <tr r="AA13" s="1"/>
      </tp>
      <tp>
        <v>11199162000</v>
        <stp/>
        <stp>ReceitaLiquidaOperacional</stp>
        <stp>ABEV3</stp>
        <stp>4T_2009</stp>
        <stp>1</stp>
        <stp>SP</stp>
        <tr r="Y13" s="1"/>
      </tp>
      <tp>
        <v>20899468000</v>
        <stp/>
        <stp>ReceitaLiquidaOperacional</stp>
        <stp>ABEV3</stp>
        <stp>4T_2008</stp>
        <stp>1</stp>
        <stp>SP</stp>
        <tr r="Z13" s="1"/>
      </tp>
      <tp>
        <v>34791391000</v>
        <stp/>
        <stp>ReceitaLiquidaOperacional</stp>
        <stp>ABEV3</stp>
        <stp>4T_2013</stp>
        <stp>1</stp>
        <stp>SP</stp>
        <tr r="U13" s="1"/>
      </tp>
      <tp>
        <v>32231027000</v>
        <stp/>
        <stp>ReceitaLiquidaOperacional</stp>
        <stp>ABEV3</stp>
        <stp>4T_2012</stp>
        <stp>1</stp>
        <stp>SP</stp>
        <tr r="V13" s="1"/>
      </tp>
      <tp>
        <v>27126719000</v>
        <stp/>
        <stp>ReceitaLiquidaOperacional</stp>
        <stp>ABEV3</stp>
        <stp>4T_2011</stp>
        <stp>1</stp>
        <stp>SP</stp>
        <tr r="W13" s="1"/>
      </tp>
      <tp>
        <v>25233310000</v>
        <stp/>
        <stp>ReceitaLiquidaOperacional</stp>
        <stp>ABEV3</stp>
        <stp>4T_2010</stp>
        <stp>1</stp>
        <stp>SP</stp>
        <tr r="X13" s="1"/>
      </tp>
      <tp>
        <v>46049532000</v>
        <stp/>
        <stp>ReceitaLiquidaOperacional</stp>
        <stp>ABEV3</stp>
        <stp>3T_2017</stp>
        <stp>1</stp>
        <stp>SP</stp>
        <tr r="Q13" s="1"/>
      </tp>
      <tp>
        <v>45602561000</v>
        <stp/>
        <stp>ReceitaLiquidaOperacional</stp>
        <stp>ABEV3</stp>
        <stp>4T_2016</stp>
        <stp>1</stp>
        <stp>SP</stp>
        <tr r="R13" s="1"/>
      </tp>
      <tp>
        <v>46720141000</v>
        <stp/>
        <stp>ReceitaLiquidaOperacional</stp>
        <stp>ABEV3</stp>
        <stp>4T_2015</stp>
        <stp>1</stp>
        <stp>SP</stp>
        <tr r="S13" s="1"/>
      </tp>
      <tp>
        <v>38079786000</v>
        <stp/>
        <stp>ReceitaLiquidaOperacional</stp>
        <stp>ABEV3</stp>
        <stp>4T_2014</stp>
        <stp>1</stp>
        <stp>SP</stp>
        <tr r="T13" s="1"/>
      </tp>
      <tp>
        <v>7.93</v>
        <stp/>
        <stp>FechamentoData</stp>
        <stp>ABCB4</stp>
        <stp>31/12/2011</stp>
        <stp/>
        <stp/>
        <tr r="DY12" s="1"/>
      </tp>
    </main>
    <main first="rtdsrv.c3b2adb84f7449e6b4139d8a6a94a82c">
      <tp>
        <v>0.41720000000000002</v>
        <stp/>
        <stp>DividaTotalBrutaPatrimonioLiquido</stp>
        <stp>AALR3</stp>
        <stp>4T_2016</stp>
        <stp/>
        <stp>SP</stp>
        <tr r="BR11" s="1"/>
      </tp>
      <tp>
        <v>0.63500000000000001</v>
        <stp/>
        <stp>DividaTotalBrutaPatrimonioLiquido</stp>
        <stp>AALR3</stp>
        <stp>4T_2015</stp>
        <stp/>
        <stp>SP</stp>
        <tr r="BS11" s="1"/>
      </tp>
    </main>
    <main first="rtdsrv.c3b2adb84f7449e6b4139d8a6a94a82c">
      <tp>
        <v>0.19489999999999999</v>
        <stp/>
        <stp>LucroLiquidoAcao</stp>
        <stp>ABEV3</stp>
        <stp>4T_2008</stp>
        <stp>1</stp>
        <stp>SP</stp>
        <tr r="CD13" s="1"/>
      </tp>
      <tp>
        <v>0.3795</v>
        <stp/>
        <stp>LucroLiquidoAcao</stp>
        <stp>ABEV3</stp>
        <stp>4T_2009</stp>
        <stp>1</stp>
        <stp>SP</stp>
        <tr r="CC13" s="1"/>
      </tp>
    </main>
    <main first="rtdsrv.c3b2adb84f7449e6b4139d8a6a94a82c">
      <tp>
        <v>0.18179999999999999</v>
        <stp/>
        <stp>LucroLiquidoAcao</stp>
        <stp>ABEV3</stp>
        <stp>4T_2007</stp>
        <stp>1</stp>
        <stp>SP</stp>
        <tr r="CE13" s="1"/>
      </tp>
    </main>
    <main first="rtdsrv.bc867788a4164653af6b06ab108c10ea">
      <tp>
        <v>43160.637793229165</v>
        <stp/>
        <stp>UltimoNegocio</stp>
        <stp>AALR3</stp>
        <tr r="DQ11" s="1"/>
      </tp>
    </main>
    <main first="rtdsrv.c3b2adb84f7449e6b4139d8a6a94a82c">
      <tp>
        <v>8.84</v>
        <stp/>
        <stp>FechamentoData</stp>
        <stp>ABCB4</stp>
        <stp>31/12/2010</stp>
        <stp/>
        <stp/>
        <tr r="DZ12" s="1"/>
      </tp>
    </main>
    <main first="rtdsrv.c3b2adb84f7449e6b4139d8a6a94a82c">
      <tp>
        <v>0.67720000000000002</v>
        <stp/>
        <stp>LucroLiquidoAcao</stp>
        <stp>ABEV3</stp>
        <stp>4T_2012</stp>
        <stp>1</stp>
        <stp>SP</stp>
        <tr r="BZ13" s="1"/>
      </tp>
      <tp>
        <v>0.72240000000000004</v>
        <stp/>
        <stp>LucroLiquidoAcao</stp>
        <stp>ABEV3</stp>
        <stp>4T_2013</stp>
        <stp>1</stp>
        <stp>SP</stp>
        <tr r="BY13" s="1"/>
      </tp>
      <tp>
        <v>0.4849</v>
        <stp/>
        <stp>LucroLiquidoAcao</stp>
        <stp>ABEV3</stp>
        <stp>4T_2010</stp>
        <stp>1</stp>
        <stp>SP</stp>
        <tr r="CB13" s="1"/>
      </tp>
      <tp>
        <v>0.55489999999999995</v>
        <stp/>
        <stp>LucroLiquidoAcao</stp>
        <stp>ABEV3</stp>
        <stp>4T_2011</stp>
        <stp>1</stp>
        <stp>SP</stp>
        <tr r="CA13" s="1"/>
      </tp>
      <tp>
        <v>0.83330000000000004</v>
        <stp/>
        <stp>LucroLiquidoAcao</stp>
        <stp>ABEV3</stp>
        <stp>4T_2016</stp>
        <stp>1</stp>
        <stp>SP</stp>
        <tr r="BV13" s="1"/>
      </tp>
      <tp>
        <v>0.59750000000000003</v>
        <stp/>
        <stp>LucroLiquidoAcao</stp>
        <stp>ABEV3</stp>
        <stp>3T_2017</stp>
        <stp>1</stp>
        <stp>SP</stp>
        <tr r="BU13" s="1"/>
      </tp>
      <tp>
        <v>0.78649999999999998</v>
        <stp/>
        <stp>LucroLiquidoAcao</stp>
        <stp>ABEV3</stp>
        <stp>4T_2014</stp>
        <stp>1</stp>
        <stp>SP</stp>
        <tr r="BX13" s="1"/>
      </tp>
      <tp>
        <v>0.82110000000000005</v>
        <stp/>
        <stp>LucroLiquidoAcao</stp>
        <stp>ABEV3</stp>
        <stp>4T_2015</stp>
        <stp>1</stp>
        <stp>SP</stp>
        <tr r="BW13" s="1"/>
      </tp>
    </main>
    <main first="rtdsrv.c3b2adb84f7449e6b4139d8a6a94a82c">
      <tp>
        <v>8.9600000000000009</v>
        <stp/>
        <stp>FechamentoData</stp>
        <stp>ABCB4</stp>
        <stp>31/12/2013</stp>
        <stp/>
        <stp/>
        <tr r="DW12" s="1"/>
      </tp>
    </main>
    <main first="rtdsrv.0f97f73be2e14eea84440824c6174395">
      <tp>
        <v>8.6363000000000003</v>
        <stp/>
        <stp>PrecoLucro</stp>
        <stp>ABCB4</stp>
        <stp/>
        <stp>1</stp>
        <stp>NP</stp>
        <tr r="AR12" s="1"/>
      </tp>
    </main>
    <main first="rtdsrv.c3b2adb84f7449e6b4139d8a6a94a82c">
      <tp>
        <v>9.4700000000000006</v>
        <stp/>
        <stp>FechamentoData</stp>
        <stp>ABCB4</stp>
        <stp>31/12/2012</stp>
        <stp/>
        <stp/>
        <tr r="DX12" s="1"/>
      </tp>
    </main>
    <main first="rtdsrv.c3b2adb84f7449e6b4139d8a6a94a82c">
      <tp>
        <v>7.02</v>
        <stp/>
        <stp>FechamentoData</stp>
        <stp>ABCB4</stp>
        <stp>31/12/2015</stp>
        <stp/>
        <stp/>
        <tr r="DU12" s="1"/>
      </tp>
    </main>
    <main first="rtdsrv.c3b2adb84f7449e6b4139d8a6a94a82c">
      <tp t="s">
        <v/>
        <stp/>
        <stp>LucroLiquidoAcao</stp>
        <stp>AALR3</stp>
        <stp>4T_2008</stp>
        <stp>1</stp>
        <stp>SP</stp>
        <tr r="CD11" s="1"/>
      </tp>
      <tp t="s">
        <v/>
        <stp/>
        <stp>LucroLiquidoAcao</stp>
        <stp>AALR3</stp>
        <stp>4T_2009</stp>
        <stp>1</stp>
        <stp>SP</stp>
        <tr r="CC11" s="1"/>
      </tp>
      <tp t="s">
        <v/>
        <stp/>
        <stp>LucroLiquidoAcao</stp>
        <stp>AALR3</stp>
        <stp>4T_2007</stp>
        <stp>1</stp>
        <stp>SP</stp>
        <tr r="CE11" s="1"/>
      </tp>
    </main>
    <main first="rtdsrv.c3b2adb84f7449e6b4139d8a6a94a82c">
      <tp>
        <v>10.16</v>
        <stp/>
        <stp>FechamentoData</stp>
        <stp>ABCB4</stp>
        <stp>31/12/2014</stp>
        <stp/>
        <stp/>
        <tr r="DV12" s="1"/>
      </tp>
    </main>
    <main first="rtdsrv.c3b2adb84f7449e6b4139d8a6a94a82c">
      <tp t="s">
        <v/>
        <stp/>
        <stp>LucroLiquidoAcao</stp>
        <stp>AALR3</stp>
        <stp>4T_2012</stp>
        <stp>1</stp>
        <stp>SP</stp>
        <tr r="BZ11" s="1"/>
      </tp>
      <tp t="s">
        <v/>
        <stp/>
        <stp>LucroLiquidoAcao</stp>
        <stp>AALR3</stp>
        <stp>4T_2013</stp>
        <stp>1</stp>
        <stp>SP</stp>
        <tr r="BY11" s="1"/>
      </tp>
      <tp t="s">
        <v/>
        <stp/>
        <stp>LucroLiquidoAcao</stp>
        <stp>AALR3</stp>
        <stp>4T_2010</stp>
        <stp>1</stp>
        <stp>SP</stp>
        <tr r="CB11" s="1"/>
      </tp>
      <tp t="s">
        <v/>
        <stp/>
        <stp>LucroLiquidoAcao</stp>
        <stp>AALR3</stp>
        <stp>4T_2011</stp>
        <stp>1</stp>
        <stp>SP</stp>
        <tr r="CA11" s="1"/>
      </tp>
      <tp>
        <v>0.24390000000000001</v>
        <stp/>
        <stp>LucroLiquidoAcao</stp>
        <stp>AALR3</stp>
        <stp>4T_2016</stp>
        <stp>1</stp>
        <stp>SP</stp>
        <tr r="BV11" s="1"/>
      </tp>
      <tp t="s">
        <v/>
        <stp/>
        <stp>LucroLiquidoAcao</stp>
        <stp>AALR3</stp>
        <stp>3T_2017</stp>
        <stp>1</stp>
        <stp>SP</stp>
        <tr r="BU11" s="1"/>
      </tp>
      <tp t="s">
        <v/>
        <stp/>
        <stp>LucroLiquidoAcao</stp>
        <stp>AALR3</stp>
        <stp>4T_2014</stp>
        <stp>1</stp>
        <stp>SP</stp>
        <tr r="BX11" s="1"/>
      </tp>
      <tp>
        <v>-9.6699999999999994E-2</v>
        <stp/>
        <stp>LucroLiquidoAcao</stp>
        <stp>AALR3</stp>
        <stp>4T_2015</stp>
        <stp>1</stp>
        <stp>SP</stp>
        <tr r="BW11" s="1"/>
      </tp>
    </main>
    <main first="rtdsrv.0f97f73be2e14eea84440824c6174395">
      <tp>
        <v>72.754800000000003</v>
        <stp/>
        <stp>PrecoLucro</stp>
        <stp>AALR3</stp>
        <stp/>
        <stp>1</stp>
        <stp>NP</stp>
        <tr r="AR11" s="1"/>
      </tp>
      <tp>
        <v>39.566499999999998</v>
        <stp/>
        <stp>PrecoLucro</stp>
        <stp>ABEV3</stp>
        <stp/>
        <stp>1</stp>
        <stp>NP</stp>
        <tr r="AR13" s="1"/>
      </tp>
    </main>
    <main first="rtdsrv.c3b2adb84f7449e6b4139d8a6a94a82c">
      <tp>
        <v>16.579999999999998</v>
        <stp/>
        <stp>FechamentoData</stp>
        <stp>ABCB4</stp>
        <stp>31/12/2017</stp>
        <stp/>
        <stp/>
        <tr r="DS12" s="1"/>
      </tp>
      <tp>
        <v>6.07</v>
        <stp/>
        <stp>FechamentoData</stp>
        <stp>ABCB4</stp>
        <stp>31/12/2007</stp>
        <stp/>
        <stp/>
        <tr r="EC12" s="1"/>
      </tp>
    </main>
    <main first="rtdsrv.c3b2adb84f7449e6b4139d8a6a94a82c">
      <tp>
        <v>12.43</v>
        <stp/>
        <stp>FechamentoData</stp>
        <stp>ABCB4</stp>
        <stp>31/12/2016</stp>
        <stp/>
        <stp/>
        <tr r="DT12" s="1"/>
      </tp>
    </main>
    <main first="rtdsrv.c3b2adb84f7449e6b4139d8a6a94a82c">
      <tp t="s">
        <v/>
        <stp/>
        <stp>DividaTotalBrutaPatrimonioLiquido</stp>
        <stp>AALR3</stp>
        <stp>3T_2017</stp>
        <stp/>
        <stp>SP</stp>
        <tr r="BQ11" s="1"/>
      </tp>
    </main>
    <main first="rtdsrv.c3b2adb84f7449e6b4139d8a6a94a82c">
      <tp>
        <v>6.86</v>
        <stp/>
        <stp>FechamentoData</stp>
        <stp>ABCB4</stp>
        <stp>31/12/2009</stp>
        <stp/>
        <stp/>
        <tr r="EA12" s="1"/>
      </tp>
    </main>
    <main first="rtdsrv.c3b2adb84f7449e6b4139d8a6a94a82c">
      <tp>
        <v>0.25580000000000003</v>
        <stp/>
        <stp>MargemBruta</stp>
        <stp>ABCB4</stp>
        <stp/>
        <stp>1</stp>
        <stp>NP</stp>
        <tr r="DD12" s="1"/>
      </tp>
      <tp t="s">
        <v/>
        <stp/>
        <stp>DividaTotalBrutaPatrimonioLiquido</stp>
        <stp>ABCB4</stp>
        <stp>3T_2017</stp>
        <stp/>
        <stp>SP</stp>
        <tr r="BQ12" s="1"/>
      </tp>
    </main>
    <main first="rtdsrv.c3b2adb84f7449e6b4139d8a6a94a82c">
      <tp>
        <v>2.79</v>
        <stp/>
        <stp>FechamentoData</stp>
        <stp>ABCB4</stp>
        <stp>31/12/2008</stp>
        <stp/>
        <stp/>
        <tr r="EB12" s="1"/>
      </tp>
    </main>
    <main first="rtdsrv.c3b2adb84f7449e6b4139d8a6a94a82c">
      <tp>
        <v>0.1157</v>
        <stp/>
        <stp>DividaTotalBrutaPatrimonioLiquido</stp>
        <stp>ABEV3</stp>
        <stp>4T_2016</stp>
        <stp/>
        <stp>SP</stp>
        <tr r="BR13" s="1"/>
      </tp>
      <tp>
        <v>7.1499999999999994E-2</v>
        <stp/>
        <stp>DividaTotalBrutaPatrimonioLiquido</stp>
        <stp>ABEV3</stp>
        <stp>4T_2015</stp>
        <stp/>
        <stp>SP</stp>
        <tr r="BS13" s="1"/>
      </tp>
    </main>
    <main first="rtdsrv.bc867788a4164653af6b06ab108c10ea">
      <tp>
        <v>43160.638887384259</v>
        <stp/>
        <stp>UltimoNegocio</stp>
        <stp>ABEV3</stp>
        <tr r="DQ13" s="1"/>
      </tp>
    </main>
    <main first="rtdsrv.c3b2adb84f7449e6b4139d8a6a94a82c">
      <tp>
        <v>244622000</v>
        <stp/>
        <stp>ReceitaLiquidaOperacional</stp>
        <stp>ABCB4</stp>
        <stp>4T_2007</stp>
        <stp>1</stp>
        <stp>SP</stp>
        <tr r="AA12" s="1"/>
      </tp>
      <tp>
        <v>272023000</v>
        <stp/>
        <stp>ReceitaLiquidaOperacional</stp>
        <stp>ABCB4</stp>
        <stp>4T_2008</stp>
        <stp>1</stp>
        <stp>SP</stp>
        <tr r="Z12" s="1"/>
      </tp>
      <tp>
        <v>357184000</v>
        <stp/>
        <stp>ReceitaLiquidaOperacional</stp>
        <stp>ABCB4</stp>
        <stp>4T_2009</stp>
        <stp>1</stp>
        <stp>SP</stp>
        <tr r="Y12" s="1"/>
      </tp>
      <tp t="s">
        <v/>
        <stp/>
        <stp>PrecoLucro</stp>
        <stp>AALR3</stp>
        <stp>4T_2015</stp>
        <stp>1</stp>
        <stp>SP</stp>
        <tr r="AU11" s="1"/>
      </tp>
      <tp t="s">
        <v/>
        <stp/>
        <stp>PrecoLucro</stp>
        <stp>AALR3</stp>
        <stp>3T_2017</stp>
        <stp>1</stp>
        <stp>SP</stp>
        <tr r="AS11" s="1"/>
      </tp>
      <tp>
        <v>60.070500000000003</v>
        <stp/>
        <stp>PrecoLucro</stp>
        <stp>AALR3</stp>
        <stp>4T_2016</stp>
        <stp>1</stp>
        <stp>SP</stp>
        <tr r="AT11" s="1"/>
      </tp>
      <tp>
        <v>0.16739999999999999</v>
        <stp/>
        <stp>MargemLiquida</stp>
        <stp>ABCB4</stp>
        <stp/>
        <stp>1</stp>
        <stp>NP</stp>
        <tr r="CR12" s="1"/>
      </tp>
      <tp>
        <v>1666916000</v>
        <stp/>
        <stp>ReceitaLiquidaOperacional</stp>
        <stp>ABCB4</stp>
        <stp>4T_2014</stp>
        <stp>1</stp>
        <stp>SP</stp>
        <tr r="T12" s="1"/>
      </tp>
      <tp>
        <v>2240732000</v>
        <stp/>
        <stp>ReceitaLiquidaOperacional</stp>
        <stp>ABCB4</stp>
        <stp>4T_2015</stp>
        <stp>1</stp>
        <stp>SP</stp>
        <tr r="S12" s="1"/>
      </tp>
      <tp>
        <v>2010847000</v>
        <stp/>
        <stp>ReceitaLiquidaOperacional</stp>
        <stp>ABCB4</stp>
        <stp>4T_2016</stp>
        <stp>1</stp>
        <stp>SP</stp>
        <tr r="R12" s="1"/>
      </tp>
      <tp>
        <v>2398094000</v>
        <stp/>
        <stp>ReceitaLiquidaOperacional</stp>
        <stp>ABCB4</stp>
        <stp>3T_2017</stp>
        <stp>1</stp>
        <stp>SP</stp>
        <tr r="Q12" s="1"/>
      </tp>
      <tp>
        <v>1019601000</v>
        <stp/>
        <stp>ReceitaLiquidaOperacional</stp>
        <stp>ABCB4</stp>
        <stp>4T_2010</stp>
        <stp>1</stp>
        <stp>SP</stp>
        <tr r="X12" s="1"/>
      </tp>
      <tp>
        <v>1310997000</v>
        <stp/>
        <stp>ReceitaLiquidaOperacional</stp>
        <stp>ABCB4</stp>
        <stp>4T_2011</stp>
        <stp>1</stp>
        <stp>SP</stp>
        <tr r="W12" s="1"/>
      </tp>
      <tp>
        <v>1470226000</v>
        <stp/>
        <stp>ReceitaLiquidaOperacional</stp>
        <stp>ABCB4</stp>
        <stp>4T_2012</stp>
        <stp>1</stp>
        <stp>SP</stp>
        <tr r="V12" s="1"/>
      </tp>
      <tp>
        <v>1682149000</v>
        <stp/>
        <stp>ReceitaLiquidaOperacional</stp>
        <stp>ABCB4</stp>
        <stp>4T_2013</stp>
        <stp>1</stp>
        <stp>SP</stp>
        <tr r="U12" s="1"/>
      </tp>
    </main>
    <main first="rtdsrv.c3b2adb84f7449e6b4139d8a6a94a82c">
      <tp>
        <v>0.23419999999999999</v>
        <stp/>
        <stp>MargemLiquida</stp>
        <stp>AALR3</stp>
        <stp/>
        <stp>1</stp>
        <stp>NP</stp>
        <tr r="CR11" s="1"/>
      </tp>
      <tp>
        <v>0.42720000000000002</v>
        <stp/>
        <stp>MargemLiquida</stp>
        <stp>ABEV3</stp>
        <stp/>
        <stp>1</stp>
        <stp>NP</stp>
        <tr r="CR13" s="1"/>
      </tp>
    </main>
    <main first="rtdsrv.c3b2adb84f7449e6b4139d8a6a94a82c">
      <tp>
        <v>6.8000000000000005E-2</v>
        <stp/>
        <stp>DividaTotalBrutaPatrimonioLiquido</stp>
        <stp>ABEV3</stp>
        <stp>3T_2017</stp>
        <stp/>
        <stp>SP</stp>
        <tr r="BQ13" s="1"/>
      </tp>
      <tp>
        <v>20.4329</v>
        <stp/>
        <stp>PrecoLucro</stp>
        <stp>ABEV3</stp>
        <stp>4T_2015</stp>
        <stp>1</stp>
        <stp>SP</stp>
        <tr r="AU13" s="1"/>
      </tp>
      <tp>
        <v>34.666899999999998</v>
        <stp/>
        <stp>PrecoLucro</stp>
        <stp>ABEV3</stp>
        <stp>3T_2017</stp>
        <stp>1</stp>
        <stp>SP</stp>
        <tr r="AS13" s="1"/>
      </tp>
      <tp>
        <v>19.127300000000002</v>
        <stp/>
        <stp>PrecoLucro</stp>
        <stp>ABEV3</stp>
        <stp>4T_2016</stp>
        <stp>1</stp>
        <stp>SP</stp>
        <tr r="AT13" s="1"/>
      </tp>
      <tp>
        <v>0.31909999999999999</v>
        <stp/>
        <stp>MargemBruta</stp>
        <stp>AALR3</stp>
        <stp/>
        <stp>1</stp>
        <stp>NP</stp>
        <tr r="DD11" s="1"/>
      </tp>
    </main>
    <main first="rtdsrv.c3b2adb84f7449e6b4139d8a6a94a82c">
      <tp>
        <v>0.45960000000000001</v>
        <stp/>
        <stp>MargemBruta</stp>
        <stp>ABEV3</stp>
        <stp/>
        <stp>1</stp>
        <stp>NP</stp>
        <tr r="DD13" s="1"/>
      </tp>
      <tp t="s">
        <v/>
        <stp/>
        <stp>DividaTotalBrutaPatrimonioLiquido</stp>
        <stp>ABCB4</stp>
        <stp>4T_2015</stp>
        <stp/>
        <stp>SP</stp>
        <tr r="BS12" s="1"/>
      </tp>
      <tp t="s">
        <v/>
        <stp/>
        <stp>DividaTotalBrutaPatrimonioLiquido</stp>
        <stp>ABCB4</stp>
        <stp>4T_2016</stp>
        <stp/>
        <stp>SP</stp>
        <tr r="BR12" s="1"/>
      </tp>
    </main>
    <main first="rtdsrv.bc867788a4164653af6b06ab108c10ea">
      <tp>
        <v>43160.637893067127</v>
        <stp/>
        <stp>UltimoNegocio</stp>
        <stp>ABCB4</stp>
        <tr r="DQ1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F16" sqref="F16"/>
    </sheetView>
  </sheetViews>
  <sheetFormatPr defaultRowHeight="15" x14ac:dyDescent="0.25"/>
  <cols>
    <col min="1" max="1" width="22.42578125" customWidth="1"/>
    <col min="2" max="2" width="15.85546875" bestFit="1" customWidth="1"/>
    <col min="3" max="3" width="21.140625" customWidth="1"/>
    <col min="4" max="4" width="12.42578125" bestFit="1" customWidth="1"/>
    <col min="5" max="5" width="11.140625" customWidth="1"/>
  </cols>
  <sheetData>
    <row r="1" spans="1:5" ht="92.25" x14ac:dyDescent="1.35">
      <c r="A1" s="8" t="s">
        <v>7</v>
      </c>
    </row>
    <row r="2" spans="1:5" s="2" customFormat="1" x14ac:dyDescent="0.25">
      <c r="A2" s="33" t="s">
        <v>465</v>
      </c>
    </row>
    <row r="3" spans="1:5" s="2" customFormat="1" x14ac:dyDescent="0.25"/>
    <row r="4" spans="1:5" x14ac:dyDescent="0.25">
      <c r="A4" t="s">
        <v>8</v>
      </c>
      <c r="B4" s="1">
        <f ca="1">NOW()</f>
        <v>43160.636221527777</v>
      </c>
    </row>
    <row r="5" spans="1:5" x14ac:dyDescent="0.25">
      <c r="B5" s="1"/>
    </row>
    <row r="6" spans="1:5" x14ac:dyDescent="0.25">
      <c r="A6" s="33" t="s">
        <v>466</v>
      </c>
    </row>
    <row r="7" spans="1:5" x14ac:dyDescent="0.25">
      <c r="A7" t="s">
        <v>422</v>
      </c>
      <c r="B7" s="4" t="s">
        <v>426</v>
      </c>
      <c r="C7" s="9">
        <v>15</v>
      </c>
      <c r="D7" t="s">
        <v>427</v>
      </c>
      <c r="E7" s="9">
        <v>5</v>
      </c>
    </row>
    <row r="8" spans="1:5" x14ac:dyDescent="0.25">
      <c r="A8" t="s">
        <v>423</v>
      </c>
      <c r="B8" s="3" t="s">
        <v>426</v>
      </c>
      <c r="C8" s="9">
        <v>15</v>
      </c>
      <c r="D8" t="s">
        <v>427</v>
      </c>
      <c r="E8" s="9">
        <v>8</v>
      </c>
    </row>
    <row r="9" spans="1:5" x14ac:dyDescent="0.25">
      <c r="A9" t="s">
        <v>424</v>
      </c>
      <c r="B9" s="3" t="s">
        <v>426</v>
      </c>
      <c r="C9" s="9">
        <v>15</v>
      </c>
      <c r="D9" t="s">
        <v>427</v>
      </c>
      <c r="E9" s="9">
        <v>11</v>
      </c>
    </row>
    <row r="10" spans="1:5" x14ac:dyDescent="0.25">
      <c r="A10" t="s">
        <v>425</v>
      </c>
      <c r="B10" s="3" t="s">
        <v>426</v>
      </c>
      <c r="C10" s="9">
        <v>31</v>
      </c>
      <c r="D10" t="s">
        <v>427</v>
      </c>
      <c r="E10" s="9">
        <v>3</v>
      </c>
    </row>
    <row r="11" spans="1:5" x14ac:dyDescent="0.25">
      <c r="A11" t="s">
        <v>430</v>
      </c>
      <c r="B11">
        <f ca="1">IF($B$4 &lt; $C$13,YEAR($B$4) - 1,YEAR($B$4))</f>
        <v>2017</v>
      </c>
      <c r="C11" t="s">
        <v>429</v>
      </c>
      <c r="D11" s="2">
        <f ca="1">IF(OR(B4 &lt; B13,B4 &gt;= E13),3,IF(B4 &lt; C13,4,IF(B4 &lt; D13,1,2)))</f>
        <v>3</v>
      </c>
    </row>
    <row r="12" spans="1:5" x14ac:dyDescent="0.25">
      <c r="A12" t="s">
        <v>431</v>
      </c>
      <c r="B12">
        <f ca="1">IF(D11 = 4, B11, B11 - 1)</f>
        <v>2016</v>
      </c>
      <c r="D12" s="2"/>
    </row>
    <row r="13" spans="1:5" x14ac:dyDescent="0.25">
      <c r="A13" t="s">
        <v>428</v>
      </c>
      <c r="B13" s="1">
        <f ca="1">DATE(YEAR(B4),E10,C10)</f>
        <v>43190</v>
      </c>
      <c r="C13" s="1">
        <f ca="1">DATE(YEAR(B4),E7,C7)</f>
        <v>43235</v>
      </c>
      <c r="D13" s="1">
        <f ca="1">DATE(YEAR(B4),E8,C8)</f>
        <v>43327</v>
      </c>
      <c r="E13" s="1">
        <f ca="1">DATE(YEAR(B4),E9,C9)</f>
        <v>43419</v>
      </c>
    </row>
    <row r="14" spans="1:5" x14ac:dyDescent="0.25">
      <c r="D14" s="2"/>
    </row>
    <row r="15" spans="1:5" x14ac:dyDescent="0.25">
      <c r="A15" s="33" t="s">
        <v>467</v>
      </c>
    </row>
    <row r="16" spans="1:5" x14ac:dyDescent="0.25">
      <c r="A16" s="34">
        <v>240000</v>
      </c>
      <c r="B16" t="s">
        <v>468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423"/>
  <sheetViews>
    <sheetView workbookViewId="0">
      <selection activeCell="E10" sqref="E10"/>
    </sheetView>
  </sheetViews>
  <sheetFormatPr defaultRowHeight="15" x14ac:dyDescent="0.25"/>
  <cols>
    <col min="1" max="1" width="13.140625" customWidth="1"/>
    <col min="2" max="2" width="37" customWidth="1"/>
    <col min="3" max="3" width="38.140625" customWidth="1"/>
    <col min="4" max="4" width="22" customWidth="1"/>
    <col min="5" max="5" width="10" bestFit="1" customWidth="1"/>
    <col min="6" max="6" width="12" bestFit="1" customWidth="1"/>
    <col min="16" max="16" width="20.140625" customWidth="1"/>
    <col min="28" max="28" width="19.7109375" customWidth="1"/>
    <col min="40" max="40" width="17" customWidth="1"/>
    <col min="41" max="41" width="23.85546875" customWidth="1"/>
    <col min="42" max="42" width="26.85546875" customWidth="1"/>
    <col min="43" max="43" width="26" customWidth="1"/>
    <col min="44" max="44" width="13.5703125" customWidth="1"/>
    <col min="45" max="45" width="9" customWidth="1"/>
    <col min="46" max="47" width="8.28515625" bestFit="1" customWidth="1"/>
    <col min="48" max="48" width="21.140625" customWidth="1"/>
    <col min="50" max="50" width="13.5703125" customWidth="1"/>
    <col min="62" max="62" width="11.28515625" customWidth="1"/>
    <col min="63" max="63" width="14" customWidth="1"/>
    <col min="64" max="64" width="24.85546875" customWidth="1"/>
    <col min="68" max="68" width="35.5703125" customWidth="1"/>
    <col min="72" max="72" width="22.140625" customWidth="1"/>
    <col min="84" max="84" width="12.7109375" customWidth="1"/>
    <col min="96" max="96" width="23.42578125" customWidth="1"/>
    <col min="108" max="108" width="21.42578125" customWidth="1"/>
    <col min="120" max="120" width="12" customWidth="1"/>
    <col min="121" max="121" width="26.7109375" customWidth="1"/>
    <col min="122" max="122" width="21.42578125" customWidth="1"/>
    <col min="129" max="129" width="12" bestFit="1" customWidth="1"/>
  </cols>
  <sheetData>
    <row r="1" spans="1:133" ht="92.25" x14ac:dyDescent="1.35">
      <c r="A1" s="8" t="s">
        <v>432</v>
      </c>
    </row>
    <row r="2" spans="1:133" x14ac:dyDescent="0.25">
      <c r="A2" s="2" t="s">
        <v>433</v>
      </c>
    </row>
    <row r="3" spans="1:133" x14ac:dyDescent="0.25">
      <c r="A3" s="2" t="s">
        <v>434</v>
      </c>
    </row>
    <row r="4" spans="1:133" x14ac:dyDescent="0.25">
      <c r="A4" s="14"/>
      <c r="B4" s="13" t="s">
        <v>435</v>
      </c>
    </row>
    <row r="5" spans="1:133" x14ac:dyDescent="0.25">
      <c r="A5" s="20"/>
      <c r="B5" s="13" t="s">
        <v>445</v>
      </c>
    </row>
    <row r="6" spans="1:133" x14ac:dyDescent="0.25">
      <c r="A6" s="24"/>
      <c r="B6" s="13" t="s">
        <v>446</v>
      </c>
    </row>
    <row r="7" spans="1:133" x14ac:dyDescent="0.25">
      <c r="A7" s="15"/>
      <c r="B7" s="13" t="s">
        <v>454</v>
      </c>
    </row>
    <row r="8" spans="1:133" x14ac:dyDescent="0.25">
      <c r="A8" s="28"/>
      <c r="B8" s="13" t="s">
        <v>461</v>
      </c>
    </row>
    <row r="9" spans="1:133" x14ac:dyDescent="0.25">
      <c r="A9" s="2"/>
    </row>
    <row r="10" spans="1:133" ht="38.25" customHeight="1" thickBot="1" x14ac:dyDescent="0.35">
      <c r="A10" s="19" t="s">
        <v>436</v>
      </c>
      <c r="B10" s="19" t="s">
        <v>437</v>
      </c>
      <c r="C10" s="19" t="s">
        <v>438</v>
      </c>
      <c r="D10" s="22" t="s">
        <v>447</v>
      </c>
      <c r="E10" s="21">
        <f ca="1">Parâmetros!$B$11</f>
        <v>2017</v>
      </c>
      <c r="F10" s="21">
        <f ca="1">Parâmetros!$B$11 - 1</f>
        <v>2016</v>
      </c>
      <c r="G10" s="21">
        <f ca="1">Parâmetros!$B$11 - 2</f>
        <v>2015</v>
      </c>
      <c r="H10" s="21">
        <f ca="1">Parâmetros!$B$11 - 3</f>
        <v>2014</v>
      </c>
      <c r="I10" s="21">
        <f ca="1">Parâmetros!$B$11 - 4</f>
        <v>2013</v>
      </c>
      <c r="J10" s="21">
        <f ca="1">Parâmetros!$B$11 - 5</f>
        <v>2012</v>
      </c>
      <c r="K10" s="21">
        <f ca="1">Parâmetros!$B$11 - 6</f>
        <v>2011</v>
      </c>
      <c r="L10" s="21">
        <f ca="1">Parâmetros!$B$11 - 7</f>
        <v>2010</v>
      </c>
      <c r="M10" s="21">
        <f ca="1">Parâmetros!$B$11 - 8</f>
        <v>2009</v>
      </c>
      <c r="N10" s="21">
        <f ca="1">Parâmetros!$B$11 - 9</f>
        <v>2008</v>
      </c>
      <c r="O10" s="21">
        <f ca="1">Parâmetros!$B$11 - 10</f>
        <v>2007</v>
      </c>
      <c r="P10" s="22" t="s">
        <v>448</v>
      </c>
      <c r="Q10" s="21">
        <f ca="1">Parâmetros!$B$11</f>
        <v>2017</v>
      </c>
      <c r="R10" s="21">
        <f ca="1">Parâmetros!$B$11 - 1</f>
        <v>2016</v>
      </c>
      <c r="S10" s="21">
        <f ca="1">Parâmetros!$B$11 - 2</f>
        <v>2015</v>
      </c>
      <c r="T10" s="21">
        <f ca="1">Parâmetros!$B$11 - 3</f>
        <v>2014</v>
      </c>
      <c r="U10" s="21">
        <f ca="1">Parâmetros!$B$11 - 4</f>
        <v>2013</v>
      </c>
      <c r="V10" s="21">
        <f ca="1">Parâmetros!$B$11 - 5</f>
        <v>2012</v>
      </c>
      <c r="W10" s="21">
        <f ca="1">Parâmetros!$B$11 - 6</f>
        <v>2011</v>
      </c>
      <c r="X10" s="21">
        <f ca="1">Parâmetros!$B$11 - 7</f>
        <v>2010</v>
      </c>
      <c r="Y10" s="21">
        <f ca="1">Parâmetros!$B$11 - 8</f>
        <v>2009</v>
      </c>
      <c r="Z10" s="21">
        <f ca="1">Parâmetros!$B$11 - 9</f>
        <v>2008</v>
      </c>
      <c r="AA10" s="21">
        <f ca="1">Parâmetros!$B$11 - 10</f>
        <v>2007</v>
      </c>
      <c r="AB10" s="26" t="s">
        <v>449</v>
      </c>
      <c r="AC10" s="25">
        <f ca="1">Parâmetros!$B$11</f>
        <v>2017</v>
      </c>
      <c r="AD10" s="25">
        <f ca="1">Parâmetros!$B$11 - 1</f>
        <v>2016</v>
      </c>
      <c r="AE10" s="25">
        <f ca="1">Parâmetros!$B$11 - 2</f>
        <v>2015</v>
      </c>
      <c r="AF10" s="25">
        <f ca="1">Parâmetros!$B$11 - 3</f>
        <v>2014</v>
      </c>
      <c r="AG10" s="25">
        <f ca="1">Parâmetros!$B$11 - 4</f>
        <v>2013</v>
      </c>
      <c r="AH10" s="25">
        <f ca="1">Parâmetros!$B$11 - 5</f>
        <v>2012</v>
      </c>
      <c r="AI10" s="25">
        <f ca="1">Parâmetros!$B$11 - 6</f>
        <v>2011</v>
      </c>
      <c r="AJ10" s="25">
        <f ca="1">Parâmetros!$B$11 - 7</f>
        <v>2010</v>
      </c>
      <c r="AK10" s="25">
        <f ca="1">Parâmetros!$B$11 - 8</f>
        <v>2009</v>
      </c>
      <c r="AL10" s="25">
        <f ca="1">Parâmetros!$B$11 - 9</f>
        <v>2008</v>
      </c>
      <c r="AM10" s="25">
        <f ca="1">Parâmetros!$B$11 - 10</f>
        <v>2007</v>
      </c>
      <c r="AN10" s="26" t="s">
        <v>451</v>
      </c>
      <c r="AO10" s="26" t="s">
        <v>450</v>
      </c>
      <c r="AP10" s="26" t="s">
        <v>452</v>
      </c>
      <c r="AQ10" s="26" t="s">
        <v>453</v>
      </c>
      <c r="AR10" s="18" t="s">
        <v>439</v>
      </c>
      <c r="AS10" s="17">
        <f ca="1">Parâmetros!$B$11</f>
        <v>2017</v>
      </c>
      <c r="AT10" s="17">
        <f ca="1">Parâmetros!$B$11 - 1</f>
        <v>2016</v>
      </c>
      <c r="AU10" s="17">
        <f ca="1">Parâmetros!$B$11 - 2</f>
        <v>2015</v>
      </c>
      <c r="AV10" s="18" t="s">
        <v>440</v>
      </c>
      <c r="AW10" s="18" t="s">
        <v>441</v>
      </c>
      <c r="AX10" s="18" t="s">
        <v>442</v>
      </c>
      <c r="AY10" s="17">
        <f ca="1">Parâmetros!$B$11</f>
        <v>2017</v>
      </c>
      <c r="AZ10" s="17">
        <f ca="1">Parâmetros!$B$11 - 1</f>
        <v>2016</v>
      </c>
      <c r="BA10" s="17">
        <f ca="1">Parâmetros!$B$11 - 2</f>
        <v>2015</v>
      </c>
      <c r="BB10" s="17">
        <f ca="1">Parâmetros!$B$11 - 3</f>
        <v>2014</v>
      </c>
      <c r="BC10" s="17">
        <f ca="1">Parâmetros!$B$11 - 4</f>
        <v>2013</v>
      </c>
      <c r="BD10" s="17">
        <f ca="1">Parâmetros!$B$11 - 5</f>
        <v>2012</v>
      </c>
      <c r="BE10" s="17">
        <f ca="1">Parâmetros!$B$11 - 6</f>
        <v>2011</v>
      </c>
      <c r="BF10" s="17">
        <f ca="1">Parâmetros!$B$11 - 7</f>
        <v>2010</v>
      </c>
      <c r="BG10" s="17">
        <f ca="1">Parâmetros!$B$11 - 8</f>
        <v>2009</v>
      </c>
      <c r="BH10" s="17">
        <f ca="1">Parâmetros!$B$11 - 9</f>
        <v>2008</v>
      </c>
      <c r="BI10" s="17">
        <f ca="1">Parâmetros!$B$11 - 10</f>
        <v>2007</v>
      </c>
      <c r="BJ10" s="18" t="s">
        <v>443</v>
      </c>
      <c r="BK10" s="18" t="s">
        <v>444</v>
      </c>
      <c r="BL10" s="18" t="s">
        <v>455</v>
      </c>
      <c r="BM10" s="17">
        <f ca="1">Parâmetros!$B$11</f>
        <v>2017</v>
      </c>
      <c r="BN10" s="17">
        <f ca="1">Parâmetros!$B$11 - 1</f>
        <v>2016</v>
      </c>
      <c r="BO10" s="17">
        <f ca="1">Parâmetros!$B$11 - 2</f>
        <v>2015</v>
      </c>
      <c r="BP10" s="18" t="s">
        <v>456</v>
      </c>
      <c r="BQ10" s="17">
        <f ca="1">Parâmetros!$B$11</f>
        <v>2017</v>
      </c>
      <c r="BR10" s="17">
        <f ca="1">Parâmetros!$B$11 - 1</f>
        <v>2016</v>
      </c>
      <c r="BS10" s="17">
        <f ca="1">Parâmetros!$B$11 - 2</f>
        <v>2015</v>
      </c>
      <c r="BT10" s="18" t="s">
        <v>457</v>
      </c>
      <c r="BU10" s="17">
        <f ca="1">Parâmetros!$B$11</f>
        <v>2017</v>
      </c>
      <c r="BV10" s="17">
        <f ca="1">Parâmetros!$B$11 - 1</f>
        <v>2016</v>
      </c>
      <c r="BW10" s="17">
        <f ca="1">Parâmetros!$B$11 - 2</f>
        <v>2015</v>
      </c>
      <c r="BX10" s="17">
        <f ca="1">Parâmetros!$B$11 - 3</f>
        <v>2014</v>
      </c>
      <c r="BY10" s="17">
        <f ca="1">Parâmetros!$B$11 - 4</f>
        <v>2013</v>
      </c>
      <c r="BZ10" s="17">
        <f ca="1">Parâmetros!$B$11 - 5</f>
        <v>2012</v>
      </c>
      <c r="CA10" s="17">
        <f ca="1">Parâmetros!$B$11 - 6</f>
        <v>2011</v>
      </c>
      <c r="CB10" s="17">
        <f ca="1">Parâmetros!$B$11 - 7</f>
        <v>2010</v>
      </c>
      <c r="CC10" s="17">
        <f ca="1">Parâmetros!$B$11 - 8</f>
        <v>2009</v>
      </c>
      <c r="CD10" s="17">
        <f ca="1">Parâmetros!$B$11 - 9</f>
        <v>2008</v>
      </c>
      <c r="CE10" s="17">
        <f ca="1">Parâmetros!$B$11 - 10</f>
        <v>2007</v>
      </c>
      <c r="CF10" s="18" t="s">
        <v>458</v>
      </c>
      <c r="CG10" s="17">
        <f ca="1">Parâmetros!$B$11</f>
        <v>2017</v>
      </c>
      <c r="CH10" s="17">
        <f ca="1">Parâmetros!$B$11 - 1</f>
        <v>2016</v>
      </c>
      <c r="CI10" s="17">
        <f ca="1">Parâmetros!$B$11 - 2</f>
        <v>2015</v>
      </c>
      <c r="CJ10" s="17">
        <f ca="1">Parâmetros!$B$11 - 3</f>
        <v>2014</v>
      </c>
      <c r="CK10" s="17">
        <f ca="1">Parâmetros!$B$11 - 4</f>
        <v>2013</v>
      </c>
      <c r="CL10" s="17">
        <f ca="1">Parâmetros!$B$11 - 5</f>
        <v>2012</v>
      </c>
      <c r="CM10" s="17">
        <f ca="1">Parâmetros!$B$11 - 6</f>
        <v>2011</v>
      </c>
      <c r="CN10" s="17">
        <f ca="1">Parâmetros!$B$11 - 7</f>
        <v>2010</v>
      </c>
      <c r="CO10" s="17">
        <f ca="1">Parâmetros!$B$11 - 8</f>
        <v>2009</v>
      </c>
      <c r="CP10" s="17">
        <f ca="1">Parâmetros!$B$11 - 9</f>
        <v>2008</v>
      </c>
      <c r="CQ10" s="17">
        <f ca="1">Parâmetros!$B$11 - 10</f>
        <v>2007</v>
      </c>
      <c r="CR10" s="18" t="s">
        <v>459</v>
      </c>
      <c r="CS10" s="17">
        <f ca="1">Parâmetros!$B$11</f>
        <v>2017</v>
      </c>
      <c r="CT10" s="17">
        <f ca="1">Parâmetros!$B$11 - 1</f>
        <v>2016</v>
      </c>
      <c r="CU10" s="17">
        <f ca="1">Parâmetros!$B$11 - 2</f>
        <v>2015</v>
      </c>
      <c r="CV10" s="17">
        <f ca="1">Parâmetros!$B$11 - 3</f>
        <v>2014</v>
      </c>
      <c r="CW10" s="17">
        <f ca="1">Parâmetros!$B$11 - 4</f>
        <v>2013</v>
      </c>
      <c r="CX10" s="17">
        <f ca="1">Parâmetros!$B$11 - 5</f>
        <v>2012</v>
      </c>
      <c r="CY10" s="17">
        <f ca="1">Parâmetros!$B$11 - 6</f>
        <v>2011</v>
      </c>
      <c r="CZ10" s="17">
        <f ca="1">Parâmetros!$B$11 - 7</f>
        <v>2010</v>
      </c>
      <c r="DA10" s="17">
        <f ca="1">Parâmetros!$B$11 - 8</f>
        <v>2009</v>
      </c>
      <c r="DB10" s="17">
        <f ca="1">Parâmetros!$B$11 - 9</f>
        <v>2008</v>
      </c>
      <c r="DC10" s="17">
        <f ca="1">Parâmetros!$B$11 - 10</f>
        <v>2007</v>
      </c>
      <c r="DD10" s="18" t="s">
        <v>460</v>
      </c>
      <c r="DE10" s="17">
        <f ca="1">Parâmetros!$B$11</f>
        <v>2017</v>
      </c>
      <c r="DF10" s="17">
        <f ca="1">Parâmetros!$B$11 - 1</f>
        <v>2016</v>
      </c>
      <c r="DG10" s="17">
        <f ca="1">Parâmetros!$B$11 - 2</f>
        <v>2015</v>
      </c>
      <c r="DH10" s="17">
        <f ca="1">Parâmetros!$B$11 - 3</f>
        <v>2014</v>
      </c>
      <c r="DI10" s="17">
        <f ca="1">Parâmetros!$B$11 - 4</f>
        <v>2013</v>
      </c>
      <c r="DJ10" s="17">
        <f ca="1">Parâmetros!$B$11 - 5</f>
        <v>2012</v>
      </c>
      <c r="DK10" s="17">
        <f ca="1">Parâmetros!$B$11 - 6</f>
        <v>2011</v>
      </c>
      <c r="DL10" s="17">
        <f ca="1">Parâmetros!$B$11 - 7</f>
        <v>2010</v>
      </c>
      <c r="DM10" s="17">
        <f ca="1">Parâmetros!$B$11 - 8</f>
        <v>2009</v>
      </c>
      <c r="DN10" s="17">
        <f ca="1">Parâmetros!$B$11 - 9</f>
        <v>2008</v>
      </c>
      <c r="DO10" s="17">
        <f ca="1">Parâmetros!$B$11 - 10</f>
        <v>2007</v>
      </c>
      <c r="DP10" s="30" t="s">
        <v>463</v>
      </c>
      <c r="DQ10" s="30" t="s">
        <v>462</v>
      </c>
      <c r="DR10" s="30" t="s">
        <v>464</v>
      </c>
      <c r="DS10" s="29">
        <f ca="1">Parâmetros!$B$11</f>
        <v>2017</v>
      </c>
      <c r="DT10" s="29">
        <f ca="1">Parâmetros!$B$11 - 1</f>
        <v>2016</v>
      </c>
      <c r="DU10" s="29">
        <f ca="1">Parâmetros!$B$11 - 2</f>
        <v>2015</v>
      </c>
      <c r="DV10" s="29">
        <f ca="1">Parâmetros!$B$11 - 3</f>
        <v>2014</v>
      </c>
      <c r="DW10" s="29">
        <f ca="1">Parâmetros!$B$11 - 4</f>
        <v>2013</v>
      </c>
      <c r="DX10" s="29">
        <f ca="1">Parâmetros!$B$11 - 5</f>
        <v>2012</v>
      </c>
      <c r="DY10" s="29">
        <f ca="1">Parâmetros!$B$11 - 6</f>
        <v>2011</v>
      </c>
      <c r="DZ10" s="29">
        <f ca="1">Parâmetros!$B$11 - 7</f>
        <v>2010</v>
      </c>
      <c r="EA10" s="29">
        <f ca="1">Parâmetros!$B$11 - 8</f>
        <v>2009</v>
      </c>
      <c r="EB10" s="29">
        <f ca="1">Parâmetros!$B$11 - 9</f>
        <v>2008</v>
      </c>
      <c r="EC10" s="29">
        <f ca="1">Parâmetros!$B$11 - 10</f>
        <v>2007</v>
      </c>
    </row>
    <row r="11" spans="1:133" ht="15.75" thickBot="1" x14ac:dyDescent="0.3">
      <c r="A11" s="10" t="s">
        <v>133</v>
      </c>
      <c r="B11" s="9" t="str">
        <f>_xll.GI.RazaoSocial(A11)</f>
        <v>CENTRO DE IMAGEM DIAGNOSTICOS S.A.</v>
      </c>
      <c r="C11" s="9" t="str">
        <f>_xll.GI.Segmento(A11)</f>
        <v>Serv.Méd.Hospit..Análises e Diagnósticos</v>
      </c>
      <c r="D11" s="23">
        <f>IFERROR(_xll.GI.LucroLiquido(A11) / 1000, -1)</f>
        <v>24981</v>
      </c>
      <c r="E11" s="23">
        <f ca="1">IFERROR(_xll.GI.LucroLiquido(A11,Parâmetros!$D$11,$E$10,"12m","cp") / 1000, -1)</f>
        <v>-1</v>
      </c>
      <c r="F11" s="23">
        <f ca="1">IFERROR(_xll.GI.LucroLiquido(A11,4,$F$10,"12m","cp") / 1000, -1)</f>
        <v>28767</v>
      </c>
      <c r="G11" s="23">
        <f ca="1">IFERROR(_xll.GI.LucroLiquido(A11,4,$G$10,"12m","cp") / 1000, -1)</f>
        <v>-11429</v>
      </c>
      <c r="H11" s="23">
        <f ca="1">IFERROR(_xll.GI.LucroLiquido(A11,4,$H$10,"12m","cp") / 1000, -1)</f>
        <v>-1</v>
      </c>
      <c r="I11" s="23">
        <f ca="1">IFERROR(_xll.GI.LucroLiquido(A11,4,$I$10,"12m","cp") / 1000, -1)</f>
        <v>-1</v>
      </c>
      <c r="J11" s="23">
        <f ca="1">IFERROR(_xll.GI.LucroLiquido(A11,4,$J$10,"12m","cp") / 1000, -1)</f>
        <v>-1</v>
      </c>
      <c r="K11" s="23">
        <f ca="1">IFERROR(_xll.GI.LucroLiquido(A11,4,$K$10,"12m","cp") / 1000, -1)</f>
        <v>-1</v>
      </c>
      <c r="L11" s="23">
        <f ca="1">IFERROR(_xll.GI.LucroLiquido(A11,4,$L$10,"12m","cp") / 1000, -1)</f>
        <v>-1</v>
      </c>
      <c r="M11" s="23">
        <f ca="1">IFERROR(_xll.GI.LucroLiquido(A11,4,$M$10,"12m","cp") / 1000, -1)</f>
        <v>-1</v>
      </c>
      <c r="N11" s="23">
        <f ca="1">IFERROR(_xll.GI.LucroLiquido(A11,4,$N$10,"12m","cp") / 1000, -1)</f>
        <v>-1</v>
      </c>
      <c r="O11" s="23">
        <f ca="1">IFERROR(_xll.GI.LucroLiquido(A11,4,$O$10,"12m","cp") / 1000, -1)</f>
        <v>-1</v>
      </c>
      <c r="P11" s="23">
        <f>IFERROR(_xll.GI.RecLiquidaOpe(A11) / 1000, -1)</f>
        <v>106665</v>
      </c>
      <c r="Q11" s="23">
        <f ca="1">IFERROR(_xll.GI.RecLiquidaOpe(A11,Parâmetros!$D$11,$Q$10,"12m","cp") / 1000,-1)</f>
        <v>-1</v>
      </c>
      <c r="R11" s="23">
        <f ca="1">IFERROR(_xll.GI.RecLiquidaOpe(A11,4,$R$10,"12m","cp") / 1000,-1)</f>
        <v>951470</v>
      </c>
      <c r="S11" s="23">
        <f ca="1">IFERROR(_xll.GI.RecLiquidaOpe(A11,4,$S$10,"12m","cp") / 1000,-1)</f>
        <v>699664</v>
      </c>
      <c r="T11" s="23">
        <f ca="1">IFERROR(_xll.GI.RecLiquidaOpe(A11,4,$T$10,"12m","cp") / 1000,-1)</f>
        <v>-1</v>
      </c>
      <c r="U11" s="23">
        <f ca="1">IFERROR(_xll.GI.RecLiquidaOpe(A11,4,$U$10,"12m","cp") / 1000,-1)</f>
        <v>-1</v>
      </c>
      <c r="V11" s="23">
        <f ca="1">IFERROR(_xll.GI.RecLiquidaOpe(A11,4,$V$10,"12m","cp") / 1000,-1)</f>
        <v>-1</v>
      </c>
      <c r="W11" s="23">
        <f ca="1">IFERROR(_xll.GI.RecLiquidaOpe(A11,4,$W$10,"12m","cp") / 1000,-1)</f>
        <v>-1</v>
      </c>
      <c r="X11" s="23">
        <f ca="1">IFERROR(_xll.GI.RecLiquidaOpe(A11,4,$X$10,"12m","cp") / 1000,-1)</f>
        <v>-1</v>
      </c>
      <c r="Y11" s="23">
        <f ca="1">IFERROR(_xll.GI.RecLiquidaOpe(A11,4,$Y$10,"12m","cp") / 1000,-1)</f>
        <v>-1</v>
      </c>
      <c r="Z11" s="23">
        <f ca="1">IFERROR(_xll.GI.RecLiquidaOpe(A11,4,$Z$10,"12m","cp") / 1000,-1)</f>
        <v>-1</v>
      </c>
      <c r="AA11" s="23">
        <f ca="1">IFERROR(_xll.GI.RecLiquidaOpe(A11,4,$AA$10,"12m","cp") / 1000,-1)</f>
        <v>-1</v>
      </c>
      <c r="AB11" s="27">
        <f>IFERROR(_xll.GI.PatrimonioLiquido(A11) / 1000,-1)</f>
        <v>1230385</v>
      </c>
      <c r="AC11" s="27">
        <f ca="1">IFERROR(_xll.GI.PatrimonioLiquido(A11,Parâmetros!$D$11,$AC$10,"cp") / 1000,-1)</f>
        <v>-1</v>
      </c>
      <c r="AD11" s="27">
        <f ca="1">IFERROR(_xll.GI.PatrimonioLiquido(A11,4,$AD$10,"cp") / 1000, -1)</f>
        <v>1211935</v>
      </c>
      <c r="AE11" s="27">
        <f ca="1">IFERROR(_xll.GI.PatrimonioLiquido(A11,4,$AE$10,"cp") / 1000, -1)</f>
        <v>733000</v>
      </c>
      <c r="AF11" s="27">
        <f ca="1">IFERROR(_xll.GI.PatrimonioLiquido(A11,4,$AF$10,"cp") / 1000, -1)</f>
        <v>-1</v>
      </c>
      <c r="AG11" s="27">
        <f ca="1">IFERROR(_xll.GI.PatrimonioLiquido(A11,4,$AG$10,"cp") / 1000, -1)</f>
        <v>-1</v>
      </c>
      <c r="AH11" s="27">
        <f ca="1">IFERROR(_xll.GI.PatrimonioLiquido(A11,4,$AH$10,"cp") / 1000, -1)</f>
        <v>-1</v>
      </c>
      <c r="AI11" s="27">
        <f ca="1">IFERROR(_xll.GI.PatrimonioLiquido(A11,4,$AI$10,"cp") / 1000, -1)</f>
        <v>-1</v>
      </c>
      <c r="AJ11" s="27">
        <f ca="1">IFERROR(_xll.GI.PatrimonioLiquido(A11,4,$AJ$10,"cp") / 1000, -1)</f>
        <v>-1</v>
      </c>
      <c r="AK11" s="27">
        <f ca="1">IFERROR(_xll.GI.PatrimonioLiquido(A11,4,$AK$10,"cp") / 1000, -1)</f>
        <v>-1</v>
      </c>
      <c r="AL11" s="27">
        <f ca="1">IFERROR(_xll.GI.PatrimonioLiquido(A11,4,$AL$10,"cp") / 1000, -1)</f>
        <v>-1</v>
      </c>
      <c r="AM11" s="27">
        <f ca="1">IFERROR(_xll.GI.PatrimonioLiquido(A11,4,$AM$10,"cp") / 1000, -1)</f>
        <v>-1</v>
      </c>
      <c r="AN11" s="27">
        <f>IFERROR(_xll.GI.AtivoTotal(A11) / 1000, -1)</f>
        <v>1788230</v>
      </c>
      <c r="AO11" s="27">
        <f>IFERROR(_xll.GI.AtivoCirculante(A11) / 1000, -1)</f>
        <v>55743</v>
      </c>
      <c r="AP11" s="27">
        <f>IFERROR(_xll.GI.PassivoExigivelLp(A11) / 1000, -1)</f>
        <v>-1</v>
      </c>
      <c r="AQ11" s="27">
        <f>IFERROR(_xll.GI.PassivoCirculante(A11) / 1000, -1)</f>
        <v>210782</v>
      </c>
      <c r="AR11" s="16">
        <f>IFERROR(_xll.GI.PrecoLucro(A11) / 1,-1)</f>
        <v>72.754800000000003</v>
      </c>
      <c r="AS11" s="16">
        <f ca="1">IFERROR(_xll.GI.PrecoLucro(A11,Parâmetros!$D$11,$AS$10,"12m","cp") / 1,-1)</f>
        <v>-1</v>
      </c>
      <c r="AT11" s="16">
        <f ca="1">IFERROR(_xll.GI.PrecoLucro(A11,4,$AT$10,"12m","cp") / 1,-1)</f>
        <v>60.070500000000003</v>
      </c>
      <c r="AU11" s="16">
        <f ca="1">IFERROR(_xll.GI.PrecoLucro(A11,4,$AU$10,"12m","cp") / 1,-1)</f>
        <v>-1</v>
      </c>
      <c r="AV11" s="16">
        <f ca="1">IFERROR((_xll.GI.ValorMercado(A11) / 1000) / (( E11 + F11 + G11) / 3),-1)</f>
        <v>314.49784066447484</v>
      </c>
      <c r="AW11" s="16">
        <f>IFERROR(_xll.GI.PrecoValorPatr(A11) / 1, -1)</f>
        <v>1.4772000000000001</v>
      </c>
      <c r="AX11" s="16">
        <f>IFERROR(_xll.GI.DividendYield(A11) / 1, -1)</f>
        <v>-1</v>
      </c>
      <c r="AY11" s="16">
        <f ca="1">IFERROR(_xll.GI.DividendYield(A11,Parâmetros!$D$11,$AY$10,"12m") / 1, -1)</f>
        <v>-1</v>
      </c>
      <c r="AZ11" s="16">
        <f ca="1">IFERROR(_xll.GI.DividendYield(A11,4,$AZ$10,"12m") / 1, -1)</f>
        <v>-1</v>
      </c>
      <c r="BA11" s="16">
        <f ca="1">IFERROR(_xll.GI.DividendYield(A11,4,$BA$10,"12m") / 1, -1)</f>
        <v>-1</v>
      </c>
      <c r="BB11" s="16">
        <f ca="1">IFERROR(_xll.GI.DividendYield(A11,4,$BB$10,"12m") / 1, -1)</f>
        <v>-1</v>
      </c>
      <c r="BC11" s="16">
        <f ca="1">IFERROR(_xll.GI.DividendYield(A11,4,$BC$10,"12m") / 1, -1)</f>
        <v>-1</v>
      </c>
      <c r="BD11" s="16">
        <f ca="1">IFERROR(_xll.GI.DividendYield(A11,4,$BD$10,"12m") / 1, -1)</f>
        <v>-1</v>
      </c>
      <c r="BE11" s="16">
        <f ca="1">IFERROR(_xll.GI.DividendYield(A11,4,$BE$10,"12m") / 1, -1)</f>
        <v>-1</v>
      </c>
      <c r="BF11" s="16">
        <f ca="1">IFERROR(_xll.GI.DividendYield(A11,4,$BF$10,"12m") / 1, -1)</f>
        <v>-1</v>
      </c>
      <c r="BG11" s="16">
        <f ca="1">IFERROR(_xll.GI.DividendYield(A11,4,$BG$10,"12m") / 1, -1)</f>
        <v>-1</v>
      </c>
      <c r="BH11" s="16">
        <f ca="1">IFERROR(_xll.GI.DividendYield(A11,4,$BH$10,"12m") / 1, -1)</f>
        <v>-1</v>
      </c>
      <c r="BI11" s="16">
        <f ca="1">IFERROR(_xll.GI.DividendYield(A11,4,$BI$10,"12m") / 1, -1)</f>
        <v>-1</v>
      </c>
      <c r="BJ11" s="16">
        <f>IFERROR(_xll.GI.Payout(A11) / 1,-1)</f>
        <v>-1</v>
      </c>
      <c r="BK11" s="16">
        <f>IFERROR(_xll.GI.ValorMercado(A11) / 1000,-1)</f>
        <v>1817483.0212000001</v>
      </c>
      <c r="BL11" s="16">
        <f>IFERROR(_xll.GI.LiquidezCorrente(A11) / 1, -1)</f>
        <v>0.26440000000000002</v>
      </c>
      <c r="BM11" s="16">
        <f ca="1">IFERROR(_xll.GI.LiquidezCorrente(A11,Parâmetros!$D$11,$BM$10,"cp") / 1, -1)</f>
        <v>-1</v>
      </c>
      <c r="BN11" s="16">
        <f ca="1">IFERROR(_xll.GI.LiquidezCorrente(A11,4,$BN$10,"cp") / 1, -1)</f>
        <v>1.2221</v>
      </c>
      <c r="BO11" s="16">
        <f ca="1">IFERROR(_xll.GI.LiquidezCorrente(A11,4,$BO$10,"cp") / 1, -1)</f>
        <v>1.1548</v>
      </c>
      <c r="BP11" s="16">
        <f>IFERROR(_xll.GI.DivTotBrutaPatrLiq(A11) / 1, 0-1)</f>
        <v>0.24610000000000001</v>
      </c>
      <c r="BQ11" s="16">
        <f ca="1">IFERROR(_xll.GI.DivTotBrutaPatrLiq(A11,Parâmetros!$D$11,$BQ$10,"cp") / 1, -1)</f>
        <v>-1</v>
      </c>
      <c r="BR11" s="16">
        <f ca="1">IFERROR(_xll.GI.DivTotBrutaPatrLiq(A11,4,$BR$10,"cp") / 1, -1)</f>
        <v>0.41720000000000002</v>
      </c>
      <c r="BS11" s="16">
        <f ca="1">IFERROR(_xll.GI.DivTotBrutaPatrLiq(A11,4,$BS$10,"cp") / 1, -1)</f>
        <v>0.63500000000000001</v>
      </c>
      <c r="BT11" s="16">
        <f>IFERROR(_xll.GI.LucroLiquidoAcao(A11) / 1, -1)</f>
        <v>0.2117</v>
      </c>
      <c r="BU11" s="16">
        <f ca="1">IFERROR(_xll.GI.LucroLiquidoAcao(A11,Parâmetros!$D$11,$BU$10,"12m","cp") / 1, -1)</f>
        <v>-1</v>
      </c>
      <c r="BV11" s="16">
        <f ca="1">IFERROR(_xll.GI.LucroLiquidoAcao(A11,4,$BV$10,"12m","cp") / 1, -1)</f>
        <v>0.24390000000000001</v>
      </c>
      <c r="BW11" s="16">
        <f ca="1">IFERROR(_xll.GI.LucroLiquidoAcao(A11,4,$BW$10,"12m","cp") / 1, -1)</f>
        <v>-9.6699999999999994E-2</v>
      </c>
      <c r="BX11" s="16">
        <f ca="1">IFERROR(_xll.GI.LucroLiquidoAcao(A11,4,$BX$10,"12m","cp") / 1, -1)</f>
        <v>-1</v>
      </c>
      <c r="BY11" s="16">
        <f ca="1">IFERROR(_xll.GI.LucroLiquidoAcao(A11,4,$BY$10,"12m","cp") / 1, -1)</f>
        <v>-1</v>
      </c>
      <c r="BZ11" s="16">
        <f ca="1">IFERROR(_xll.GI.LucroLiquidoAcao(A11,4,$BZ$10,"12m","cp") / 1, -1)</f>
        <v>-1</v>
      </c>
      <c r="CA11" s="16">
        <f ca="1">IFERROR(_xll.GI.LucroLiquidoAcao(A11,4,$CA$10,"12m","cp") / 1, -1)</f>
        <v>-1</v>
      </c>
      <c r="CB11" s="16">
        <f ca="1">IFERROR(_xll.GI.LucroLiquidoAcao(A11,4,$CB$10,"12m","cp") / 1, -1)</f>
        <v>-1</v>
      </c>
      <c r="CC11" s="16">
        <f ca="1">IFERROR(_xll.GI.LucroLiquidoAcao(A11,4,$CC$10,"12m","cp") / 1, -1)</f>
        <v>-1</v>
      </c>
      <c r="CD11" s="16">
        <f ca="1">IFERROR(_xll.GI.LucroLiquidoAcao(A11,4,$CD$10,"12m","cp") / 1, -1)</f>
        <v>-1</v>
      </c>
      <c r="CE11" s="16">
        <f ca="1">IFERROR(_xll.GI.LucroLiquidoAcao(A11,4,$CE$10,"12m","cp") / 1, -1)</f>
        <v>-1</v>
      </c>
      <c r="CF11" s="16">
        <f>IFERROR(_xll.GI.RentPatrLiquido(A11) / 1, -1)</f>
        <v>2.0299999999999999E-2</v>
      </c>
      <c r="CG11" s="16">
        <f t="shared" ref="CG11:CQ13" ca="1" si="0">IFERROR(E11 / AC11, -1)</f>
        <v>1</v>
      </c>
      <c r="CH11" s="16">
        <f t="shared" ca="1" si="0"/>
        <v>2.3736421507754128E-2</v>
      </c>
      <c r="CI11" s="16">
        <f t="shared" ca="1" si="0"/>
        <v>-1.5592087312414734E-2</v>
      </c>
      <c r="CJ11" s="16">
        <f t="shared" ca="1" si="0"/>
        <v>1</v>
      </c>
      <c r="CK11" s="16">
        <f t="shared" ca="1" si="0"/>
        <v>1</v>
      </c>
      <c r="CL11" s="16">
        <f t="shared" ca="1" si="0"/>
        <v>1</v>
      </c>
      <c r="CM11" s="16">
        <f t="shared" ca="1" si="0"/>
        <v>1</v>
      </c>
      <c r="CN11" s="16">
        <f t="shared" ca="1" si="0"/>
        <v>1</v>
      </c>
      <c r="CO11" s="16">
        <f t="shared" ca="1" si="0"/>
        <v>1</v>
      </c>
      <c r="CP11" s="16">
        <f t="shared" ca="1" si="0"/>
        <v>1</v>
      </c>
      <c r="CQ11" s="16">
        <f t="shared" ca="1" si="0"/>
        <v>1</v>
      </c>
      <c r="CR11" s="16">
        <f>IFERROR(_xll.GI.MargemLiquida(A11) / 1, -1)</f>
        <v>0.23419999999999999</v>
      </c>
      <c r="CS11" s="16">
        <f ca="1">IFERROR(_xll.GI.MargemLiquida(A11,Parâmetros!$D$11,$CS$10,"12m","cp") / 1, -1)</f>
        <v>-1</v>
      </c>
      <c r="CT11" s="16">
        <f ca="1">IFERROR(_xll.GI.MargemLiquida(A11,4,$CT$10,"12m","cp") / 1, -1)</f>
        <v>3.0200000000000001E-2</v>
      </c>
      <c r="CU11" s="16">
        <f ca="1">IFERROR(_xll.GI.MargemLiquida(A11,4,$CU$10,"12m","cp") / 1, -1)</f>
        <v>-1.6299999999999999E-2</v>
      </c>
      <c r="CV11" s="16">
        <f ca="1">IFERROR(_xll.GI.MargemLiquida(A11,4,$CV$10,"12m","cp") / 1, -1)</f>
        <v>-1</v>
      </c>
      <c r="CW11" s="16">
        <f ca="1">IFERROR(_xll.GI.MargemLiquida(A11,4,$CW$10,"12m","cp") / 1, -1)</f>
        <v>-1</v>
      </c>
      <c r="CX11" s="16">
        <f ca="1">IFERROR(_xll.GI.MargemLiquida(A11,4,$CX$10,"12m","cp") / 1, -1)</f>
        <v>-1</v>
      </c>
      <c r="CY11" s="16">
        <f ca="1">IFERROR(_xll.GI.MargemLiquida(A11,4,$CY$10,"12m","cp") / 1, -1)</f>
        <v>-1</v>
      </c>
      <c r="CZ11" s="16">
        <f ca="1">IFERROR(_xll.GI.MargemLiquida(A11,4,$CZ$10,"12m","cp") / 1, -1)</f>
        <v>-1</v>
      </c>
      <c r="DA11" s="16">
        <f ca="1">IFERROR(_xll.GI.MargemLiquida(A11,4,$DA$10,"12m","cp") / 1, -1)</f>
        <v>-1</v>
      </c>
      <c r="DB11" s="16">
        <f ca="1">IFERROR(_xll.GI.MargemLiquida(A11,4,$DB$10,"12m","cp") / 1, -1)</f>
        <v>-1</v>
      </c>
      <c r="DC11" s="16">
        <f ca="1">IFERROR(_xll.GI.MargemLiquida(A11,4,$DC$10,"12m","cp") / 1, -1)</f>
        <v>-1</v>
      </c>
      <c r="DD11" s="16">
        <f>IFERROR(_xll.GI.MargemBruta(A11) / 1, -1)</f>
        <v>0.31909999999999999</v>
      </c>
      <c r="DE11" s="16">
        <f ca="1">IFERROR(_xll.GI.MargemBruta(A11,Parâmetros!$D$11,$DE$10,"12m","cp") / 1, -1)</f>
        <v>-1</v>
      </c>
      <c r="DF11" s="16">
        <f ca="1">IFERROR(_xll.GI.MargemBruta(A11,4,$DF$10,"12m","cp") / 1, -1)</f>
        <v>0.37880000000000003</v>
      </c>
      <c r="DG11" s="16">
        <f ca="1">IFERROR(_xll.GI.MargemBruta(A11,4,$DG$10,"12m","cp") / 1, -1)</f>
        <v>0.39660000000000001</v>
      </c>
      <c r="DH11" s="16">
        <f ca="1">IFERROR(_xll.GI.MargemBruta(A11,4,$DH$10,"12m","cp") / 1, -1)</f>
        <v>-1</v>
      </c>
      <c r="DI11" s="16">
        <f ca="1">IFERROR(_xll.GI.MargemBruta(A11,4,$DI$10,"12m","cp") / 1, -1)</f>
        <v>-1</v>
      </c>
      <c r="DJ11" s="16">
        <f ca="1">IFERROR(_xll.GI.MargemBruta(A11,4,$DJ$10,"12m","cp") / 1, -1)</f>
        <v>-1</v>
      </c>
      <c r="DK11" s="16">
        <f ca="1">IFERROR(_xll.GI.MargemBruta(A11,4,$DK$10,"12m","cp") / 1, -1)</f>
        <v>-1</v>
      </c>
      <c r="DL11" s="16">
        <f ca="1">IFERROR(_xll.GI.MargemBruta(A11,4,$DL$10,"12m","cp") / 1, -1)</f>
        <v>-1</v>
      </c>
      <c r="DM11" s="16">
        <f ca="1">IFERROR(_xll.GI.MargemBruta(A11,4,$DM$10,"12m","cp") / 1, -1)</f>
        <v>-1</v>
      </c>
      <c r="DN11" s="16">
        <f ca="1">IFERROR(_xll.GI.MargemBruta(A11,4,$DN$10,"12m","cp") / 1, -1)</f>
        <v>-1</v>
      </c>
      <c r="DO11" s="16">
        <f ca="1">IFERROR(_xll.GI.MargemBruta(A11,4,$DO$10,"12m","cp") / 1, -1)</f>
        <v>-1</v>
      </c>
      <c r="DP11" s="31">
        <f>IFERROR(_xll.GI.QtdeNeg21d(A11) / 1, -1)</f>
        <v>792.43</v>
      </c>
      <c r="DQ11" s="32">
        <f ca="1">IFERROR(TRUNC(NOW() - _xll.GI.UltimoNegocio(A11)) / 1, -1)</f>
        <v>0</v>
      </c>
      <c r="DR11" s="28">
        <f>IFERROR(_xll.GI.PrecoUltimo(A11) / 1, -1)</f>
        <v>15.4</v>
      </c>
      <c r="DS11" s="31">
        <f ca="1">IFERROR(_xll.GI.FechamentoData(A11, CONCATENATE("31/12/",$DS$10)) / 1,-1)</f>
        <v>14.8</v>
      </c>
      <c r="DT11" s="31">
        <f ca="1">IFERROR(_xll.GI.FechamentoData(A11, CONCATENATE("31/12/",$DT$10)) / 1,-1)</f>
        <v>14.65</v>
      </c>
      <c r="DU11" s="31">
        <f ca="1">IFERROR(_xll.GI.FechamentoData(A11, CONCATENATE("31/12/",$DU$10)) / 1,-1)</f>
        <v>-1</v>
      </c>
      <c r="DV11" s="31">
        <f ca="1">IFERROR(_xll.GI.FechamentoData(A11, CONCATENATE("31/12/",$DV$10))/ 1,-1)</f>
        <v>-1</v>
      </c>
      <c r="DW11" s="31">
        <f ca="1">IFERROR(_xll.GI.FechamentoData(A11, CONCATENATE("31/12/",$DW$10)) / 1,-1)</f>
        <v>-1</v>
      </c>
      <c r="DX11" s="31">
        <f ca="1">IFERROR(_xll.GI.FechamentoData(A11, CONCATENATE("31/12/",$DX$10)) / 1,-1)</f>
        <v>-1</v>
      </c>
      <c r="DY11" s="31">
        <f ca="1">IFERROR(_xll.GI.FechamentoData(A11, CONCATENATE("31/12/",$DY$10)) / 1,-1)</f>
        <v>-1</v>
      </c>
      <c r="DZ11" s="31">
        <f ca="1">IFERROR(_xll.GI.FechamentoData(A11, CONCATENATE("31/12/",$DZ$10)) / 1,-1)</f>
        <v>-1</v>
      </c>
      <c r="EA11" s="31">
        <f ca="1">IFERROR(_xll.GI.FechamentoData(A11, CONCATENATE("31/12/",$EA$10)) / 1,-1)</f>
        <v>-1</v>
      </c>
      <c r="EB11" s="31">
        <f ca="1">IFERROR(_xll.GI.FechamentoData(A11, CONCATENATE("31/12/",$EB$10)) / 1,-1)</f>
        <v>-1</v>
      </c>
      <c r="EC11" s="31">
        <f ca="1">IFERROR(_xll.GI.FechamentoData(A11, CONCATENATE("31/12/",$EC$10)) / 1,-1)</f>
        <v>-1</v>
      </c>
    </row>
    <row r="12" spans="1:133" ht="15.75" thickBot="1" x14ac:dyDescent="0.3">
      <c r="A12" s="10" t="s">
        <v>119</v>
      </c>
      <c r="B12" s="9" t="str">
        <f>_xll.GI.RazaoSocial(A12)</f>
        <v>BCO ABC BRASIL S.A.</v>
      </c>
      <c r="C12" s="9" t="str">
        <f>_xll.GI.Segmento(A12)</f>
        <v>Bancos</v>
      </c>
      <c r="D12" s="23">
        <f>IFERROR(_xll.GI.LucroLiquido(A12) / 1000, -1)</f>
        <v>418733</v>
      </c>
      <c r="E12" s="23">
        <f ca="1">IFERROR(_xll.GI.LucroLiquido(A12,Parâmetros!$D$11,$E$10,"12m","cp") / 1000, -1)</f>
        <v>416653</v>
      </c>
      <c r="F12" s="23">
        <f ca="1">IFERROR(_xll.GI.LucroLiquido(A12,4,$F$10,"12m","cp") / 1000, -1)</f>
        <v>391716</v>
      </c>
      <c r="G12" s="23">
        <f ca="1">IFERROR(_xll.GI.LucroLiquido(A12,4,$G$10,"12m","cp") / 1000, -1)</f>
        <v>388557</v>
      </c>
      <c r="H12" s="23">
        <f ca="1">IFERROR(_xll.GI.LucroLiquido(A12,4,$H$10,"12m","cp") / 1000, -1)</f>
        <v>328379</v>
      </c>
      <c r="I12" s="23">
        <f ca="1">IFERROR(_xll.GI.LucroLiquido(A12,4,$I$10,"12m","cp") / 1000, -1)</f>
        <v>265417</v>
      </c>
      <c r="J12" s="23">
        <f ca="1">IFERROR(_xll.GI.LucroLiquido(A12,4,$J$10,"12m","cp") / 1000, -1)</f>
        <v>240919</v>
      </c>
      <c r="K12" s="23">
        <f ca="1">IFERROR(_xll.GI.LucroLiquido(A12,4,$K$10,"12m","cp") / 1000, -1)</f>
        <v>235599</v>
      </c>
      <c r="L12" s="23">
        <f ca="1">IFERROR(_xll.GI.LucroLiquido(A12,4,$L$10,"12m","cp") / 1000, -1)</f>
        <v>202757</v>
      </c>
      <c r="M12" s="23">
        <f ca="1">IFERROR(_xll.GI.LucroLiquido(A12,4,$M$10,"12m","cp") / 1000, -1)</f>
        <v>151154</v>
      </c>
      <c r="N12" s="23">
        <f ca="1">IFERROR(_xll.GI.LucroLiquido(A12,4,$N$10,"12m","cp") / 1000, -1)</f>
        <v>150088</v>
      </c>
      <c r="O12" s="23">
        <f ca="1">IFERROR(_xll.GI.LucroLiquido(A12,4,$O$10,"12m","cp") / 1000, -1)</f>
        <v>97511</v>
      </c>
      <c r="P12" s="23">
        <f>IFERROR(_xll.GI.RecLiquidaOpe(A12) / 1000, -1)</f>
        <v>2500739</v>
      </c>
      <c r="Q12" s="23">
        <f ca="1">IFERROR(_xll.GI.RecLiquidaOpe(A12,Parâmetros!$D$11,$Q$10,"12m","cp") / 1000,-1)</f>
        <v>2398094</v>
      </c>
      <c r="R12" s="23">
        <f ca="1">IFERROR(_xll.GI.RecLiquidaOpe(A12,4,$R$10,"12m","cp") / 1000,-1)</f>
        <v>2010847</v>
      </c>
      <c r="S12" s="23">
        <f ca="1">IFERROR(_xll.GI.RecLiquidaOpe(A12,4,$S$10,"12m","cp") / 1000,-1)</f>
        <v>2240732</v>
      </c>
      <c r="T12" s="23">
        <f ca="1">IFERROR(_xll.GI.RecLiquidaOpe(A12,4,$T$10,"12m","cp") / 1000,-1)</f>
        <v>1666916</v>
      </c>
      <c r="U12" s="23">
        <f ca="1">IFERROR(_xll.GI.RecLiquidaOpe(A12,4,$U$10,"12m","cp") / 1000,-1)</f>
        <v>1682149</v>
      </c>
      <c r="V12" s="23">
        <f ca="1">IFERROR(_xll.GI.RecLiquidaOpe(A12,4,$V$10,"12m","cp") / 1000,-1)</f>
        <v>1470226</v>
      </c>
      <c r="W12" s="23">
        <f ca="1">IFERROR(_xll.GI.RecLiquidaOpe(A12,4,$W$10,"12m","cp") / 1000,-1)</f>
        <v>1310997</v>
      </c>
      <c r="X12" s="23">
        <f ca="1">IFERROR(_xll.GI.RecLiquidaOpe(A12,4,$X$10,"12m","cp") / 1000,-1)</f>
        <v>1019601</v>
      </c>
      <c r="Y12" s="23">
        <f ca="1">IFERROR(_xll.GI.RecLiquidaOpe(A12,4,$Y$10,"12m","cp") / 1000,-1)</f>
        <v>357184</v>
      </c>
      <c r="Z12" s="23">
        <f ca="1">IFERROR(_xll.GI.RecLiquidaOpe(A12,4,$Z$10,"12m","cp") / 1000,-1)</f>
        <v>272023</v>
      </c>
      <c r="AA12" s="23">
        <f ca="1">IFERROR(_xll.GI.RecLiquidaOpe(A12,4,$AA$10,"12m","cp") / 1000,-1)</f>
        <v>244622</v>
      </c>
      <c r="AB12" s="27">
        <f>IFERROR(_xll.GI.PatrimonioLiquido(A12) / 1000,-1)</f>
        <v>3284332</v>
      </c>
      <c r="AC12" s="27">
        <f ca="1">IFERROR(_xll.GI.PatrimonioLiquido(A12,Parâmetros!$D$11,$AC$10,"cp") / 1000,-1)</f>
        <v>3228438</v>
      </c>
      <c r="AD12" s="27">
        <f ca="1">IFERROR(_xll.GI.PatrimonioLiquido(A12,4,$AD$10,"cp") / 1000, -1)</f>
        <v>2994121</v>
      </c>
      <c r="AE12" s="27">
        <f ca="1">IFERROR(_xll.GI.PatrimonioLiquido(A12,4,$AE$10,"cp") / 1000, -1)</f>
        <v>2633973</v>
      </c>
      <c r="AF12" s="27">
        <f ca="1">IFERROR(_xll.GI.PatrimonioLiquido(A12,4,$AF$10,"cp") / 1000, -1)</f>
        <v>2284769</v>
      </c>
      <c r="AG12" s="27">
        <f ca="1">IFERROR(_xll.GI.PatrimonioLiquido(A12,4,$AG$10,"cp") / 1000, -1)</f>
        <v>1973838</v>
      </c>
      <c r="AH12" s="27">
        <f ca="1">IFERROR(_xll.GI.PatrimonioLiquido(A12,4,$AH$10,"cp") / 1000, -1)</f>
        <v>1735481</v>
      </c>
      <c r="AI12" s="27">
        <f ca="1">IFERROR(_xll.GI.PatrimonioLiquido(A12,4,$AI$10,"cp") / 1000, -1)</f>
        <v>1539616</v>
      </c>
      <c r="AJ12" s="27">
        <f ca="1">IFERROR(_xll.GI.PatrimonioLiquido(A12,4,$AJ$10,"cp") / 1000, -1)</f>
        <v>1385801</v>
      </c>
      <c r="AK12" s="27">
        <f ca="1">IFERROR(_xll.GI.PatrimonioLiquido(A12,4,$AK$10,"cp") / 1000, -1)</f>
        <v>1218441</v>
      </c>
      <c r="AL12" s="27">
        <f ca="1">IFERROR(_xll.GI.PatrimonioLiquido(A12,4,$AL$10,"cp") / 1000, -1)</f>
        <v>1161740</v>
      </c>
      <c r="AM12" s="27">
        <f ca="1">IFERROR(_xll.GI.PatrimonioLiquido(A12,4,$AM$10,"cp") / 1000, -1)</f>
        <v>1085582</v>
      </c>
      <c r="AN12" s="27">
        <f>IFERROR(_xll.GI.AtivoTotal(A12) / 1000, -1)</f>
        <v>28760537</v>
      </c>
      <c r="AO12" s="27">
        <f>IFERROR(_xll.GI.AtivoCirculante(A12) / 1000, -1)</f>
        <v>22524244</v>
      </c>
      <c r="AP12" s="27">
        <f>IFERROR(_xll.GI.PassivoExigivelLp(A12) / 1000, -1)</f>
        <v>6358195</v>
      </c>
      <c r="AQ12" s="27">
        <f>IFERROR(_xll.GI.PassivoCirculante(A12) / 1000, -1)</f>
        <v>19085375</v>
      </c>
      <c r="AR12" s="16">
        <f>IFERROR(_xll.GI.PrecoLucro(A12) / 1,-1)</f>
        <v>8.6363000000000003</v>
      </c>
      <c r="AS12" s="16">
        <f ca="1">IFERROR(_xll.GI.PrecoLucro(A12,Parâmetros!$D$11,$AS$10,"12m","cp") / 1,-1)</f>
        <v>7.9195000000000002</v>
      </c>
      <c r="AT12" s="16">
        <f ca="1">IFERROR(_xll.GI.PrecoLucro(A12,4,$AT$10,"12m","cp") / 1,-1)</f>
        <v>6.0868000000000002</v>
      </c>
      <c r="AU12" s="16">
        <f ca="1">IFERROR(_xll.GI.PrecoLucro(A12,4,$AU$10,"12m","cp") / 1,-1)</f>
        <v>3.4396</v>
      </c>
      <c r="AV12" s="16">
        <f ca="1">IFERROR((_xll.GI.ValorMercado(A12) / 1000) / (( E12 + F12 + G12) / 3),-1)</f>
        <v>9.0640000009190214</v>
      </c>
      <c r="AW12" s="16">
        <f>IFERROR(_xll.GI.PrecoValorPatr(A12) / 1, -1)</f>
        <v>1.1011</v>
      </c>
      <c r="AX12" s="16">
        <f>IFERROR(_xll.GI.DividendYield(A12) / 1, -1)</f>
        <v>5.8099999999999999E-2</v>
      </c>
      <c r="AY12" s="16">
        <f ca="1">IFERROR(_xll.GI.DividendYield(A12,Parâmetros!$D$11,$AY$10,"12m") / 1, -1)</f>
        <v>6.4199999999999993E-2</v>
      </c>
      <c r="AZ12" s="16">
        <f ca="1">IFERROR(_xll.GI.DividendYield(A12,4,$AZ$10,"12m") / 1, -1)</f>
        <v>8.7499999999999994E-2</v>
      </c>
      <c r="BA12" s="16">
        <f ca="1">IFERROR(_xll.GI.DividendYield(A12,4,$BA$10,"12m") / 1, -1)</f>
        <v>0.12330000000000001</v>
      </c>
      <c r="BB12" s="16">
        <f ca="1">IFERROR(_xll.GI.DividendYield(A12,4,$BB$10,"12m") / 1, -1)</f>
        <v>7.1400000000000005E-2</v>
      </c>
      <c r="BC12" s="16">
        <f ca="1">IFERROR(_xll.GI.DividendYield(A12,4,$BC$10,"12m") / 1, -1)</f>
        <v>0.113</v>
      </c>
      <c r="BD12" s="16">
        <f ca="1">IFERROR(_xll.GI.DividendYield(A12,4,$BD$10,"12m") / 1, -1)</f>
        <v>4.02E-2</v>
      </c>
      <c r="BE12" s="16">
        <f ca="1">IFERROR(_xll.GI.DividendYield(A12,4,$BE$10,"12m") / 1, -1)</f>
        <v>7.5700000000000003E-2</v>
      </c>
      <c r="BF12" s="16">
        <f ca="1">IFERROR(_xll.GI.DividendYield(A12,4,$BF$10,"12m") / 1, -1)</f>
        <v>6.1100000000000002E-2</v>
      </c>
      <c r="BG12" s="16">
        <f ca="1">IFERROR(_xll.GI.DividendYield(A12,4,$BG$10,"12m") / 1, -1)</f>
        <v>7.4300000000000005E-2</v>
      </c>
      <c r="BH12" s="16">
        <f ca="1">IFERROR(_xll.GI.DividendYield(A12,4,$BH$10,"12m") / 1, -1)</f>
        <v>0.17910000000000001</v>
      </c>
      <c r="BI12" s="16">
        <f ca="1">IFERROR(_xll.GI.DividendYield(A12,4,$BI$10,"12m") / 1, -1)</f>
        <v>5.2699999999999997E-2</v>
      </c>
      <c r="BJ12" s="16">
        <f>IFERROR(_xll.GI.Payout(A12) / 1,-1)</f>
        <v>0.50160000000000005</v>
      </c>
      <c r="BK12" s="16">
        <f>IFERROR(_xll.GI.ValorMercado(A12) / 1000,-1)</f>
        <v>3616312.4216999998</v>
      </c>
      <c r="BL12" s="16">
        <f>IFERROR(_xll.GI.LiquidezCorrente(A12) / 1, -1)</f>
        <v>1.1801999999999999</v>
      </c>
      <c r="BM12" s="16">
        <f ca="1">IFERROR(_xll.GI.LiquidezCorrente(A12,Parâmetros!$D$11,$BM$10,"cp") / 1, -1)</f>
        <v>1.2743</v>
      </c>
      <c r="BN12" s="16">
        <f ca="1">IFERROR(_xll.GI.LiquidezCorrente(A12,4,$BN$10,"cp") / 1, -1)</f>
        <v>1.2500000000000001E-2</v>
      </c>
      <c r="BO12" s="16">
        <f ca="1">IFERROR(_xll.GI.LiquidezCorrente(A12,4,$BO$10,"cp") / 1, -1)</f>
        <v>0.05</v>
      </c>
      <c r="BP12" s="16">
        <f>IFERROR(_xll.GI.DivTotBrutaPatrLiq(A12) / 1, 0-1)</f>
        <v>-1</v>
      </c>
      <c r="BQ12" s="16">
        <f ca="1">IFERROR(_xll.GI.DivTotBrutaPatrLiq(A12,Parâmetros!$D$11,$BQ$10,"cp") / 1, -1)</f>
        <v>-1</v>
      </c>
      <c r="BR12" s="16">
        <f ca="1">IFERROR(_xll.GI.DivTotBrutaPatrLiq(A12,4,$BR$10,"cp") / 1, -1)</f>
        <v>-1</v>
      </c>
      <c r="BS12" s="16">
        <f ca="1">IFERROR(_xll.GI.DivTotBrutaPatrLiq(A12,4,$BS$10,"cp") / 1, -1)</f>
        <v>-1</v>
      </c>
      <c r="BT12" s="16">
        <f>IFERROR(_xll.GI.LucroLiquidoAcao(A12) / 1, -1)</f>
        <v>2.1652999999999998</v>
      </c>
      <c r="BU12" s="16">
        <f ca="1">IFERROR(_xll.GI.LucroLiquidoAcao(A12,Parâmetros!$D$11,$BU$10,"12m","cp") / 1, -1)</f>
        <v>2.1496</v>
      </c>
      <c r="BV12" s="16">
        <f ca="1">IFERROR(_xll.GI.LucroLiquidoAcao(A12,4,$BV$10,"12m","cp") / 1, -1)</f>
        <v>2.0419999999999998</v>
      </c>
      <c r="BW12" s="16">
        <f ca="1">IFERROR(_xll.GI.LucroLiquidoAcao(A12,4,$BW$10,"12m","cp") / 1, -1)</f>
        <v>2.0402999999999998</v>
      </c>
      <c r="BX12" s="16">
        <f ca="1">IFERROR(_xll.GI.LucroLiquidoAcao(A12,4,$BX$10,"12m","cp") / 1, -1)</f>
        <v>1.7179</v>
      </c>
      <c r="BY12" s="16">
        <f ca="1">IFERROR(_xll.GI.LucroLiquidoAcao(A12,4,$BY$10,"12m","cp") / 1, -1)</f>
        <v>1.3815</v>
      </c>
      <c r="BZ12" s="16">
        <f ca="1">IFERROR(_xll.GI.LucroLiquidoAcao(A12,4,$BZ$10,"12m","cp") / 1, -1)</f>
        <v>1.2415</v>
      </c>
      <c r="CA12" s="16">
        <f ca="1">IFERROR(_xll.GI.LucroLiquidoAcao(A12,4,$CA$10,"12m","cp") / 1, -1)</f>
        <v>1.2132000000000001</v>
      </c>
      <c r="CB12" s="16">
        <f ca="1">IFERROR(_xll.GI.LucroLiquidoAcao(A12,4,$CB$10,"12m","cp") / 1, -1)</f>
        <v>1.0407</v>
      </c>
      <c r="CC12" s="16">
        <f ca="1">IFERROR(_xll.GI.LucroLiquidoAcao(A12,4,$CC$10,"12m","cp") / 1, -1)</f>
        <v>0.77580000000000005</v>
      </c>
      <c r="CD12" s="16">
        <f ca="1">IFERROR(_xll.GI.LucroLiquidoAcao(A12,4,$CD$10,"12m","cp") / 1, -1)</f>
        <v>0.7702</v>
      </c>
      <c r="CE12" s="16">
        <f ca="1">IFERROR(_xll.GI.LucroLiquidoAcao(A12,4,$CE$10,"12m","cp") / 1, -1)</f>
        <v>0.49609999999999999</v>
      </c>
      <c r="CF12" s="16">
        <f>IFERROR(_xll.GI.RentPatrLiquido(A12) / 1, -1)</f>
        <v>0.1275</v>
      </c>
      <c r="CG12" s="16">
        <f t="shared" ca="1" si="0"/>
        <v>0.12905714776000035</v>
      </c>
      <c r="CH12" s="16">
        <f t="shared" ca="1" si="0"/>
        <v>0.13082838001537012</v>
      </c>
      <c r="CI12" s="16">
        <f t="shared" ca="1" si="0"/>
        <v>0.14751745746824285</v>
      </c>
      <c r="CJ12" s="16">
        <f t="shared" ca="1" si="0"/>
        <v>0.14372525187447835</v>
      </c>
      <c r="CK12" s="16">
        <f t="shared" ca="1" si="0"/>
        <v>0.13446746896148518</v>
      </c>
      <c r="CL12" s="16">
        <f t="shared" ca="1" si="0"/>
        <v>0.13881972778728202</v>
      </c>
      <c r="CM12" s="16">
        <f t="shared" ca="1" si="0"/>
        <v>0.15302452039989192</v>
      </c>
      <c r="CN12" s="16">
        <f t="shared" ca="1" si="0"/>
        <v>0.14631032882787645</v>
      </c>
      <c r="CO12" s="16">
        <f t="shared" ca="1" si="0"/>
        <v>0.12405524764842943</v>
      </c>
      <c r="CP12" s="16">
        <f t="shared" ca="1" si="0"/>
        <v>0.12919241826914801</v>
      </c>
      <c r="CQ12" s="16">
        <f t="shared" ca="1" si="0"/>
        <v>8.9823707467515126E-2</v>
      </c>
      <c r="CR12" s="16">
        <f>IFERROR(_xll.GI.MargemLiquida(A12) / 1, -1)</f>
        <v>0.16739999999999999</v>
      </c>
      <c r="CS12" s="16">
        <f ca="1">IFERROR(_xll.GI.MargemLiquida(A12,Parâmetros!$D$11,$CS$10,"12m","cp") / 1, -1)</f>
        <v>0.17369999999999999</v>
      </c>
      <c r="CT12" s="16">
        <f ca="1">IFERROR(_xll.GI.MargemLiquida(A12,4,$CT$10,"12m","cp") / 1, -1)</f>
        <v>0.1948</v>
      </c>
      <c r="CU12" s="16">
        <f ca="1">IFERROR(_xll.GI.MargemLiquida(A12,4,$CU$10,"12m","cp") / 1, -1)</f>
        <v>0.1734</v>
      </c>
      <c r="CV12" s="16">
        <f ca="1">IFERROR(_xll.GI.MargemLiquida(A12,4,$CV$10,"12m","cp") / 1, -1)</f>
        <v>0.19700000000000001</v>
      </c>
      <c r="CW12" s="16">
        <f ca="1">IFERROR(_xll.GI.MargemLiquida(A12,4,$CW$10,"12m","cp") / 1, -1)</f>
        <v>0.1578</v>
      </c>
      <c r="CX12" s="16">
        <f ca="1">IFERROR(_xll.GI.MargemLiquida(A12,4,$CX$10,"12m","cp") / 1, -1)</f>
        <v>0.16389999999999999</v>
      </c>
      <c r="CY12" s="16">
        <f ca="1">IFERROR(_xll.GI.MargemLiquida(A12,4,$CY$10,"12m","cp") / 1, -1)</f>
        <v>0.1797</v>
      </c>
      <c r="CZ12" s="16">
        <f ca="1">IFERROR(_xll.GI.MargemLiquida(A12,4,$CZ$10,"12m","cp") / 1, -1)</f>
        <v>0.19889999999999999</v>
      </c>
      <c r="DA12" s="16">
        <f ca="1">IFERROR(_xll.GI.MargemLiquida(A12,4,$DA$10,"12m","cp") / 1, -1)</f>
        <v>0.42320000000000002</v>
      </c>
      <c r="DB12" s="16">
        <f ca="1">IFERROR(_xll.GI.MargemLiquida(A12,4,$DB$10,"12m","cp") / 1, -1)</f>
        <v>0.55169999999999997</v>
      </c>
      <c r="DC12" s="16">
        <f ca="1">IFERROR(_xll.GI.MargemLiquida(A12,4,$DC$10,"12m","cp") / 1, -1)</f>
        <v>0.39860000000000001</v>
      </c>
      <c r="DD12" s="16">
        <f>IFERROR(_xll.GI.MargemBruta(A12) / 1, -1)</f>
        <v>0.25580000000000003</v>
      </c>
      <c r="DE12" s="16">
        <f ca="1">IFERROR(_xll.GI.MargemBruta(A12,Parâmetros!$D$11,$DE$10,"12m","cp") / 1, -1)</f>
        <v>0.2802</v>
      </c>
      <c r="DF12" s="16">
        <f ca="1">IFERROR(_xll.GI.MargemBruta(A12,4,$DF$10,"12m","cp") / 1, -1)</f>
        <v>0.18210000000000001</v>
      </c>
      <c r="DG12" s="16">
        <f ca="1">IFERROR(_xll.GI.MargemBruta(A12,4,$DG$10,"12m","cp") / 1, -1)</f>
        <v>0.41470000000000001</v>
      </c>
      <c r="DH12" s="16">
        <f ca="1">IFERROR(_xll.GI.MargemBruta(A12,4,$DH$10,"12m","cp") / 1, -1)</f>
        <v>0.1137</v>
      </c>
      <c r="DI12" s="16">
        <f ca="1">IFERROR(_xll.GI.MargemBruta(A12,4,$DI$10,"12m","cp") / 1, -1)</f>
        <v>0.16600000000000001</v>
      </c>
      <c r="DJ12" s="16">
        <f ca="1">IFERROR(_xll.GI.MargemBruta(A12,4,$DJ$10,"12m","cp") / 1, -1)</f>
        <v>0.29430000000000001</v>
      </c>
      <c r="DK12" s="16">
        <f ca="1">IFERROR(_xll.GI.MargemBruta(A12,4,$DK$10,"12m","cp") / 1, -1)</f>
        <v>0.3463</v>
      </c>
      <c r="DL12" s="16">
        <f ca="1">IFERROR(_xll.GI.MargemBruta(A12,4,$DL$10,"12m","cp") / 1, -1)</f>
        <v>0.39760000000000001</v>
      </c>
      <c r="DM12" s="16">
        <f ca="1">IFERROR(_xll.GI.MargemBruta(A12,4,$DM$10,"12m","cp") / 1, -1)</f>
        <v>0.4874</v>
      </c>
      <c r="DN12" s="16">
        <f ca="1">IFERROR(_xll.GI.MargemBruta(A12,4,$DN$10,"12m","cp") / 1, -1)</f>
        <v>0.25459999999999999</v>
      </c>
      <c r="DO12" s="16">
        <f ca="1">IFERROR(_xll.GI.MargemBruta(A12,4,$DO$10,"12m","cp") / 1, -1)</f>
        <v>0.49280000000000002</v>
      </c>
      <c r="DP12" s="31">
        <f>IFERROR(_xll.GI.QtdeNeg21d(A12) / 1, -1)</f>
        <v>2159</v>
      </c>
      <c r="DQ12" s="32">
        <f ca="1">IFERROR(TRUNC(NOW() - _xll.GI.UltimoNegocio(A12)) / 1, -1)</f>
        <v>0</v>
      </c>
      <c r="DR12" s="28">
        <f>IFERROR(_xll.GI.PrecoUltimo(A12) / 1, -1)</f>
        <v>18.7</v>
      </c>
      <c r="DS12" s="31">
        <f ca="1">IFERROR(_xll.GI.FechamentoData(A12, CONCATENATE("31/12/",$DS$10)) / 1,-1)</f>
        <v>16.579999999999998</v>
      </c>
      <c r="DT12" s="31">
        <f ca="1">IFERROR(_xll.GI.FechamentoData(A12, CONCATENATE("31/12/",$DT$10)) / 1,-1)</f>
        <v>12.43</v>
      </c>
      <c r="DU12" s="31">
        <f ca="1">IFERROR(_xll.GI.FechamentoData(A12, CONCATENATE("31/12/",$DU$10)) / 1,-1)</f>
        <v>7.02</v>
      </c>
      <c r="DV12" s="31">
        <f ca="1">IFERROR(_xll.GI.FechamentoData(A12, CONCATENATE("31/12/",$DV$10))/ 1,-1)</f>
        <v>10.16</v>
      </c>
      <c r="DW12" s="31">
        <f ca="1">IFERROR(_xll.GI.FechamentoData(A12, CONCATENATE("31/12/",$DW$10)) / 1,-1)</f>
        <v>8.9600000000000009</v>
      </c>
      <c r="DX12" s="31">
        <f ca="1">IFERROR(_xll.GI.FechamentoData(A12, CONCATENATE("31/12/",$DX$10)) / 1,-1)</f>
        <v>9.4700000000000006</v>
      </c>
      <c r="DY12" s="31">
        <f ca="1">IFERROR(_xll.GI.FechamentoData(A12, CONCATENATE("31/12/",$DY$10)) / 1,-1)</f>
        <v>7.93</v>
      </c>
      <c r="DZ12" s="31">
        <f ca="1">IFERROR(_xll.GI.FechamentoData(A12, CONCATENATE("31/12/",$DZ$10)) / 1,-1)</f>
        <v>8.84</v>
      </c>
      <c r="EA12" s="31">
        <f ca="1">IFERROR(_xll.GI.FechamentoData(A12, CONCATENATE("31/12/",$EA$10)) / 1,-1)</f>
        <v>6.86</v>
      </c>
      <c r="EB12" s="31">
        <f ca="1">IFERROR(_xll.GI.FechamentoData(A12, CONCATENATE("31/12/",$EB$10)) / 1,-1)</f>
        <v>2.79</v>
      </c>
      <c r="EC12" s="31">
        <f ca="1">IFERROR(_xll.GI.FechamentoData(A12, CONCATENATE("31/12/",$EC$10)) / 1,-1)</f>
        <v>6.07</v>
      </c>
    </row>
    <row r="13" spans="1:133" ht="15.75" thickBot="1" x14ac:dyDescent="0.3">
      <c r="A13" s="10" t="s">
        <v>18</v>
      </c>
      <c r="B13" s="9" t="str">
        <f>_xll.GI.RazaoSocial(A13)</f>
        <v>AMBEV S.A.</v>
      </c>
      <c r="C13" s="9" t="str">
        <f>_xll.GI.Segmento(A13)</f>
        <v>Cervejas e Refrigerantes</v>
      </c>
      <c r="D13" s="23">
        <f>IFERROR(_xll.GI.LucroLiquido(A13) / 1000, -1)</f>
        <v>8884865</v>
      </c>
      <c r="E13" s="23">
        <f ca="1">IFERROR(_xll.GI.LucroLiquido(A13,Parâmetros!$D$11,$E$10,"12m","cp") / 1000, -1)</f>
        <v>9384888</v>
      </c>
      <c r="F13" s="23">
        <f ca="1">IFERROR(_xll.GI.LucroLiquido(A13,4,$F$10,"12m","cp") / 1000, -1)</f>
        <v>13083397</v>
      </c>
      <c r="G13" s="23">
        <f ca="1">IFERROR(_xll.GI.LucroLiquido(A13,4,$G$10,"12m","cp") / 1000, -1)</f>
        <v>12879141</v>
      </c>
      <c r="H13" s="23">
        <f ca="1">IFERROR(_xll.GI.LucroLiquido(A13,4,$H$10,"12m","cp") / 1000, -1)</f>
        <v>12362019</v>
      </c>
      <c r="I13" s="23">
        <f ca="1">IFERROR(_xll.GI.LucroLiquido(A13,4,$I$10,"12m","cp") / 1000, -1)</f>
        <v>11354070</v>
      </c>
      <c r="J13" s="23">
        <f ca="1">IFERROR(_xll.GI.LucroLiquido(A13,4,$J$10,"12m","cp") / 1000, -1)</f>
        <v>10642555</v>
      </c>
      <c r="K13" s="23">
        <f ca="1">IFERROR(_xll.GI.LucroLiquido(A13,4,$K$10,"12m","cp") / 1000, -1)</f>
        <v>8719764</v>
      </c>
      <c r="L13" s="23">
        <f ca="1">IFERROR(_xll.GI.LucroLiquido(A13,4,$L$10,"12m","cp") / 1000, -1)</f>
        <v>7619243</v>
      </c>
      <c r="M13" s="23">
        <f ca="1">IFERROR(_xll.GI.LucroLiquido(A13,4,$M$10,"12m","cp") / 1000, -1)</f>
        <v>5959937</v>
      </c>
      <c r="N13" s="23">
        <f ca="1">IFERROR(_xll.GI.LucroLiquido(A13,4,$N$10,"12m","cp") / 1000, -1)</f>
        <v>3059478</v>
      </c>
      <c r="O13" s="23">
        <f ca="1">IFERROR(_xll.GI.LucroLiquido(A13,4,$O$10,"12m","cp") / 1000, -1)</f>
        <v>2816407</v>
      </c>
      <c r="P13" s="23">
        <f>IFERROR(_xll.GI.RecLiquidaOpe(A13) / 1000, -1)</f>
        <v>20800153</v>
      </c>
      <c r="Q13" s="23">
        <f ca="1">IFERROR(_xll.GI.RecLiquidaOpe(A13,Parâmetros!$D$11,$Q$10,"12m","cp") / 1000,-1)</f>
        <v>46049532</v>
      </c>
      <c r="R13" s="23">
        <f ca="1">IFERROR(_xll.GI.RecLiquidaOpe(A13,4,$R$10,"12m","cp") / 1000,-1)</f>
        <v>45602561</v>
      </c>
      <c r="S13" s="23">
        <f ca="1">IFERROR(_xll.GI.RecLiquidaOpe(A13,4,$S$10,"12m","cp") / 1000,-1)</f>
        <v>46720141</v>
      </c>
      <c r="T13" s="23">
        <f ca="1">IFERROR(_xll.GI.RecLiquidaOpe(A13,4,$T$10,"12m","cp") / 1000,-1)</f>
        <v>38079786</v>
      </c>
      <c r="U13" s="23">
        <f ca="1">IFERROR(_xll.GI.RecLiquidaOpe(A13,4,$U$10,"12m","cp") / 1000,-1)</f>
        <v>34791391</v>
      </c>
      <c r="V13" s="23">
        <f ca="1">IFERROR(_xll.GI.RecLiquidaOpe(A13,4,$V$10,"12m","cp") / 1000,-1)</f>
        <v>32231027</v>
      </c>
      <c r="W13" s="23">
        <f ca="1">IFERROR(_xll.GI.RecLiquidaOpe(A13,4,$W$10,"12m","cp") / 1000,-1)</f>
        <v>27126719</v>
      </c>
      <c r="X13" s="23">
        <f ca="1">IFERROR(_xll.GI.RecLiquidaOpe(A13,4,$X$10,"12m","cp") / 1000,-1)</f>
        <v>25233310</v>
      </c>
      <c r="Y13" s="23">
        <f ca="1">IFERROR(_xll.GI.RecLiquidaOpe(A13,4,$Y$10,"12m","cp") / 1000,-1)</f>
        <v>11199162</v>
      </c>
      <c r="Z13" s="23">
        <f ca="1">IFERROR(_xll.GI.RecLiquidaOpe(A13,4,$Z$10,"12m","cp") / 1000,-1)</f>
        <v>20899468</v>
      </c>
      <c r="AA13" s="23">
        <f ca="1">IFERROR(_xll.GI.RecLiquidaOpe(A13,4,$AA$10,"12m","cp") / 1000,-1)</f>
        <v>19648220</v>
      </c>
      <c r="AB13" s="27">
        <f>IFERROR(_xll.GI.PatrimonioLiquido(A13) / 1000,-1)</f>
        <v>47166109</v>
      </c>
      <c r="AC13" s="27">
        <f ca="1">IFERROR(_xll.GI.PatrimonioLiquido(A13,Parâmetros!$D$11,$AC$10,"cp") / 1000,-1)</f>
        <v>48939678</v>
      </c>
      <c r="AD13" s="27">
        <f ca="1">IFERROR(_xll.GI.PatrimonioLiquido(A13,4,$AD$10,"cp") / 1000, -1)</f>
        <v>46651273</v>
      </c>
      <c r="AE13" s="27">
        <f ca="1">IFERROR(_xll.GI.PatrimonioLiquido(A13,4,$AE$10,"cp") / 1000, -1)</f>
        <v>50333633</v>
      </c>
      <c r="AF13" s="27">
        <f ca="1">IFERROR(_xll.GI.PatrimonioLiquido(A13,4,$AF$10,"cp") / 1000, -1)</f>
        <v>43644669</v>
      </c>
      <c r="AG13" s="27">
        <f ca="1">IFERROR(_xll.GI.PatrimonioLiquido(A13,4,$AG$10,"cp") / 1000, -1)</f>
        <v>43997398</v>
      </c>
      <c r="AH13" s="27">
        <f ca="1">IFERROR(_xll.GI.PatrimonioLiquido(A13,4,$AH$10,"cp") / 1000, -1)</f>
        <v>29923817</v>
      </c>
      <c r="AI13" s="27">
        <f ca="1">IFERROR(_xll.GI.PatrimonioLiquido(A13,4,$AI$10,"cp") / 1000, -1)</f>
        <v>25828845</v>
      </c>
      <c r="AJ13" s="27">
        <f ca="1">IFERROR(_xll.GI.PatrimonioLiquido(A13,4,$AJ$10,"cp") / 1000, -1)</f>
        <v>24564842</v>
      </c>
      <c r="AK13" s="27">
        <f ca="1">IFERROR(_xll.GI.PatrimonioLiquido(A13,4,$AK$10,"cp") / 1000, -1)</f>
        <v>19243058</v>
      </c>
      <c r="AL13" s="27">
        <f ca="1">IFERROR(_xll.GI.PatrimonioLiquido(A13,4,$AL$10,"cp") / 1000, -1)</f>
        <v>17278138</v>
      </c>
      <c r="AM13" s="27">
        <f ca="1">IFERROR(_xll.GI.PatrimonioLiquido(A13,4,$AM$10,"cp") / 1000, -1)</f>
        <v>17419950</v>
      </c>
      <c r="AN13" s="27">
        <f>IFERROR(_xll.GI.AtivoTotal(A13) / 1000, -1)</f>
        <v>90469486</v>
      </c>
      <c r="AO13" s="27">
        <f>IFERROR(_xll.GI.AtivoCirculante(A13) / 1000, -1)</f>
        <v>10423848</v>
      </c>
      <c r="AP13" s="27">
        <f>IFERROR(_xll.GI.PassivoExigivelLp(A13) / 1000, -1)</f>
        <v>-1</v>
      </c>
      <c r="AQ13" s="27">
        <f>IFERROR(_xll.GI.PassivoCirculante(A13) / 1000, -1)</f>
        <v>13848978</v>
      </c>
      <c r="AR13" s="16">
        <f>IFERROR(_xll.GI.PrecoLucro(A13) / 1,-1)</f>
        <v>39.566499999999998</v>
      </c>
      <c r="AS13" s="16">
        <f ca="1">IFERROR(_xll.GI.PrecoLucro(A13,Parâmetros!$D$11,$AS$10,"12m","cp") / 1,-1)</f>
        <v>34.666899999999998</v>
      </c>
      <c r="AT13" s="16">
        <f ca="1">IFERROR(_xll.GI.PrecoLucro(A13,4,$AT$10,"12m","cp") / 1,-1)</f>
        <v>19.127300000000002</v>
      </c>
      <c r="AU13" s="16">
        <f ca="1">IFERROR(_xll.GI.PrecoLucro(A13,4,$AU$10,"12m","cp") / 1,-1)</f>
        <v>20.4329</v>
      </c>
      <c r="AV13" s="16">
        <f ca="1">IFERROR((_xll.GI.ValorMercado(A13) / 1000) / (( E13 + F13 + G13) / 3),-1)</f>
        <v>29.835916807963891</v>
      </c>
      <c r="AW13" s="16">
        <f>IFERROR(_xll.GI.PrecoValorPatr(A13) / 1, -1)</f>
        <v>7.4532999999999996</v>
      </c>
      <c r="AX13" s="16">
        <f>IFERROR(_xll.GI.DividendYield(A13) / 1, -1)</f>
        <v>2.41E-2</v>
      </c>
      <c r="AY13" s="16">
        <f ca="1">IFERROR(_xll.GI.DividendYield(A13,Parâmetros!$D$11,$AY$10,"12m") / 1, -1)</f>
        <v>2.1700000000000001E-2</v>
      </c>
      <c r="AZ13" s="16">
        <f ca="1">IFERROR(_xll.GI.DividendYield(A13,4,$AZ$10,"12m") / 1, -1)</f>
        <v>3.0099999999999998E-2</v>
      </c>
      <c r="BA13" s="16">
        <f ca="1">IFERROR(_xll.GI.DividendYield(A13,4,$BA$10,"12m") / 1, -1)</f>
        <v>3.49E-2</v>
      </c>
      <c r="BB13" s="16">
        <f ca="1">IFERROR(_xll.GI.DividendYield(A13,4,$BB$10,"12m") / 1, -1)</f>
        <v>6.0400000000000002E-2</v>
      </c>
      <c r="BC13" s="16">
        <f ca="1">IFERROR(_xll.GI.DividendYield(A13,4,$BC$10,"12m") / 1, -1)</f>
        <v>-1</v>
      </c>
      <c r="BD13" s="16">
        <f ca="1">IFERROR(_xll.GI.DividendYield(A13,4,$BD$10,"12m") / 1, -1)</f>
        <v>-1</v>
      </c>
      <c r="BE13" s="16">
        <f ca="1">IFERROR(_xll.GI.DividendYield(A13,4,$BE$10,"12m") / 1, -1)</f>
        <v>-1</v>
      </c>
      <c r="BF13" s="16">
        <f ca="1">IFERROR(_xll.GI.DividendYield(A13,4,$BF$10,"12m") / 1, -1)</f>
        <v>-1</v>
      </c>
      <c r="BG13" s="16">
        <f ca="1">IFERROR(_xll.GI.DividendYield(A13,4,$BG$10,"12m") / 1, -1)</f>
        <v>-1</v>
      </c>
      <c r="BH13" s="16">
        <f ca="1">IFERROR(_xll.GI.DividendYield(A13,4,$BH$10,"12m") / 1, -1)</f>
        <v>-1</v>
      </c>
      <c r="BI13" s="16">
        <f ca="1">IFERROR(_xll.GI.DividendYield(A13,4,$BI$10,"12m") / 1, -1)</f>
        <v>-1</v>
      </c>
      <c r="BJ13" s="16">
        <f>IFERROR(_xll.GI.Payout(A13) / 1,-1)</f>
        <v>0.90380000000000005</v>
      </c>
      <c r="BK13" s="16">
        <f>IFERROR(_xll.GI.ValorMercado(A13) / 1000,-1)</f>
        <v>351540953.83721995</v>
      </c>
      <c r="BL13" s="16">
        <f>IFERROR(_xll.GI.LiquidezCorrente(A13) / 1, -1)</f>
        <v>0.75270000000000004</v>
      </c>
      <c r="BM13" s="16">
        <f ca="1">IFERROR(_xll.GI.LiquidezCorrente(A13,Parâmetros!$D$11,$BM$10,"cp") / 1, -1)</f>
        <v>0.94669999999999999</v>
      </c>
      <c r="BN13" s="16">
        <f ca="1">IFERROR(_xll.GI.LiquidezCorrente(A13,4,$BN$10,"cp") / 1, -1)</f>
        <v>0.83020000000000005</v>
      </c>
      <c r="BO13" s="16">
        <f ca="1">IFERROR(_xll.GI.LiquidezCorrente(A13,4,$BO$10,"cp") / 1, -1)</f>
        <v>0.93940000000000001</v>
      </c>
      <c r="BP13" s="16">
        <f>IFERROR(_xll.GI.DivTotBrutaPatrLiq(A13) / 1, 0-1)</f>
        <v>2.46E-2</v>
      </c>
      <c r="BQ13" s="16">
        <f ca="1">IFERROR(_xll.GI.DivTotBrutaPatrLiq(A13,Parâmetros!$D$11,$BQ$10,"cp") / 1, -1)</f>
        <v>6.8000000000000005E-2</v>
      </c>
      <c r="BR13" s="16">
        <f ca="1">IFERROR(_xll.GI.DivTotBrutaPatrLiq(A13,4,$BR$10,"cp") / 1, -1)</f>
        <v>0.1157</v>
      </c>
      <c r="BS13" s="16">
        <f ca="1">IFERROR(_xll.GI.DivTotBrutaPatrLiq(A13,4,$BS$10,"cp") / 1, -1)</f>
        <v>7.1499999999999994E-2</v>
      </c>
      <c r="BT13" s="16">
        <f>IFERROR(_xll.GI.LucroLiquidoAcao(A13) / 1, -1)</f>
        <v>0.56559999999999999</v>
      </c>
      <c r="BU13" s="16">
        <f ca="1">IFERROR(_xll.GI.LucroLiquidoAcao(A13,Parâmetros!$D$11,$BU$10,"12m","cp") / 1, -1)</f>
        <v>0.59750000000000003</v>
      </c>
      <c r="BV13" s="16">
        <f ca="1">IFERROR(_xll.GI.LucroLiquidoAcao(A13,4,$BV$10,"12m","cp") / 1, -1)</f>
        <v>0.83330000000000004</v>
      </c>
      <c r="BW13" s="16">
        <f ca="1">IFERROR(_xll.GI.LucroLiquidoAcao(A13,4,$BW$10,"12m","cp") / 1, -1)</f>
        <v>0.82110000000000005</v>
      </c>
      <c r="BX13" s="16">
        <f ca="1">IFERROR(_xll.GI.LucroLiquidoAcao(A13,4,$BX$10,"12m","cp") / 1, -1)</f>
        <v>0.78649999999999998</v>
      </c>
      <c r="BY13" s="16">
        <f ca="1">IFERROR(_xll.GI.LucroLiquidoAcao(A13,4,$BY$10,"12m","cp") / 1, -1)</f>
        <v>0.72240000000000004</v>
      </c>
      <c r="BZ13" s="16">
        <f ca="1">IFERROR(_xll.GI.LucroLiquidoAcao(A13,4,$BZ$10,"12m","cp") / 1, -1)</f>
        <v>0.67720000000000002</v>
      </c>
      <c r="CA13" s="16">
        <f ca="1">IFERROR(_xll.GI.LucroLiquidoAcao(A13,4,$CA$10,"12m","cp") / 1, -1)</f>
        <v>0.55489999999999995</v>
      </c>
      <c r="CB13" s="16">
        <f ca="1">IFERROR(_xll.GI.LucroLiquidoAcao(A13,4,$CB$10,"12m","cp") / 1, -1)</f>
        <v>0.4849</v>
      </c>
      <c r="CC13" s="16">
        <f ca="1">IFERROR(_xll.GI.LucroLiquidoAcao(A13,4,$CC$10,"12m","cp") / 1, -1)</f>
        <v>0.3795</v>
      </c>
      <c r="CD13" s="16">
        <f ca="1">IFERROR(_xll.GI.LucroLiquidoAcao(A13,4,$CD$10,"12m","cp") / 1, -1)</f>
        <v>0.19489999999999999</v>
      </c>
      <c r="CE13" s="16">
        <f ca="1">IFERROR(_xll.GI.LucroLiquidoAcao(A13,4,$CE$10,"12m","cp") / 1, -1)</f>
        <v>0.18179999999999999</v>
      </c>
      <c r="CF13" s="16">
        <f>IFERROR(_xll.GI.RentPatrLiquido(A13) / 1, -1)</f>
        <v>0.18840000000000001</v>
      </c>
      <c r="CG13" s="16">
        <f t="shared" ca="1" si="0"/>
        <v>0.1917644002479951</v>
      </c>
      <c r="CH13" s="16">
        <f t="shared" ca="1" si="0"/>
        <v>0.28045101791756039</v>
      </c>
      <c r="CI13" s="16">
        <f t="shared" ca="1" si="0"/>
        <v>0.25587545011900892</v>
      </c>
      <c r="CJ13" s="16">
        <f t="shared" ca="1" si="0"/>
        <v>0.28324235887778182</v>
      </c>
      <c r="CK13" s="16">
        <f t="shared" ca="1" si="0"/>
        <v>0.25806230632093291</v>
      </c>
      <c r="CL13" s="16">
        <f t="shared" ca="1" si="0"/>
        <v>0.35565499548403201</v>
      </c>
      <c r="CM13" s="16">
        <f t="shared" ca="1" si="0"/>
        <v>0.33759790652659843</v>
      </c>
      <c r="CN13" s="16">
        <f t="shared" ca="1" si="0"/>
        <v>0.31016861415188424</v>
      </c>
      <c r="CO13" s="16">
        <f t="shared" ca="1" si="0"/>
        <v>0.30971880872572333</v>
      </c>
      <c r="CP13" s="16">
        <f t="shared" ca="1" si="0"/>
        <v>0.17707220534990517</v>
      </c>
      <c r="CQ13" s="16">
        <f t="shared" ca="1" si="0"/>
        <v>0.16167710010648711</v>
      </c>
      <c r="CR13" s="16">
        <f>IFERROR(_xll.GI.MargemLiquida(A13) / 1, -1)</f>
        <v>0.42720000000000002</v>
      </c>
      <c r="CS13" s="16">
        <f ca="1">IFERROR(_xll.GI.MargemLiquida(A13,Parâmetros!$D$11,$CS$10,"12m","cp") / 1, -1)</f>
        <v>0.20380000000000001</v>
      </c>
      <c r="CT13" s="16">
        <f ca="1">IFERROR(_xll.GI.MargemLiquida(A13,4,$CT$10,"12m","cp") / 1, -1)</f>
        <v>0.28689999999999999</v>
      </c>
      <c r="CU13" s="16">
        <f ca="1">IFERROR(_xll.GI.MargemLiquida(A13,4,$CU$10,"12m","cp") / 1, -1)</f>
        <v>0.2757</v>
      </c>
      <c r="CV13" s="16">
        <f ca="1">IFERROR(_xll.GI.MargemLiquida(A13,4,$CV$10,"12m","cp") / 1, -1)</f>
        <v>0.3246</v>
      </c>
      <c r="CW13" s="16">
        <f ca="1">IFERROR(_xll.GI.MargemLiquida(A13,4,$CW$10,"12m","cp") / 1, -1)</f>
        <v>0.32629999999999998</v>
      </c>
      <c r="CX13" s="16">
        <f ca="1">IFERROR(_xll.GI.MargemLiquida(A13,4,$CX$10,"12m","cp") / 1, -1)</f>
        <v>0.33019999999999999</v>
      </c>
      <c r="CY13" s="16">
        <f ca="1">IFERROR(_xll.GI.MargemLiquida(A13,4,$CY$10,"12m","cp") / 1, -1)</f>
        <v>0.32140000000000002</v>
      </c>
      <c r="CZ13" s="16">
        <f ca="1">IFERROR(_xll.GI.MargemLiquida(A13,4,$CZ$10,"12m","cp") / 1, -1)</f>
        <v>0.30199999999999999</v>
      </c>
      <c r="DA13" s="16">
        <f ca="1">IFERROR(_xll.GI.MargemLiquida(A13,4,$DA$10,"12m","cp") / 1, -1)</f>
        <v>0.53220000000000001</v>
      </c>
      <c r="DB13" s="16">
        <f ca="1">IFERROR(_xll.GI.MargemLiquida(A13,4,$DB$10,"12m","cp") / 1, -1)</f>
        <v>0.1464</v>
      </c>
      <c r="DC13" s="16">
        <f ca="1">IFERROR(_xll.GI.MargemLiquida(A13,4,$DC$10,"12m","cp") / 1, -1)</f>
        <v>0.14330000000000001</v>
      </c>
      <c r="DD13" s="16">
        <f>IFERROR(_xll.GI.MargemBruta(A13) / 1, -1)</f>
        <v>0.45960000000000001</v>
      </c>
      <c r="DE13" s="16">
        <f ca="1">IFERROR(_xll.GI.MargemBruta(A13,Parâmetros!$D$11,$DE$10,"12m","cp") / 1, -1)</f>
        <v>0.61650000000000005</v>
      </c>
      <c r="DF13" s="16">
        <f ca="1">IFERROR(_xll.GI.MargemBruta(A13,4,$DF$10,"12m","cp") / 1, -1)</f>
        <v>0.63429999999999997</v>
      </c>
      <c r="DG13" s="16">
        <f ca="1">IFERROR(_xll.GI.MargemBruta(A13,4,$DG$10,"12m","cp") / 1, -1)</f>
        <v>0.65620000000000001</v>
      </c>
      <c r="DH13" s="16">
        <f ca="1">IFERROR(_xll.GI.MargemBruta(A13,4,$DH$10,"12m","cp") / 1, -1)</f>
        <v>0.66349999999999998</v>
      </c>
      <c r="DI13" s="16">
        <f ca="1">IFERROR(_xll.GI.MargemBruta(A13,4,$DI$10,"12m","cp") / 1, -1)</f>
        <v>0.6724</v>
      </c>
      <c r="DJ13" s="16">
        <f ca="1">IFERROR(_xll.GI.MargemBruta(A13,4,$DJ$10,"12m","cp") / 1, -1)</f>
        <v>0.68069999999999997</v>
      </c>
      <c r="DK13" s="16">
        <f ca="1">IFERROR(_xll.GI.MargemBruta(A13,4,$DK$10,"12m","cp") / 1, -1)</f>
        <v>0.67579999999999996</v>
      </c>
      <c r="DL13" s="16">
        <f ca="1">IFERROR(_xll.GI.MargemBruta(A13,4,$DL$10,"12m","cp") / 1, -1)</f>
        <v>0.66520000000000001</v>
      </c>
      <c r="DM13" s="16">
        <f ca="1">IFERROR(_xll.GI.MargemBruta(A13,4,$DM$10,"12m","cp") / 1, -1)</f>
        <v>0.60299999999999998</v>
      </c>
      <c r="DN13" s="16">
        <f ca="1">IFERROR(_xll.GI.MargemBruta(A13,4,$DN$10,"12m","cp") / 1, -1)</f>
        <v>0.65720000000000001</v>
      </c>
      <c r="DO13" s="16">
        <f ca="1">IFERROR(_xll.GI.MargemBruta(A13,4,$DO$10,"12m","cp") / 1, -1)</f>
        <v>0.66679999999999995</v>
      </c>
      <c r="DP13" s="31">
        <f>IFERROR(_xll.GI.QtdeNeg21d(A13) / 1, -1)</f>
        <v>24875.95</v>
      </c>
      <c r="DQ13" s="32">
        <f ca="1">IFERROR(TRUNC(NOW() - _xll.GI.UltimoNegocio(A13)) / 1, -1)</f>
        <v>0</v>
      </c>
      <c r="DR13" s="28">
        <f>IFERROR(_xll.GI.PrecoUltimo(A13) / 1, -1)</f>
        <v>22.38</v>
      </c>
      <c r="DS13" s="31">
        <f ca="1">IFERROR(_xll.GI.FechamentoData(A13, CONCATENATE("31/12/",$DS$10)) / 1,-1)</f>
        <v>21.21</v>
      </c>
      <c r="DT13" s="31">
        <f ca="1">IFERROR(_xll.GI.FechamentoData(A13, CONCATENATE("31/12/",$DT$10)) / 1,-1)</f>
        <v>15.94</v>
      </c>
      <c r="DU13" s="31">
        <f ca="1">IFERROR(_xll.GI.FechamentoData(A13, CONCATENATE("31/12/",$DU$10)) / 1,-1)</f>
        <v>16.78</v>
      </c>
      <c r="DV13" s="31">
        <f ca="1">IFERROR(_xll.GI.FechamentoData(A13, CONCATENATE("31/12/",$DV$10))/ 1,-1)</f>
        <v>14.81</v>
      </c>
      <c r="DW13" s="31">
        <f ca="1">IFERROR(_xll.GI.FechamentoData(A13, CONCATENATE("31/12/",$DW$10)) / 1,-1)</f>
        <v>14.97</v>
      </c>
      <c r="DX13" s="31">
        <f ca="1">IFERROR(_xll.GI.FechamentoData(A13, CONCATENATE("31/12/",$DX$10)) / 1,-1)</f>
        <v>14.59</v>
      </c>
      <c r="DY13" s="31">
        <f ca="1">IFERROR(_xll.GI.FechamentoData(A13, CONCATENATE("31/12/",$DY$10)) / 1,-1)</f>
        <v>11.04</v>
      </c>
      <c r="DZ13" s="31">
        <f ca="1">IFERROR(_xll.GI.FechamentoData(A13, CONCATENATE("31/12/",$DZ$10)) / 1,-1)</f>
        <v>8</v>
      </c>
      <c r="EA13" s="31">
        <f ca="1">IFERROR(_xll.GI.FechamentoData(A13, CONCATENATE("31/12/",$EA$10)) / 1,-1)</f>
        <v>5.3</v>
      </c>
      <c r="EB13" s="31">
        <f ca="1">IFERROR(_xll.GI.FechamentoData(A13, CONCATENATE("31/12/",$EB$10)) / 1,-1)</f>
        <v>2.95</v>
      </c>
      <c r="EC13" s="31">
        <f ca="1">IFERROR(_xll.GI.FechamentoData(A13, CONCATENATE("31/12/",$EC$10)) / 1,-1)</f>
        <v>3.57</v>
      </c>
    </row>
    <row r="14" spans="1:133" ht="15.75" thickBot="1" x14ac:dyDescent="0.3">
      <c r="A14" s="10" t="s">
        <v>259</v>
      </c>
      <c r="DW14" s="5"/>
    </row>
    <row r="15" spans="1:133" ht="15.75" thickBot="1" x14ac:dyDescent="0.3">
      <c r="A15" s="10" t="s">
        <v>411</v>
      </c>
      <c r="DQ15" s="6"/>
      <c r="DR15" s="7"/>
    </row>
    <row r="16" spans="1:133" ht="15.75" thickBot="1" x14ac:dyDescent="0.3">
      <c r="A16" s="10" t="s">
        <v>358</v>
      </c>
      <c r="AV16">
        <f>_xll.GI.ValorMercado(A12) / _xll.GI.LucroLiquido(A12)</f>
        <v>8.6363205711037825</v>
      </c>
      <c r="DQ16" s="6"/>
      <c r="DR16" s="7"/>
      <c r="DS16" s="7"/>
    </row>
    <row r="17" spans="1:48" ht="15.75" thickBot="1" x14ac:dyDescent="0.3">
      <c r="A17" s="10" t="s">
        <v>181</v>
      </c>
      <c r="AV17">
        <f>_xll.GI.PrecoLucro(A12,4,2017,"12m","cp")</f>
        <v>7.6571999999999996</v>
      </c>
    </row>
    <row r="18" spans="1:48" x14ac:dyDescent="0.25">
      <c r="A18" s="10" t="s">
        <v>276</v>
      </c>
      <c r="AV18">
        <f ca="1">(_xll.GI.ValorMercado(A12) / 1000) / ((D12 + F12 + G12) / 3)</f>
        <v>9.04827604290554</v>
      </c>
    </row>
    <row r="19" spans="1:48" ht="15.75" thickBot="1" x14ac:dyDescent="0.3">
      <c r="A19" s="11" t="s">
        <v>104</v>
      </c>
    </row>
    <row r="20" spans="1:48" ht="15.75" thickBot="1" x14ac:dyDescent="0.3">
      <c r="A20" s="10" t="s">
        <v>83</v>
      </c>
    </row>
    <row r="21" spans="1:48" ht="15.75" thickBot="1" x14ac:dyDescent="0.3">
      <c r="A21" s="10" t="s">
        <v>94</v>
      </c>
      <c r="D21" t="str">
        <f>_xll.GI.LucroLiquido(A13,1,2018,"12m","cp")</f>
        <v/>
      </c>
      <c r="E21" t="str">
        <f>_xll.GI.LucroLiquido(A13,4,2017,"12m","cp")</f>
        <v/>
      </c>
      <c r="F21">
        <f>_xll.GI.LucroLiquido(A13,3,2017,"12m","cp") / 1000</f>
        <v>9384888</v>
      </c>
      <c r="G21">
        <f>_xll.GI.LucroLiquido(A13,2,2017,"12m","cp") / 1000</f>
        <v>12431547</v>
      </c>
      <c r="AV21">
        <f>_xll.GI.LucroLiquido(A13) / 1000</f>
        <v>8884865</v>
      </c>
    </row>
    <row r="22" spans="1:48" ht="15.75" thickBot="1" x14ac:dyDescent="0.3">
      <c r="A22" s="10" t="s">
        <v>297</v>
      </c>
      <c r="D22">
        <f>_xll.GI.LucroLiquido(A13,2,2017,"3m","cp") / 1000</f>
        <v>2124833</v>
      </c>
      <c r="E22">
        <f>_xll.GI.LucroLiquido(A13,3,2017,"3m","cp") / 1000</f>
        <v>136490</v>
      </c>
      <c r="F22">
        <f>_xll.GI.LucroLiquido(A13,4,2016,"3m","cp") / 1000</f>
        <v>4833734</v>
      </c>
      <c r="G22">
        <f>AV22 + D22 + E22 + F22</f>
        <v>9384888</v>
      </c>
      <c r="H22">
        <f>G22 - D13</f>
        <v>500023</v>
      </c>
      <c r="AV22">
        <f>_xll.GI.LucroLiquido(A13,1,2017,"3m","cp") / 1000</f>
        <v>2289831</v>
      </c>
    </row>
    <row r="23" spans="1:48" ht="15.75" thickBot="1" x14ac:dyDescent="0.3">
      <c r="A23" s="10" t="s">
        <v>352</v>
      </c>
    </row>
    <row r="24" spans="1:48" ht="15.75" thickBot="1" x14ac:dyDescent="0.3">
      <c r="A24" s="10" t="s">
        <v>127</v>
      </c>
      <c r="D24" s="6">
        <f ca="1">EDATE(AV24,2)</f>
        <v>43221</v>
      </c>
      <c r="E24" s="6">
        <f ca="1">EDATE(AV24,-3)</f>
        <v>43070</v>
      </c>
      <c r="F24" s="6">
        <f ca="1">DATE(YEAR(AV24)+2,MONTH(AV24),DAY(AV24))</f>
        <v>43891</v>
      </c>
      <c r="G24" s="6">
        <f ca="1">DATE(YEAR(AV24)-3,MONTH(AV24),DAY(AV24))</f>
        <v>42064</v>
      </c>
      <c r="AV24" s="6">
        <f ca="1">NOW()</f>
        <v>43160.636221527777</v>
      </c>
    </row>
    <row r="25" spans="1:48" ht="15.75" thickBot="1" x14ac:dyDescent="0.3">
      <c r="A25" s="10" t="s">
        <v>129</v>
      </c>
    </row>
    <row r="26" spans="1:48" ht="15.75" thickBot="1" x14ac:dyDescent="0.3">
      <c r="A26" s="10" t="s">
        <v>107</v>
      </c>
    </row>
    <row r="27" spans="1:48" ht="15.75" thickBot="1" x14ac:dyDescent="0.3">
      <c r="A27" s="10" t="s">
        <v>216</v>
      </c>
    </row>
    <row r="28" spans="1:48" ht="15.75" thickBot="1" x14ac:dyDescent="0.3">
      <c r="A28" s="10" t="s">
        <v>394</v>
      </c>
    </row>
    <row r="29" spans="1:48" ht="15.75" thickBot="1" x14ac:dyDescent="0.3">
      <c r="A29" s="10" t="s">
        <v>84</v>
      </c>
    </row>
    <row r="30" spans="1:48" ht="15.75" thickBot="1" x14ac:dyDescent="0.3">
      <c r="A30" s="10" t="s">
        <v>252</v>
      </c>
    </row>
    <row r="31" spans="1:48" ht="15.75" thickBot="1" x14ac:dyDescent="0.3">
      <c r="A31" s="10" t="s">
        <v>398</v>
      </c>
    </row>
    <row r="32" spans="1:48" ht="15.75" thickBot="1" x14ac:dyDescent="0.3">
      <c r="A32" s="10" t="s">
        <v>326</v>
      </c>
    </row>
    <row r="33" spans="1:1" ht="15.75" thickBot="1" x14ac:dyDescent="0.3">
      <c r="A33" s="10" t="s">
        <v>280</v>
      </c>
    </row>
    <row r="34" spans="1:1" ht="15.75" thickBot="1" x14ac:dyDescent="0.3">
      <c r="A34" s="10" t="s">
        <v>13</v>
      </c>
    </row>
    <row r="35" spans="1:1" ht="15.75" thickBot="1" x14ac:dyDescent="0.3">
      <c r="A35" s="10" t="s">
        <v>63</v>
      </c>
    </row>
    <row r="36" spans="1:1" ht="15.75" thickBot="1" x14ac:dyDescent="0.3">
      <c r="A36" s="10" t="s">
        <v>11</v>
      </c>
    </row>
    <row r="37" spans="1:1" ht="15.75" thickBot="1" x14ac:dyDescent="0.3">
      <c r="A37" s="10" t="s">
        <v>145</v>
      </c>
    </row>
    <row r="38" spans="1:1" ht="15.75" thickBot="1" x14ac:dyDescent="0.3">
      <c r="A38" s="10" t="s">
        <v>25</v>
      </c>
    </row>
    <row r="39" spans="1:1" ht="15.75" thickBot="1" x14ac:dyDescent="0.3">
      <c r="A39" s="10" t="s">
        <v>278</v>
      </c>
    </row>
    <row r="40" spans="1:1" ht="15.75" thickBot="1" x14ac:dyDescent="0.3">
      <c r="A40" s="10" t="s">
        <v>122</v>
      </c>
    </row>
    <row r="41" spans="1:1" ht="15.75" thickBot="1" x14ac:dyDescent="0.3">
      <c r="A41" s="10" t="s">
        <v>234</v>
      </c>
    </row>
    <row r="42" spans="1:1" ht="15.75" thickBot="1" x14ac:dyDescent="0.3">
      <c r="A42" s="10" t="s">
        <v>378</v>
      </c>
    </row>
    <row r="43" spans="1:1" ht="15.75" thickBot="1" x14ac:dyDescent="0.3">
      <c r="A43" s="10" t="s">
        <v>349</v>
      </c>
    </row>
    <row r="44" spans="1:1" ht="15.75" thickBot="1" x14ac:dyDescent="0.3">
      <c r="A44" s="10" t="s">
        <v>272</v>
      </c>
    </row>
    <row r="45" spans="1:1" ht="15.75" thickBot="1" x14ac:dyDescent="0.3">
      <c r="A45" s="10" t="s">
        <v>231</v>
      </c>
    </row>
    <row r="46" spans="1:1" ht="15.75" thickBot="1" x14ac:dyDescent="0.3">
      <c r="A46" s="10" t="s">
        <v>72</v>
      </c>
    </row>
    <row r="47" spans="1:1" ht="15.75" thickBot="1" x14ac:dyDescent="0.3">
      <c r="A47" s="10" t="s">
        <v>338</v>
      </c>
    </row>
    <row r="48" spans="1:1" ht="15.75" thickBot="1" x14ac:dyDescent="0.3">
      <c r="A48" s="10" t="s">
        <v>294</v>
      </c>
    </row>
    <row r="49" spans="1:1" ht="15.75" thickBot="1" x14ac:dyDescent="0.3">
      <c r="A49" s="10" t="s">
        <v>354</v>
      </c>
    </row>
    <row r="50" spans="1:1" ht="15.75" thickBot="1" x14ac:dyDescent="0.3">
      <c r="A50" s="10" t="s">
        <v>350</v>
      </c>
    </row>
    <row r="51" spans="1:1" ht="15.75" thickBot="1" x14ac:dyDescent="0.3">
      <c r="A51" s="10" t="s">
        <v>327</v>
      </c>
    </row>
    <row r="52" spans="1:1" x14ac:dyDescent="0.25">
      <c r="A52" s="10" t="s">
        <v>312</v>
      </c>
    </row>
    <row r="53" spans="1:1" ht="15.75" thickBot="1" x14ac:dyDescent="0.3">
      <c r="A53" s="11" t="s">
        <v>396</v>
      </c>
    </row>
    <row r="54" spans="1:1" ht="15.75" thickBot="1" x14ac:dyDescent="0.3">
      <c r="A54" s="10" t="s">
        <v>262</v>
      </c>
    </row>
    <row r="55" spans="1:1" ht="15.75" thickBot="1" x14ac:dyDescent="0.3">
      <c r="A55" s="10" t="s">
        <v>131</v>
      </c>
    </row>
    <row r="56" spans="1:1" ht="15.75" thickBot="1" x14ac:dyDescent="0.3">
      <c r="A56" s="10" t="s">
        <v>361</v>
      </c>
    </row>
    <row r="57" spans="1:1" ht="15.75" thickBot="1" x14ac:dyDescent="0.3">
      <c r="A57" s="10" t="s">
        <v>374</v>
      </c>
    </row>
    <row r="58" spans="1:1" ht="15.75" thickBot="1" x14ac:dyDescent="0.3">
      <c r="A58" s="10" t="s">
        <v>206</v>
      </c>
    </row>
    <row r="59" spans="1:1" ht="15.75" thickBot="1" x14ac:dyDescent="0.3">
      <c r="A59" s="10" t="s">
        <v>187</v>
      </c>
    </row>
    <row r="60" spans="1:1" ht="15.75" thickBot="1" x14ac:dyDescent="0.3">
      <c r="A60" s="10" t="s">
        <v>198</v>
      </c>
    </row>
    <row r="61" spans="1:1" ht="15.75" thickBot="1" x14ac:dyDescent="0.3">
      <c r="A61" s="10" t="s">
        <v>34</v>
      </c>
    </row>
    <row r="62" spans="1:1" ht="15.75" thickBot="1" x14ac:dyDescent="0.3">
      <c r="A62" s="10" t="s">
        <v>26</v>
      </c>
    </row>
    <row r="63" spans="1:1" x14ac:dyDescent="0.25">
      <c r="A63" s="10" t="s">
        <v>19</v>
      </c>
    </row>
    <row r="64" spans="1:1" ht="15.75" thickBot="1" x14ac:dyDescent="0.3">
      <c r="A64" s="12" t="s">
        <v>335</v>
      </c>
    </row>
    <row r="65" spans="1:1" ht="15.75" thickBot="1" x14ac:dyDescent="0.3">
      <c r="A65" s="10" t="s">
        <v>403</v>
      </c>
    </row>
    <row r="66" spans="1:1" ht="15.75" thickBot="1" x14ac:dyDescent="0.3">
      <c r="A66" s="10" t="s">
        <v>365</v>
      </c>
    </row>
    <row r="67" spans="1:1" ht="15.75" thickBot="1" x14ac:dyDescent="0.3">
      <c r="A67" s="10" t="s">
        <v>208</v>
      </c>
    </row>
    <row r="68" spans="1:1" ht="15.75" thickBot="1" x14ac:dyDescent="0.3">
      <c r="A68" s="10" t="s">
        <v>408</v>
      </c>
    </row>
    <row r="69" spans="1:1" ht="15.75" thickBot="1" x14ac:dyDescent="0.3">
      <c r="A69" s="10" t="s">
        <v>255</v>
      </c>
    </row>
    <row r="70" spans="1:1" ht="15.75" thickBot="1" x14ac:dyDescent="0.3">
      <c r="A70" s="10" t="s">
        <v>291</v>
      </c>
    </row>
    <row r="71" spans="1:1" ht="15.75" thickBot="1" x14ac:dyDescent="0.3">
      <c r="A71" s="10" t="s">
        <v>67</v>
      </c>
    </row>
    <row r="72" spans="1:1" ht="15.75" thickBot="1" x14ac:dyDescent="0.3">
      <c r="A72" s="10" t="s">
        <v>45</v>
      </c>
    </row>
    <row r="73" spans="1:1" ht="15.75" thickBot="1" x14ac:dyDescent="0.3">
      <c r="A73" s="10" t="s">
        <v>93</v>
      </c>
    </row>
    <row r="74" spans="1:1" ht="15.75" thickBot="1" x14ac:dyDescent="0.3">
      <c r="A74" s="10" t="s">
        <v>367</v>
      </c>
    </row>
    <row r="75" spans="1:1" ht="15.75" thickBot="1" x14ac:dyDescent="0.3">
      <c r="A75" s="10" t="s">
        <v>363</v>
      </c>
    </row>
    <row r="76" spans="1:1" ht="15.75" thickBot="1" x14ac:dyDescent="0.3">
      <c r="A76" s="10" t="s">
        <v>81</v>
      </c>
    </row>
    <row r="77" spans="1:1" ht="15.75" thickBot="1" x14ac:dyDescent="0.3">
      <c r="A77" s="10" t="s">
        <v>229</v>
      </c>
    </row>
    <row r="78" spans="1:1" ht="15.75" thickBot="1" x14ac:dyDescent="0.3">
      <c r="A78" s="10" t="s">
        <v>42</v>
      </c>
    </row>
    <row r="79" spans="1:1" ht="15.75" thickBot="1" x14ac:dyDescent="0.3">
      <c r="A79" s="10" t="s">
        <v>400</v>
      </c>
    </row>
    <row r="80" spans="1:1" ht="15.75" thickBot="1" x14ac:dyDescent="0.3">
      <c r="A80" s="10" t="s">
        <v>311</v>
      </c>
    </row>
    <row r="81" spans="1:1" x14ac:dyDescent="0.25">
      <c r="A81" s="10" t="s">
        <v>15</v>
      </c>
    </row>
    <row r="82" spans="1:1" ht="15.75" thickBot="1" x14ac:dyDescent="0.3">
      <c r="A82" s="12" t="s">
        <v>334</v>
      </c>
    </row>
    <row r="83" spans="1:1" ht="15.75" thickBot="1" x14ac:dyDescent="0.3">
      <c r="A83" s="10" t="s">
        <v>91</v>
      </c>
    </row>
    <row r="84" spans="1:1" ht="15.75" thickBot="1" x14ac:dyDescent="0.3">
      <c r="A84" s="10" t="s">
        <v>142</v>
      </c>
    </row>
    <row r="85" spans="1:1" ht="15.75" thickBot="1" x14ac:dyDescent="0.3">
      <c r="A85" s="10" t="s">
        <v>375</v>
      </c>
    </row>
    <row r="86" spans="1:1" ht="15.75" thickBot="1" x14ac:dyDescent="0.3">
      <c r="A86" s="10" t="s">
        <v>377</v>
      </c>
    </row>
    <row r="87" spans="1:1" ht="15.75" thickBot="1" x14ac:dyDescent="0.3">
      <c r="A87" s="10" t="s">
        <v>36</v>
      </c>
    </row>
    <row r="88" spans="1:1" ht="15.75" thickBot="1" x14ac:dyDescent="0.3">
      <c r="A88" s="10" t="s">
        <v>260</v>
      </c>
    </row>
    <row r="89" spans="1:1" ht="15.75" thickBot="1" x14ac:dyDescent="0.3">
      <c r="A89" s="10" t="s">
        <v>366</v>
      </c>
    </row>
    <row r="90" spans="1:1" ht="15.75" thickBot="1" x14ac:dyDescent="0.3">
      <c r="A90" s="10" t="s">
        <v>362</v>
      </c>
    </row>
    <row r="91" spans="1:1" ht="15.75" thickBot="1" x14ac:dyDescent="0.3">
      <c r="A91" s="10" t="s">
        <v>340</v>
      </c>
    </row>
    <row r="92" spans="1:1" ht="15.75" thickBot="1" x14ac:dyDescent="0.3">
      <c r="A92" s="10" t="s">
        <v>348</v>
      </c>
    </row>
    <row r="93" spans="1:1" ht="15.75" thickBot="1" x14ac:dyDescent="0.3">
      <c r="A93" s="10" t="s">
        <v>344</v>
      </c>
    </row>
    <row r="94" spans="1:1" ht="15.75" thickBot="1" x14ac:dyDescent="0.3">
      <c r="A94" s="10" t="s">
        <v>370</v>
      </c>
    </row>
    <row r="95" spans="1:1" ht="15.75" thickBot="1" x14ac:dyDescent="0.3">
      <c r="A95" s="10" t="s">
        <v>329</v>
      </c>
    </row>
    <row r="96" spans="1:1" ht="15.75" thickBot="1" x14ac:dyDescent="0.3">
      <c r="A96" s="10" t="s">
        <v>316</v>
      </c>
    </row>
    <row r="97" spans="1:1" ht="15.75" thickBot="1" x14ac:dyDescent="0.3">
      <c r="A97" s="10" t="s">
        <v>270</v>
      </c>
    </row>
    <row r="98" spans="1:1" x14ac:dyDescent="0.25">
      <c r="A98" s="10" t="s">
        <v>414</v>
      </c>
    </row>
    <row r="99" spans="1:1" ht="15.75" thickBot="1" x14ac:dyDescent="0.3">
      <c r="A99" s="12" t="s">
        <v>401</v>
      </c>
    </row>
    <row r="100" spans="1:1" ht="15.75" thickBot="1" x14ac:dyDescent="0.3">
      <c r="A100" s="10" t="s">
        <v>419</v>
      </c>
    </row>
    <row r="101" spans="1:1" ht="15.75" thickBot="1" x14ac:dyDescent="0.3">
      <c r="A101" s="10" t="s">
        <v>305</v>
      </c>
    </row>
    <row r="102" spans="1:1" ht="15.75" thickBot="1" x14ac:dyDescent="0.3">
      <c r="A102" s="10" t="s">
        <v>385</v>
      </c>
    </row>
    <row r="103" spans="1:1" ht="15.75" thickBot="1" x14ac:dyDescent="0.3">
      <c r="A103" s="10" t="s">
        <v>232</v>
      </c>
    </row>
    <row r="104" spans="1:1" ht="15.75" thickBot="1" x14ac:dyDescent="0.3">
      <c r="A104" s="10" t="s">
        <v>331</v>
      </c>
    </row>
    <row r="105" spans="1:1" ht="15.75" thickBot="1" x14ac:dyDescent="0.3">
      <c r="A105" s="10" t="s">
        <v>74</v>
      </c>
    </row>
    <row r="106" spans="1:1" ht="15.75" thickBot="1" x14ac:dyDescent="0.3">
      <c r="A106" s="10" t="s">
        <v>219</v>
      </c>
    </row>
    <row r="107" spans="1:1" ht="15.75" thickBot="1" x14ac:dyDescent="0.3">
      <c r="A107" s="10" t="s">
        <v>139</v>
      </c>
    </row>
    <row r="108" spans="1:1" ht="15.75" thickBot="1" x14ac:dyDescent="0.3">
      <c r="A108" s="10" t="s">
        <v>261</v>
      </c>
    </row>
    <row r="109" spans="1:1" ht="15.75" thickBot="1" x14ac:dyDescent="0.3">
      <c r="A109" s="10" t="s">
        <v>218</v>
      </c>
    </row>
    <row r="110" spans="1:1" ht="15.75" thickBot="1" x14ac:dyDescent="0.3">
      <c r="A110" s="10" t="s">
        <v>21</v>
      </c>
    </row>
    <row r="111" spans="1:1" ht="15.75" thickBot="1" x14ac:dyDescent="0.3">
      <c r="A111" s="10" t="s">
        <v>212</v>
      </c>
    </row>
    <row r="112" spans="1:1" ht="15.75" thickBot="1" x14ac:dyDescent="0.3">
      <c r="A112" s="10" t="s">
        <v>114</v>
      </c>
    </row>
    <row r="113" spans="1:1" ht="15.75" thickBot="1" x14ac:dyDescent="0.3">
      <c r="A113" s="10" t="s">
        <v>29</v>
      </c>
    </row>
    <row r="114" spans="1:1" ht="15.75" thickBot="1" x14ac:dyDescent="0.3">
      <c r="A114" s="10" t="s">
        <v>339</v>
      </c>
    </row>
    <row r="115" spans="1:1" ht="15.75" thickBot="1" x14ac:dyDescent="0.3">
      <c r="A115" s="10" t="s">
        <v>199</v>
      </c>
    </row>
    <row r="116" spans="1:1" ht="15.75" thickBot="1" x14ac:dyDescent="0.3">
      <c r="A116" s="10" t="s">
        <v>268</v>
      </c>
    </row>
    <row r="117" spans="1:1" ht="15.75" thickBot="1" x14ac:dyDescent="0.3">
      <c r="A117" s="10" t="s">
        <v>112</v>
      </c>
    </row>
    <row r="118" spans="1:1" ht="15.75" thickBot="1" x14ac:dyDescent="0.3">
      <c r="A118" s="10" t="s">
        <v>165</v>
      </c>
    </row>
    <row r="119" spans="1:1" ht="15.75" thickBot="1" x14ac:dyDescent="0.3">
      <c r="A119" s="10" t="s">
        <v>86</v>
      </c>
    </row>
    <row r="120" spans="1:1" ht="15.75" thickBot="1" x14ac:dyDescent="0.3">
      <c r="A120" s="10" t="s">
        <v>243</v>
      </c>
    </row>
    <row r="121" spans="1:1" ht="15.75" thickBot="1" x14ac:dyDescent="0.3">
      <c r="A121" s="10" t="s">
        <v>277</v>
      </c>
    </row>
    <row r="122" spans="1:1" ht="15.75" thickBot="1" x14ac:dyDescent="0.3">
      <c r="A122" s="10" t="s">
        <v>251</v>
      </c>
    </row>
    <row r="123" spans="1:1" ht="15.75" thickBot="1" x14ac:dyDescent="0.3">
      <c r="A123" s="10" t="s">
        <v>53</v>
      </c>
    </row>
    <row r="124" spans="1:1" ht="15.75" thickBot="1" x14ac:dyDescent="0.3">
      <c r="A124" s="10" t="s">
        <v>386</v>
      </c>
    </row>
    <row r="125" spans="1:1" ht="15.75" thickBot="1" x14ac:dyDescent="0.3">
      <c r="A125" s="10" t="s">
        <v>379</v>
      </c>
    </row>
    <row r="126" spans="1:1" ht="15.75" thickBot="1" x14ac:dyDescent="0.3">
      <c r="A126" s="10" t="s">
        <v>373</v>
      </c>
    </row>
    <row r="127" spans="1:1" x14ac:dyDescent="0.25">
      <c r="A127" s="10" t="s">
        <v>215</v>
      </c>
    </row>
    <row r="128" spans="1:1" ht="15.75" thickBot="1" x14ac:dyDescent="0.3">
      <c r="A128" s="12" t="s">
        <v>293</v>
      </c>
    </row>
    <row r="129" spans="1:1" ht="15.75" thickBot="1" x14ac:dyDescent="0.3">
      <c r="A129" s="10" t="s">
        <v>333</v>
      </c>
    </row>
    <row r="130" spans="1:1" ht="15.75" thickBot="1" x14ac:dyDescent="0.3">
      <c r="A130" s="10" t="s">
        <v>73</v>
      </c>
    </row>
    <row r="131" spans="1:1" ht="15.75" thickBot="1" x14ac:dyDescent="0.3">
      <c r="A131" s="10" t="s">
        <v>78</v>
      </c>
    </row>
    <row r="132" spans="1:1" ht="15.75" thickBot="1" x14ac:dyDescent="0.3">
      <c r="A132" s="10" t="s">
        <v>27</v>
      </c>
    </row>
    <row r="133" spans="1:1" ht="15.75" thickBot="1" x14ac:dyDescent="0.3">
      <c r="A133" s="10" t="s">
        <v>281</v>
      </c>
    </row>
    <row r="134" spans="1:1" ht="15.75" thickBot="1" x14ac:dyDescent="0.3">
      <c r="A134" s="10" t="s">
        <v>254</v>
      </c>
    </row>
    <row r="135" spans="1:1" ht="15.75" thickBot="1" x14ac:dyDescent="0.3">
      <c r="A135" s="10" t="s">
        <v>409</v>
      </c>
    </row>
    <row r="136" spans="1:1" ht="15.75" thickBot="1" x14ac:dyDescent="0.3">
      <c r="A136" s="10" t="s">
        <v>184</v>
      </c>
    </row>
    <row r="137" spans="1:1" ht="15.75" thickBot="1" x14ac:dyDescent="0.3">
      <c r="A137" s="10" t="s">
        <v>156</v>
      </c>
    </row>
    <row r="138" spans="1:1" ht="15.75" thickBot="1" x14ac:dyDescent="0.3">
      <c r="A138" s="10" t="s">
        <v>123</v>
      </c>
    </row>
    <row r="139" spans="1:1" ht="15.75" thickBot="1" x14ac:dyDescent="0.3">
      <c r="A139" s="10" t="s">
        <v>258</v>
      </c>
    </row>
    <row r="140" spans="1:1" ht="15.75" thickBot="1" x14ac:dyDescent="0.3">
      <c r="A140" s="10" t="s">
        <v>324</v>
      </c>
    </row>
    <row r="141" spans="1:1" ht="15.75" thickBot="1" x14ac:dyDescent="0.3">
      <c r="A141" s="10" t="s">
        <v>75</v>
      </c>
    </row>
    <row r="142" spans="1:1" ht="15.75" thickBot="1" x14ac:dyDescent="0.3">
      <c r="A142" s="10" t="s">
        <v>59</v>
      </c>
    </row>
    <row r="143" spans="1:1" ht="15.75" thickBot="1" x14ac:dyDescent="0.3">
      <c r="A143" s="10" t="s">
        <v>150</v>
      </c>
    </row>
    <row r="144" spans="1:1" ht="15.75" thickBot="1" x14ac:dyDescent="0.3">
      <c r="A144" s="10" t="s">
        <v>273</v>
      </c>
    </row>
    <row r="145" spans="1:1" ht="15.75" thickBot="1" x14ac:dyDescent="0.3">
      <c r="A145" s="10" t="s">
        <v>315</v>
      </c>
    </row>
    <row r="146" spans="1:1" ht="15.75" thickBot="1" x14ac:dyDescent="0.3">
      <c r="A146" s="10" t="s">
        <v>149</v>
      </c>
    </row>
    <row r="147" spans="1:1" ht="15.75" thickBot="1" x14ac:dyDescent="0.3">
      <c r="A147" s="10" t="s">
        <v>160</v>
      </c>
    </row>
    <row r="148" spans="1:1" ht="15.75" thickBot="1" x14ac:dyDescent="0.3">
      <c r="A148" s="10" t="s">
        <v>376</v>
      </c>
    </row>
    <row r="149" spans="1:1" ht="15.75" thickBot="1" x14ac:dyDescent="0.3">
      <c r="A149" s="10" t="s">
        <v>343</v>
      </c>
    </row>
    <row r="150" spans="1:1" ht="15.75" thickBot="1" x14ac:dyDescent="0.3">
      <c r="A150" s="10" t="s">
        <v>60</v>
      </c>
    </row>
    <row r="151" spans="1:1" ht="15.75" thickBot="1" x14ac:dyDescent="0.3">
      <c r="A151" s="10" t="s">
        <v>235</v>
      </c>
    </row>
    <row r="152" spans="1:1" ht="15.75" thickBot="1" x14ac:dyDescent="0.3">
      <c r="A152" s="10" t="s">
        <v>77</v>
      </c>
    </row>
    <row r="153" spans="1:1" ht="15.75" thickBot="1" x14ac:dyDescent="0.3">
      <c r="A153" s="10" t="s">
        <v>239</v>
      </c>
    </row>
    <row r="154" spans="1:1" ht="15.75" thickBot="1" x14ac:dyDescent="0.3">
      <c r="A154" s="10" t="s">
        <v>320</v>
      </c>
    </row>
    <row r="155" spans="1:1" ht="15.75" thickBot="1" x14ac:dyDescent="0.3">
      <c r="A155" s="10" t="s">
        <v>306</v>
      </c>
    </row>
    <row r="156" spans="1:1" ht="15.75" thickBot="1" x14ac:dyDescent="0.3">
      <c r="A156" s="10" t="s">
        <v>299</v>
      </c>
    </row>
    <row r="157" spans="1:1" ht="15.75" thickBot="1" x14ac:dyDescent="0.3">
      <c r="A157" s="10" t="s">
        <v>76</v>
      </c>
    </row>
    <row r="158" spans="1:1" ht="15.75" thickBot="1" x14ac:dyDescent="0.3">
      <c r="A158" s="10" t="s">
        <v>302</v>
      </c>
    </row>
    <row r="159" spans="1:1" ht="15.75" thickBot="1" x14ac:dyDescent="0.3">
      <c r="A159" s="10" t="s">
        <v>390</v>
      </c>
    </row>
    <row r="160" spans="1:1" ht="15.75" thickBot="1" x14ac:dyDescent="0.3">
      <c r="A160" s="10" t="s">
        <v>289</v>
      </c>
    </row>
    <row r="161" spans="1:1" ht="15.75" thickBot="1" x14ac:dyDescent="0.3">
      <c r="A161" s="10" t="s">
        <v>61</v>
      </c>
    </row>
    <row r="162" spans="1:1" ht="15.75" thickBot="1" x14ac:dyDescent="0.3">
      <c r="A162" s="10" t="s">
        <v>58</v>
      </c>
    </row>
    <row r="163" spans="1:1" ht="15.75" thickBot="1" x14ac:dyDescent="0.3">
      <c r="A163" s="10" t="s">
        <v>80</v>
      </c>
    </row>
    <row r="164" spans="1:1" ht="15.75" thickBot="1" x14ac:dyDescent="0.3">
      <c r="A164" s="10" t="s">
        <v>314</v>
      </c>
    </row>
    <row r="165" spans="1:1" ht="15.75" thickBot="1" x14ac:dyDescent="0.3">
      <c r="A165" s="10" t="s">
        <v>54</v>
      </c>
    </row>
    <row r="166" spans="1:1" ht="15.75" thickBot="1" x14ac:dyDescent="0.3">
      <c r="A166" s="10" t="s">
        <v>90</v>
      </c>
    </row>
    <row r="167" spans="1:1" ht="15.75" thickBot="1" x14ac:dyDescent="0.3">
      <c r="A167" s="10" t="s">
        <v>163</v>
      </c>
    </row>
    <row r="168" spans="1:1" x14ac:dyDescent="0.25">
      <c r="A168" s="10" t="s">
        <v>92</v>
      </c>
    </row>
    <row r="169" spans="1:1" ht="15.75" thickBot="1" x14ac:dyDescent="0.3">
      <c r="A169" s="12" t="s">
        <v>319</v>
      </c>
    </row>
    <row r="170" spans="1:1" ht="15.75" thickBot="1" x14ac:dyDescent="0.3">
      <c r="A170" s="10" t="s">
        <v>296</v>
      </c>
    </row>
    <row r="171" spans="1:1" ht="15.75" thickBot="1" x14ac:dyDescent="0.3">
      <c r="A171" s="10" t="s">
        <v>355</v>
      </c>
    </row>
    <row r="172" spans="1:1" ht="15.75" thickBot="1" x14ac:dyDescent="0.3">
      <c r="A172" s="10" t="s">
        <v>28</v>
      </c>
    </row>
    <row r="173" spans="1:1" ht="15.75" thickBot="1" x14ac:dyDescent="0.3">
      <c r="A173" s="10" t="s">
        <v>32</v>
      </c>
    </row>
    <row r="174" spans="1:1" ht="15.75" thickBot="1" x14ac:dyDescent="0.3">
      <c r="A174" s="10" t="s">
        <v>307</v>
      </c>
    </row>
    <row r="175" spans="1:1" ht="15.75" thickBot="1" x14ac:dyDescent="0.3">
      <c r="A175" s="10" t="s">
        <v>200</v>
      </c>
    </row>
    <row r="176" spans="1:1" ht="15.75" thickBot="1" x14ac:dyDescent="0.3">
      <c r="A176" s="10" t="s">
        <v>381</v>
      </c>
    </row>
    <row r="177" spans="1:1" ht="15.75" thickBot="1" x14ac:dyDescent="0.3">
      <c r="A177" s="10" t="s">
        <v>213</v>
      </c>
    </row>
    <row r="178" spans="1:1" ht="15.75" thickBot="1" x14ac:dyDescent="0.3">
      <c r="A178" s="10" t="s">
        <v>143</v>
      </c>
    </row>
    <row r="179" spans="1:1" ht="15.75" thickBot="1" x14ac:dyDescent="0.3">
      <c r="A179" s="10" t="s">
        <v>117</v>
      </c>
    </row>
    <row r="180" spans="1:1" ht="15.75" thickBot="1" x14ac:dyDescent="0.3">
      <c r="A180" s="10" t="s">
        <v>417</v>
      </c>
    </row>
    <row r="181" spans="1:1" ht="15.75" thickBot="1" x14ac:dyDescent="0.3">
      <c r="A181" s="10" t="s">
        <v>309</v>
      </c>
    </row>
    <row r="182" spans="1:1" ht="15.75" thickBot="1" x14ac:dyDescent="0.3">
      <c r="A182" s="10" t="s">
        <v>136</v>
      </c>
    </row>
    <row r="183" spans="1:1" ht="15.75" thickBot="1" x14ac:dyDescent="0.3">
      <c r="A183" s="10" t="s">
        <v>223</v>
      </c>
    </row>
    <row r="184" spans="1:1" ht="15.75" thickBot="1" x14ac:dyDescent="0.3">
      <c r="A184" s="10" t="s">
        <v>31</v>
      </c>
    </row>
    <row r="185" spans="1:1" ht="15.75" thickBot="1" x14ac:dyDescent="0.3">
      <c r="A185" s="10" t="s">
        <v>415</v>
      </c>
    </row>
    <row r="186" spans="1:1" ht="15.75" thickBot="1" x14ac:dyDescent="0.3">
      <c r="A186" s="10" t="s">
        <v>257</v>
      </c>
    </row>
    <row r="187" spans="1:1" ht="15.75" thickBot="1" x14ac:dyDescent="0.3">
      <c r="A187" s="10" t="s">
        <v>38</v>
      </c>
    </row>
    <row r="188" spans="1:1" ht="15.75" thickBot="1" x14ac:dyDescent="0.3">
      <c r="A188" s="10" t="s">
        <v>205</v>
      </c>
    </row>
    <row r="189" spans="1:1" ht="15.75" thickBot="1" x14ac:dyDescent="0.3">
      <c r="A189" s="10" t="s">
        <v>347</v>
      </c>
    </row>
    <row r="190" spans="1:1" ht="15.75" thickBot="1" x14ac:dyDescent="0.3">
      <c r="A190" s="10" t="s">
        <v>389</v>
      </c>
    </row>
    <row r="191" spans="1:1" ht="15.75" thickBot="1" x14ac:dyDescent="0.3">
      <c r="A191" s="10" t="s">
        <v>157</v>
      </c>
    </row>
    <row r="192" spans="1:1" ht="15.75" thickBot="1" x14ac:dyDescent="0.3">
      <c r="A192" s="10" t="s">
        <v>271</v>
      </c>
    </row>
    <row r="193" spans="1:1" ht="15.75" thickBot="1" x14ac:dyDescent="0.3">
      <c r="A193" s="10" t="s">
        <v>285</v>
      </c>
    </row>
    <row r="194" spans="1:1" ht="15.75" thickBot="1" x14ac:dyDescent="0.3">
      <c r="A194" s="10" t="s">
        <v>102</v>
      </c>
    </row>
    <row r="195" spans="1:1" ht="15.75" thickBot="1" x14ac:dyDescent="0.3">
      <c r="A195" s="10" t="s">
        <v>177</v>
      </c>
    </row>
    <row r="196" spans="1:1" ht="15.75" thickBot="1" x14ac:dyDescent="0.3">
      <c r="A196" s="10" t="s">
        <v>16</v>
      </c>
    </row>
    <row r="197" spans="1:1" x14ac:dyDescent="0.25">
      <c r="A197" s="10" t="s">
        <v>269</v>
      </c>
    </row>
    <row r="198" spans="1:1" ht="15.75" thickBot="1" x14ac:dyDescent="0.3">
      <c r="A198" s="12" t="s">
        <v>191</v>
      </c>
    </row>
    <row r="199" spans="1:1" ht="15.75" thickBot="1" x14ac:dyDescent="0.3">
      <c r="A199" s="10" t="s">
        <v>23</v>
      </c>
    </row>
    <row r="200" spans="1:1" ht="15.75" thickBot="1" x14ac:dyDescent="0.3">
      <c r="A200" s="10" t="s">
        <v>71</v>
      </c>
    </row>
    <row r="201" spans="1:1" ht="15.75" thickBot="1" x14ac:dyDescent="0.3">
      <c r="A201" s="10" t="s">
        <v>357</v>
      </c>
    </row>
    <row r="202" spans="1:1" ht="15.75" thickBot="1" x14ac:dyDescent="0.3">
      <c r="A202" s="10" t="s">
        <v>240</v>
      </c>
    </row>
    <row r="203" spans="1:1" ht="15.75" thickBot="1" x14ac:dyDescent="0.3">
      <c r="A203" s="10" t="s">
        <v>147</v>
      </c>
    </row>
    <row r="204" spans="1:1" ht="15.75" thickBot="1" x14ac:dyDescent="0.3">
      <c r="A204" s="10" t="s">
        <v>308</v>
      </c>
    </row>
    <row r="205" spans="1:1" ht="15.75" thickBot="1" x14ac:dyDescent="0.3">
      <c r="A205" s="10" t="s">
        <v>99</v>
      </c>
    </row>
    <row r="206" spans="1:1" ht="15.75" thickBot="1" x14ac:dyDescent="0.3">
      <c r="A206" s="10" t="s">
        <v>169</v>
      </c>
    </row>
    <row r="207" spans="1:1" ht="15.75" thickBot="1" x14ac:dyDescent="0.3">
      <c r="A207" s="10" t="s">
        <v>410</v>
      </c>
    </row>
    <row r="208" spans="1:1" ht="15.75" thickBot="1" x14ac:dyDescent="0.3">
      <c r="A208" s="10" t="s">
        <v>275</v>
      </c>
    </row>
    <row r="209" spans="1:1" x14ac:dyDescent="0.25">
      <c r="A209" s="10" t="s">
        <v>155</v>
      </c>
    </row>
    <row r="210" spans="1:1" ht="15.75" thickBot="1" x14ac:dyDescent="0.3">
      <c r="A210" s="12" t="s">
        <v>387</v>
      </c>
    </row>
    <row r="211" spans="1:1" ht="15.75" thickBot="1" x14ac:dyDescent="0.3">
      <c r="A211" s="10" t="s">
        <v>360</v>
      </c>
    </row>
    <row r="212" spans="1:1" ht="15.75" thickBot="1" x14ac:dyDescent="0.3">
      <c r="A212" s="10" t="s">
        <v>79</v>
      </c>
    </row>
    <row r="213" spans="1:1" ht="15.75" thickBot="1" x14ac:dyDescent="0.3">
      <c r="A213" s="10" t="s">
        <v>353</v>
      </c>
    </row>
    <row r="214" spans="1:1" ht="15.75" thickBot="1" x14ac:dyDescent="0.3">
      <c r="A214" s="10" t="s">
        <v>52</v>
      </c>
    </row>
    <row r="215" spans="1:1" ht="15.75" thickBot="1" x14ac:dyDescent="0.3">
      <c r="A215" s="10" t="s">
        <v>217</v>
      </c>
    </row>
    <row r="216" spans="1:1" ht="15.75" thickBot="1" x14ac:dyDescent="0.3">
      <c r="A216" s="10" t="s">
        <v>341</v>
      </c>
    </row>
    <row r="217" spans="1:1" x14ac:dyDescent="0.25">
      <c r="A217" s="10" t="s">
        <v>300</v>
      </c>
    </row>
    <row r="218" spans="1:1" ht="15.75" thickBot="1" x14ac:dyDescent="0.3">
      <c r="A218" s="12" t="s">
        <v>321</v>
      </c>
    </row>
    <row r="219" spans="1:1" ht="15.75" thickBot="1" x14ac:dyDescent="0.3">
      <c r="A219" s="10" t="s">
        <v>57</v>
      </c>
    </row>
    <row r="220" spans="1:1" ht="15.75" thickBot="1" x14ac:dyDescent="0.3">
      <c r="A220" s="10" t="s">
        <v>399</v>
      </c>
    </row>
    <row r="221" spans="1:1" ht="15.75" thickBot="1" x14ac:dyDescent="0.3">
      <c r="A221" s="10" t="s">
        <v>332</v>
      </c>
    </row>
    <row r="222" spans="1:1" ht="15.75" thickBot="1" x14ac:dyDescent="0.3">
      <c r="A222" s="10" t="s">
        <v>37</v>
      </c>
    </row>
    <row r="223" spans="1:1" ht="15.75" thickBot="1" x14ac:dyDescent="0.3">
      <c r="A223" s="10" t="s">
        <v>173</v>
      </c>
    </row>
    <row r="224" spans="1:1" ht="15.75" thickBot="1" x14ac:dyDescent="0.3">
      <c r="A224" s="10" t="s">
        <v>14</v>
      </c>
    </row>
    <row r="225" spans="1:1" ht="15.75" thickBot="1" x14ac:dyDescent="0.3">
      <c r="A225" s="10" t="s">
        <v>125</v>
      </c>
    </row>
    <row r="226" spans="1:1" ht="15.75" thickBot="1" x14ac:dyDescent="0.3">
      <c r="A226" s="10" t="s">
        <v>12</v>
      </c>
    </row>
    <row r="227" spans="1:1" ht="15.75" thickBot="1" x14ac:dyDescent="0.3">
      <c r="A227" s="10" t="s">
        <v>380</v>
      </c>
    </row>
    <row r="228" spans="1:1" ht="15.75" thickBot="1" x14ac:dyDescent="0.3">
      <c r="A228" s="10" t="s">
        <v>236</v>
      </c>
    </row>
    <row r="229" spans="1:1" ht="15.75" thickBot="1" x14ac:dyDescent="0.3">
      <c r="A229" s="10" t="s">
        <v>46</v>
      </c>
    </row>
    <row r="230" spans="1:1" ht="15.75" thickBot="1" x14ac:dyDescent="0.3">
      <c r="A230" s="10" t="s">
        <v>303</v>
      </c>
    </row>
    <row r="231" spans="1:1" ht="15.75" thickBot="1" x14ac:dyDescent="0.3">
      <c r="A231" s="10" t="s">
        <v>164</v>
      </c>
    </row>
    <row r="232" spans="1:1" x14ac:dyDescent="0.25">
      <c r="A232" s="10" t="s">
        <v>250</v>
      </c>
    </row>
    <row r="233" spans="1:1" ht="15.75" thickBot="1" x14ac:dyDescent="0.3">
      <c r="A233" s="12" t="s">
        <v>372</v>
      </c>
    </row>
    <row r="234" spans="1:1" ht="15.75" thickBot="1" x14ac:dyDescent="0.3">
      <c r="A234" s="10" t="s">
        <v>420</v>
      </c>
    </row>
    <row r="235" spans="1:1" ht="15.75" thickBot="1" x14ac:dyDescent="0.3">
      <c r="A235" s="10" t="s">
        <v>421</v>
      </c>
    </row>
    <row r="236" spans="1:1" ht="15.75" thickBot="1" x14ac:dyDescent="0.3">
      <c r="A236" s="10" t="s">
        <v>193</v>
      </c>
    </row>
    <row r="237" spans="1:1" ht="15.75" thickBot="1" x14ac:dyDescent="0.3">
      <c r="A237" s="10" t="s">
        <v>121</v>
      </c>
    </row>
    <row r="238" spans="1:1" ht="15.75" thickBot="1" x14ac:dyDescent="0.3">
      <c r="A238" s="10" t="s">
        <v>230</v>
      </c>
    </row>
    <row r="239" spans="1:1" ht="15.75" thickBot="1" x14ac:dyDescent="0.3">
      <c r="A239" s="10" t="s">
        <v>183</v>
      </c>
    </row>
    <row r="240" spans="1:1" ht="15.75" thickBot="1" x14ac:dyDescent="0.3">
      <c r="A240" s="10" t="s">
        <v>22</v>
      </c>
    </row>
    <row r="241" spans="1:1" ht="15.75" thickBot="1" x14ac:dyDescent="0.3">
      <c r="A241" s="10" t="s">
        <v>111</v>
      </c>
    </row>
    <row r="242" spans="1:1" ht="15.75" thickBot="1" x14ac:dyDescent="0.3">
      <c r="A242" s="10" t="s">
        <v>50</v>
      </c>
    </row>
    <row r="243" spans="1:1" ht="15.75" thickBot="1" x14ac:dyDescent="0.3">
      <c r="A243" s="10" t="s">
        <v>153</v>
      </c>
    </row>
    <row r="244" spans="1:1" ht="15.75" thickBot="1" x14ac:dyDescent="0.3">
      <c r="A244" s="10" t="s">
        <v>128</v>
      </c>
    </row>
    <row r="245" spans="1:1" ht="15.75" thickBot="1" x14ac:dyDescent="0.3">
      <c r="A245" s="10" t="s">
        <v>110</v>
      </c>
    </row>
    <row r="246" spans="1:1" ht="15.75" thickBot="1" x14ac:dyDescent="0.3">
      <c r="A246" s="10" t="s">
        <v>130</v>
      </c>
    </row>
    <row r="247" spans="1:1" ht="15.75" thickBot="1" x14ac:dyDescent="0.3">
      <c r="A247" s="10" t="s">
        <v>298</v>
      </c>
    </row>
    <row r="248" spans="1:1" ht="15.75" thickBot="1" x14ac:dyDescent="0.3">
      <c r="A248" s="10" t="s">
        <v>328</v>
      </c>
    </row>
    <row r="249" spans="1:1" ht="15.75" thickBot="1" x14ac:dyDescent="0.3">
      <c r="A249" s="10" t="s">
        <v>249</v>
      </c>
    </row>
    <row r="250" spans="1:1" ht="15.75" thickBot="1" x14ac:dyDescent="0.3">
      <c r="A250" s="10" t="s">
        <v>194</v>
      </c>
    </row>
    <row r="251" spans="1:1" ht="15.75" thickBot="1" x14ac:dyDescent="0.3">
      <c r="A251" s="10" t="s">
        <v>146</v>
      </c>
    </row>
    <row r="252" spans="1:1" ht="15.75" thickBot="1" x14ac:dyDescent="0.3">
      <c r="A252" s="10" t="s">
        <v>182</v>
      </c>
    </row>
    <row r="253" spans="1:1" ht="15.75" thickBot="1" x14ac:dyDescent="0.3">
      <c r="A253" s="10" t="s">
        <v>51</v>
      </c>
    </row>
    <row r="254" spans="1:1" ht="15.75" thickBot="1" x14ac:dyDescent="0.3">
      <c r="A254" s="10" t="s">
        <v>202</v>
      </c>
    </row>
    <row r="255" spans="1:1" ht="15.75" thickBot="1" x14ac:dyDescent="0.3">
      <c r="A255" s="10" t="s">
        <v>141</v>
      </c>
    </row>
    <row r="256" spans="1:1" ht="15.75" thickBot="1" x14ac:dyDescent="0.3">
      <c r="A256" s="10" t="s">
        <v>407</v>
      </c>
    </row>
    <row r="257" spans="1:1" ht="15.75" thickBot="1" x14ac:dyDescent="0.3">
      <c r="A257" s="10" t="s">
        <v>66</v>
      </c>
    </row>
    <row r="258" spans="1:1" ht="15.75" thickBot="1" x14ac:dyDescent="0.3">
      <c r="A258" s="10" t="s">
        <v>120</v>
      </c>
    </row>
    <row r="259" spans="1:1" ht="15.75" thickBot="1" x14ac:dyDescent="0.3">
      <c r="A259" s="10" t="s">
        <v>397</v>
      </c>
    </row>
    <row r="260" spans="1:1" ht="15.75" thickBot="1" x14ac:dyDescent="0.3">
      <c r="A260" s="10" t="s">
        <v>416</v>
      </c>
    </row>
    <row r="261" spans="1:1" ht="15.75" thickBot="1" x14ac:dyDescent="0.3">
      <c r="A261" s="10" t="s">
        <v>388</v>
      </c>
    </row>
    <row r="262" spans="1:1" ht="15.75" thickBot="1" x14ac:dyDescent="0.3">
      <c r="A262" s="10" t="s">
        <v>256</v>
      </c>
    </row>
    <row r="263" spans="1:1" ht="15.75" thickBot="1" x14ac:dyDescent="0.3">
      <c r="A263" s="10" t="s">
        <v>44</v>
      </c>
    </row>
    <row r="264" spans="1:1" ht="15.75" thickBot="1" x14ac:dyDescent="0.3">
      <c r="A264" s="10" t="s">
        <v>159</v>
      </c>
    </row>
    <row r="265" spans="1:1" ht="15.75" thickBot="1" x14ac:dyDescent="0.3">
      <c r="A265" s="10" t="s">
        <v>267</v>
      </c>
    </row>
    <row r="266" spans="1:1" ht="15.75" thickBot="1" x14ac:dyDescent="0.3">
      <c r="A266" s="10" t="s">
        <v>166</v>
      </c>
    </row>
    <row r="267" spans="1:1" ht="15.75" thickBot="1" x14ac:dyDescent="0.3">
      <c r="A267" s="10" t="s">
        <v>351</v>
      </c>
    </row>
    <row r="268" spans="1:1" ht="15.75" thickBot="1" x14ac:dyDescent="0.3">
      <c r="A268" s="10" t="s">
        <v>313</v>
      </c>
    </row>
    <row r="269" spans="1:1" x14ac:dyDescent="0.25">
      <c r="A269" s="10" t="s">
        <v>402</v>
      </c>
    </row>
    <row r="270" spans="1:1" ht="15.75" thickBot="1" x14ac:dyDescent="0.3">
      <c r="A270" s="12" t="s">
        <v>248</v>
      </c>
    </row>
    <row r="271" spans="1:1" ht="15.75" thickBot="1" x14ac:dyDescent="0.3">
      <c r="A271" s="10" t="s">
        <v>113</v>
      </c>
    </row>
    <row r="272" spans="1:1" ht="15.75" thickBot="1" x14ac:dyDescent="0.3">
      <c r="A272" s="10" t="s">
        <v>82</v>
      </c>
    </row>
    <row r="273" spans="1:1" ht="15.75" thickBot="1" x14ac:dyDescent="0.3">
      <c r="A273" s="10" t="s">
        <v>108</v>
      </c>
    </row>
    <row r="274" spans="1:1" ht="15.75" thickBot="1" x14ac:dyDescent="0.3">
      <c r="A274" s="10" t="s">
        <v>384</v>
      </c>
    </row>
    <row r="275" spans="1:1" ht="15.75" thickBot="1" x14ac:dyDescent="0.3">
      <c r="A275" s="10" t="s">
        <v>412</v>
      </c>
    </row>
    <row r="276" spans="1:1" ht="15.75" thickBot="1" x14ac:dyDescent="0.3">
      <c r="A276" s="10" t="s">
        <v>62</v>
      </c>
    </row>
    <row r="277" spans="1:1" ht="15.75" thickBot="1" x14ac:dyDescent="0.3">
      <c r="A277" s="10" t="s">
        <v>342</v>
      </c>
    </row>
    <row r="278" spans="1:1" ht="15.75" thickBot="1" x14ac:dyDescent="0.3">
      <c r="A278" s="10" t="s">
        <v>288</v>
      </c>
    </row>
    <row r="279" spans="1:1" ht="15.75" thickBot="1" x14ac:dyDescent="0.3">
      <c r="A279" s="10" t="s">
        <v>336</v>
      </c>
    </row>
    <row r="280" spans="1:1" ht="15.75" thickBot="1" x14ac:dyDescent="0.3">
      <c r="A280" s="10" t="s">
        <v>233</v>
      </c>
    </row>
    <row r="281" spans="1:1" ht="15.75" thickBot="1" x14ac:dyDescent="0.3">
      <c r="A281" s="10" t="s">
        <v>69</v>
      </c>
    </row>
    <row r="282" spans="1:1" ht="15.75" thickBot="1" x14ac:dyDescent="0.3">
      <c r="A282" s="10" t="s">
        <v>395</v>
      </c>
    </row>
    <row r="283" spans="1:1" x14ac:dyDescent="0.25">
      <c r="A283" s="10" t="s">
        <v>105</v>
      </c>
    </row>
    <row r="284" spans="1:1" ht="15.75" thickBot="1" x14ac:dyDescent="0.3">
      <c r="A284" s="12" t="s">
        <v>369</v>
      </c>
    </row>
    <row r="285" spans="1:1" ht="15.75" thickBot="1" x14ac:dyDescent="0.3">
      <c r="A285" s="10" t="s">
        <v>48</v>
      </c>
    </row>
    <row r="286" spans="1:1" ht="15.75" thickBot="1" x14ac:dyDescent="0.3">
      <c r="A286" s="10" t="s">
        <v>225</v>
      </c>
    </row>
    <row r="287" spans="1:1" ht="15.75" thickBot="1" x14ac:dyDescent="0.3">
      <c r="A287" s="10" t="s">
        <v>266</v>
      </c>
    </row>
    <row r="288" spans="1:1" ht="15.75" thickBot="1" x14ac:dyDescent="0.3">
      <c r="A288" s="10" t="s">
        <v>330</v>
      </c>
    </row>
    <row r="289" spans="1:1" ht="15.75" thickBot="1" x14ac:dyDescent="0.3">
      <c r="A289" s="10" t="s">
        <v>100</v>
      </c>
    </row>
    <row r="290" spans="1:1" ht="15.75" thickBot="1" x14ac:dyDescent="0.3">
      <c r="A290" s="10" t="s">
        <v>180</v>
      </c>
    </row>
    <row r="291" spans="1:1" ht="15.75" thickBot="1" x14ac:dyDescent="0.3">
      <c r="A291" s="10" t="s">
        <v>244</v>
      </c>
    </row>
    <row r="292" spans="1:1" ht="15.75" thickBot="1" x14ac:dyDescent="0.3">
      <c r="A292" s="10" t="s">
        <v>88</v>
      </c>
    </row>
    <row r="293" spans="1:1" ht="15.75" thickBot="1" x14ac:dyDescent="0.3">
      <c r="A293" s="10" t="s">
        <v>144</v>
      </c>
    </row>
    <row r="294" spans="1:1" ht="15.75" thickBot="1" x14ac:dyDescent="0.3">
      <c r="A294" s="10" t="s">
        <v>137</v>
      </c>
    </row>
    <row r="295" spans="1:1" ht="15.75" thickBot="1" x14ac:dyDescent="0.3">
      <c r="A295" s="10" t="s">
        <v>290</v>
      </c>
    </row>
    <row r="296" spans="1:1" ht="15.75" thickBot="1" x14ac:dyDescent="0.3">
      <c r="A296" s="10" t="s">
        <v>118</v>
      </c>
    </row>
    <row r="297" spans="1:1" ht="15.75" thickBot="1" x14ac:dyDescent="0.3">
      <c r="A297" s="10" t="s">
        <v>371</v>
      </c>
    </row>
    <row r="298" spans="1:1" x14ac:dyDescent="0.25">
      <c r="A298" s="10" t="s">
        <v>383</v>
      </c>
    </row>
    <row r="299" spans="1:1" ht="15.75" thickBot="1" x14ac:dyDescent="0.3">
      <c r="A299" s="12" t="s">
        <v>55</v>
      </c>
    </row>
    <row r="300" spans="1:1" ht="15.75" thickBot="1" x14ac:dyDescent="0.3">
      <c r="A300" s="10" t="s">
        <v>179</v>
      </c>
    </row>
    <row r="301" spans="1:1" ht="15.75" thickBot="1" x14ac:dyDescent="0.3">
      <c r="A301" s="10" t="s">
        <v>284</v>
      </c>
    </row>
    <row r="302" spans="1:1" ht="15.75" thickBot="1" x14ac:dyDescent="0.3">
      <c r="A302" s="10" t="s">
        <v>292</v>
      </c>
    </row>
    <row r="303" spans="1:1" ht="15.75" thickBot="1" x14ac:dyDescent="0.3">
      <c r="A303" s="10" t="s">
        <v>24</v>
      </c>
    </row>
    <row r="304" spans="1:1" ht="15.75" thickBot="1" x14ac:dyDescent="0.3">
      <c r="A304" s="10" t="s">
        <v>10</v>
      </c>
    </row>
    <row r="305" spans="1:1" ht="15.75" thickBot="1" x14ac:dyDescent="0.3">
      <c r="A305" s="10" t="s">
        <v>167</v>
      </c>
    </row>
    <row r="306" spans="1:1" ht="15.75" thickBot="1" x14ac:dyDescent="0.3">
      <c r="A306" s="10" t="s">
        <v>304</v>
      </c>
    </row>
    <row r="307" spans="1:1" ht="15.75" thickBot="1" x14ac:dyDescent="0.3">
      <c r="A307" s="10" t="s">
        <v>224</v>
      </c>
    </row>
    <row r="308" spans="1:1" ht="15.75" thickBot="1" x14ac:dyDescent="0.3">
      <c r="A308" s="10" t="s">
        <v>140</v>
      </c>
    </row>
    <row r="309" spans="1:1" ht="15.75" thickBot="1" x14ac:dyDescent="0.3">
      <c r="A309" s="10" t="s">
        <v>220</v>
      </c>
    </row>
    <row r="310" spans="1:1" ht="15.75" thickBot="1" x14ac:dyDescent="0.3">
      <c r="A310" s="10" t="s">
        <v>192</v>
      </c>
    </row>
    <row r="311" spans="1:1" ht="15.75" thickBot="1" x14ac:dyDescent="0.3">
      <c r="A311" s="10" t="s">
        <v>195</v>
      </c>
    </row>
    <row r="312" spans="1:1" x14ac:dyDescent="0.25">
      <c r="A312" s="10" t="s">
        <v>109</v>
      </c>
    </row>
    <row r="313" spans="1:1" ht="15.75" thickBot="1" x14ac:dyDescent="0.3">
      <c r="A313" s="12" t="s">
        <v>152</v>
      </c>
    </row>
    <row r="314" spans="1:1" ht="15.75" thickBot="1" x14ac:dyDescent="0.3">
      <c r="A314" s="10" t="s">
        <v>151</v>
      </c>
    </row>
    <row r="315" spans="1:1" ht="15.75" thickBot="1" x14ac:dyDescent="0.3">
      <c r="A315" s="10" t="s">
        <v>201</v>
      </c>
    </row>
    <row r="316" spans="1:1" ht="15.75" thickBot="1" x14ac:dyDescent="0.3">
      <c r="A316" s="10" t="s">
        <v>106</v>
      </c>
    </row>
    <row r="317" spans="1:1" ht="15.75" thickBot="1" x14ac:dyDescent="0.3">
      <c r="A317" s="10" t="s">
        <v>158</v>
      </c>
    </row>
    <row r="318" spans="1:1" ht="15.75" thickBot="1" x14ac:dyDescent="0.3">
      <c r="A318" s="10" t="s">
        <v>253</v>
      </c>
    </row>
    <row r="319" spans="1:1" ht="15.75" thickBot="1" x14ac:dyDescent="0.3">
      <c r="A319" s="10" t="s">
        <v>132</v>
      </c>
    </row>
    <row r="320" spans="1:1" ht="15.75" thickBot="1" x14ac:dyDescent="0.3">
      <c r="A320" s="10" t="s">
        <v>33</v>
      </c>
    </row>
    <row r="321" spans="1:1" ht="15.75" thickBot="1" x14ac:dyDescent="0.3">
      <c r="A321" s="10" t="s">
        <v>49</v>
      </c>
    </row>
    <row r="322" spans="1:1" ht="15.75" thickBot="1" x14ac:dyDescent="0.3">
      <c r="A322" s="10" t="s">
        <v>17</v>
      </c>
    </row>
    <row r="323" spans="1:1" ht="15.75" thickBot="1" x14ac:dyDescent="0.3">
      <c r="A323" s="10" t="s">
        <v>274</v>
      </c>
    </row>
    <row r="324" spans="1:1" ht="15.75" thickBot="1" x14ac:dyDescent="0.3">
      <c r="A324" s="10" t="s">
        <v>413</v>
      </c>
    </row>
    <row r="325" spans="1:1" ht="15.75" thickBot="1" x14ac:dyDescent="0.3">
      <c r="A325" s="10" t="s">
        <v>317</v>
      </c>
    </row>
    <row r="326" spans="1:1" ht="15.75" thickBot="1" x14ac:dyDescent="0.3">
      <c r="A326" s="10" t="s">
        <v>97</v>
      </c>
    </row>
    <row r="327" spans="1:1" ht="15.75" thickBot="1" x14ac:dyDescent="0.3">
      <c r="A327" s="10" t="s">
        <v>295</v>
      </c>
    </row>
    <row r="328" spans="1:1" ht="15.75" thickBot="1" x14ac:dyDescent="0.3">
      <c r="A328" s="10" t="s">
        <v>178</v>
      </c>
    </row>
    <row r="329" spans="1:1" ht="15.75" thickBot="1" x14ac:dyDescent="0.3">
      <c r="A329" s="10" t="s">
        <v>242</v>
      </c>
    </row>
    <row r="330" spans="1:1" ht="15.75" thickBot="1" x14ac:dyDescent="0.3">
      <c r="A330" s="10" t="s">
        <v>404</v>
      </c>
    </row>
    <row r="331" spans="1:1" ht="15.75" thickBot="1" x14ac:dyDescent="0.3">
      <c r="A331" s="10" t="s">
        <v>30</v>
      </c>
    </row>
    <row r="332" spans="1:1" ht="15.75" thickBot="1" x14ac:dyDescent="0.3">
      <c r="A332" s="10" t="s">
        <v>359</v>
      </c>
    </row>
    <row r="333" spans="1:1" ht="15.75" thickBot="1" x14ac:dyDescent="0.3">
      <c r="A333" s="10" t="s">
        <v>138</v>
      </c>
    </row>
    <row r="334" spans="1:1" ht="15.75" thickBot="1" x14ac:dyDescent="0.3">
      <c r="A334" s="10" t="s">
        <v>207</v>
      </c>
    </row>
    <row r="335" spans="1:1" ht="15.75" thickBot="1" x14ac:dyDescent="0.3">
      <c r="A335" s="10" t="s">
        <v>241</v>
      </c>
    </row>
    <row r="336" spans="1:1" ht="15.75" thickBot="1" x14ac:dyDescent="0.3">
      <c r="A336" s="10" t="s">
        <v>209</v>
      </c>
    </row>
    <row r="337" spans="1:1" x14ac:dyDescent="0.25">
      <c r="A337" s="10" t="s">
        <v>171</v>
      </c>
    </row>
    <row r="338" spans="1:1" ht="15.75" thickBot="1" x14ac:dyDescent="0.3">
      <c r="A338" s="12" t="s">
        <v>356</v>
      </c>
    </row>
    <row r="339" spans="1:1" ht="15.75" thickBot="1" x14ac:dyDescent="0.3">
      <c r="A339" s="10" t="s">
        <v>247</v>
      </c>
    </row>
    <row r="340" spans="1:1" ht="15.75" thickBot="1" x14ac:dyDescent="0.3">
      <c r="A340" s="10" t="s">
        <v>301</v>
      </c>
    </row>
    <row r="341" spans="1:1" ht="15.75" thickBot="1" x14ac:dyDescent="0.3">
      <c r="A341" s="10" t="s">
        <v>279</v>
      </c>
    </row>
    <row r="342" spans="1:1" ht="15.75" thickBot="1" x14ac:dyDescent="0.3">
      <c r="A342" s="10" t="s">
        <v>190</v>
      </c>
    </row>
    <row r="343" spans="1:1" ht="15.75" thickBot="1" x14ac:dyDescent="0.3">
      <c r="A343" s="10" t="s">
        <v>364</v>
      </c>
    </row>
    <row r="344" spans="1:1" ht="15.75" thickBot="1" x14ac:dyDescent="0.3">
      <c r="A344" s="10" t="s">
        <v>35</v>
      </c>
    </row>
    <row r="345" spans="1:1" ht="15.75" thickBot="1" x14ac:dyDescent="0.3">
      <c r="A345" s="10" t="s">
        <v>227</v>
      </c>
    </row>
    <row r="346" spans="1:1" ht="15.75" thickBot="1" x14ac:dyDescent="0.3">
      <c r="A346" s="10" t="s">
        <v>211</v>
      </c>
    </row>
    <row r="347" spans="1:1" ht="15.75" thickBot="1" x14ac:dyDescent="0.3">
      <c r="A347" s="10" t="s">
        <v>96</v>
      </c>
    </row>
    <row r="348" spans="1:1" ht="15.75" thickBot="1" x14ac:dyDescent="0.3">
      <c r="A348" s="10" t="s">
        <v>222</v>
      </c>
    </row>
    <row r="349" spans="1:1" ht="15.75" thickBot="1" x14ac:dyDescent="0.3">
      <c r="A349" s="10" t="s">
        <v>116</v>
      </c>
    </row>
    <row r="350" spans="1:1" ht="15.75" thickBot="1" x14ac:dyDescent="0.3">
      <c r="A350" s="10" t="s">
        <v>70</v>
      </c>
    </row>
    <row r="351" spans="1:1" ht="15.75" thickBot="1" x14ac:dyDescent="0.3">
      <c r="A351" s="10" t="s">
        <v>214</v>
      </c>
    </row>
    <row r="352" spans="1:1" x14ac:dyDescent="0.25">
      <c r="A352" s="10" t="s">
        <v>263</v>
      </c>
    </row>
    <row r="353" spans="1:1" ht="15.75" thickBot="1" x14ac:dyDescent="0.3">
      <c r="A353" s="12" t="s">
        <v>103</v>
      </c>
    </row>
    <row r="354" spans="1:1" ht="15.75" thickBot="1" x14ac:dyDescent="0.3">
      <c r="A354" s="10" t="s">
        <v>162</v>
      </c>
    </row>
    <row r="355" spans="1:1" ht="15.75" thickBot="1" x14ac:dyDescent="0.3">
      <c r="A355" s="10" t="s">
        <v>170</v>
      </c>
    </row>
    <row r="356" spans="1:1" ht="15.75" thickBot="1" x14ac:dyDescent="0.3">
      <c r="A356" s="10" t="s">
        <v>197</v>
      </c>
    </row>
    <row r="357" spans="1:1" ht="15.75" thickBot="1" x14ac:dyDescent="0.3">
      <c r="A357" s="10" t="s">
        <v>134</v>
      </c>
    </row>
    <row r="358" spans="1:1" ht="15.75" thickBot="1" x14ac:dyDescent="0.3">
      <c r="A358" s="10" t="s">
        <v>283</v>
      </c>
    </row>
    <row r="359" spans="1:1" ht="15.75" thickBot="1" x14ac:dyDescent="0.3">
      <c r="A359" s="10" t="s">
        <v>175</v>
      </c>
    </row>
    <row r="360" spans="1:1" ht="15.75" thickBot="1" x14ac:dyDescent="0.3">
      <c r="A360" s="10" t="s">
        <v>56</v>
      </c>
    </row>
    <row r="361" spans="1:1" ht="15.75" thickBot="1" x14ac:dyDescent="0.3">
      <c r="A361" s="10" t="s">
        <v>87</v>
      </c>
    </row>
    <row r="362" spans="1:1" ht="15.75" thickBot="1" x14ac:dyDescent="0.3">
      <c r="A362" s="10" t="s">
        <v>186</v>
      </c>
    </row>
    <row r="363" spans="1:1" ht="15.75" thickBot="1" x14ac:dyDescent="0.3">
      <c r="A363" s="10" t="s">
        <v>345</v>
      </c>
    </row>
    <row r="364" spans="1:1" ht="15.75" thickBot="1" x14ac:dyDescent="0.3">
      <c r="A364" s="10" t="s">
        <v>325</v>
      </c>
    </row>
    <row r="365" spans="1:1" ht="15.75" thickBot="1" x14ac:dyDescent="0.3">
      <c r="A365" s="10" t="s">
        <v>346</v>
      </c>
    </row>
    <row r="366" spans="1:1" ht="15.75" thickBot="1" x14ac:dyDescent="0.3">
      <c r="A366" s="10" t="s">
        <v>382</v>
      </c>
    </row>
    <row r="367" spans="1:1" ht="15.75" thickBot="1" x14ac:dyDescent="0.3">
      <c r="A367" s="10" t="s">
        <v>168</v>
      </c>
    </row>
    <row r="368" spans="1:1" ht="15.75" thickBot="1" x14ac:dyDescent="0.3">
      <c r="A368" s="10" t="s">
        <v>124</v>
      </c>
    </row>
    <row r="369" spans="1:1" ht="15.75" thickBot="1" x14ac:dyDescent="0.3">
      <c r="A369" s="10" t="s">
        <v>98</v>
      </c>
    </row>
    <row r="370" spans="1:1" ht="15.75" thickBot="1" x14ac:dyDescent="0.3">
      <c r="A370" s="10" t="s">
        <v>337</v>
      </c>
    </row>
    <row r="371" spans="1:1" ht="15.75" thickBot="1" x14ac:dyDescent="0.3">
      <c r="A371" s="10" t="s">
        <v>405</v>
      </c>
    </row>
    <row r="372" spans="1:1" ht="15.75" thickBot="1" x14ac:dyDescent="0.3">
      <c r="A372" s="10" t="s">
        <v>64</v>
      </c>
    </row>
    <row r="373" spans="1:1" ht="15.75" thickBot="1" x14ac:dyDescent="0.3">
      <c r="A373" s="10" t="s">
        <v>68</v>
      </c>
    </row>
    <row r="374" spans="1:1" ht="15.75" thickBot="1" x14ac:dyDescent="0.3">
      <c r="A374" s="10" t="s">
        <v>391</v>
      </c>
    </row>
    <row r="375" spans="1:1" ht="15.75" thickBot="1" x14ac:dyDescent="0.3">
      <c r="A375" s="10" t="s">
        <v>406</v>
      </c>
    </row>
    <row r="376" spans="1:1" ht="15.75" thickBot="1" x14ac:dyDescent="0.3">
      <c r="A376" s="10" t="s">
        <v>237</v>
      </c>
    </row>
    <row r="377" spans="1:1" ht="15.75" thickBot="1" x14ac:dyDescent="0.3">
      <c r="A377" s="10" t="s">
        <v>246</v>
      </c>
    </row>
    <row r="378" spans="1:1" ht="15.75" thickBot="1" x14ac:dyDescent="0.3">
      <c r="A378" s="10" t="s">
        <v>161</v>
      </c>
    </row>
    <row r="379" spans="1:1" ht="15.75" thickBot="1" x14ac:dyDescent="0.3">
      <c r="A379" s="10" t="s">
        <v>174</v>
      </c>
    </row>
    <row r="380" spans="1:1" ht="15.75" thickBot="1" x14ac:dyDescent="0.3">
      <c r="A380" s="10" t="s">
        <v>322</v>
      </c>
    </row>
    <row r="381" spans="1:1" ht="15.75" thickBot="1" x14ac:dyDescent="0.3">
      <c r="A381" s="10" t="s">
        <v>287</v>
      </c>
    </row>
    <row r="382" spans="1:1" ht="15.75" thickBot="1" x14ac:dyDescent="0.3">
      <c r="A382" s="10" t="s">
        <v>185</v>
      </c>
    </row>
    <row r="383" spans="1:1" ht="15.75" thickBot="1" x14ac:dyDescent="0.3">
      <c r="A383" s="10" t="s">
        <v>148</v>
      </c>
    </row>
    <row r="384" spans="1:1" ht="15.75" thickBot="1" x14ac:dyDescent="0.3">
      <c r="A384" s="10" t="s">
        <v>196</v>
      </c>
    </row>
    <row r="385" spans="1:1" ht="15.75" thickBot="1" x14ac:dyDescent="0.3">
      <c r="A385" s="10" t="s">
        <v>115</v>
      </c>
    </row>
    <row r="386" spans="1:1" ht="15.75" thickBot="1" x14ac:dyDescent="0.3">
      <c r="A386" s="10" t="s">
        <v>126</v>
      </c>
    </row>
    <row r="387" spans="1:1" ht="15.75" thickBot="1" x14ac:dyDescent="0.3">
      <c r="A387" s="10" t="s">
        <v>265</v>
      </c>
    </row>
    <row r="388" spans="1:1" ht="15.75" thickBot="1" x14ac:dyDescent="0.3">
      <c r="A388" s="10" t="s">
        <v>228</v>
      </c>
    </row>
    <row r="389" spans="1:1" ht="15.75" thickBot="1" x14ac:dyDescent="0.3">
      <c r="A389" s="10" t="s">
        <v>43</v>
      </c>
    </row>
    <row r="390" spans="1:1" ht="15.75" thickBot="1" x14ac:dyDescent="0.3">
      <c r="A390" s="10" t="s">
        <v>101</v>
      </c>
    </row>
    <row r="391" spans="1:1" ht="15.75" thickBot="1" x14ac:dyDescent="0.3">
      <c r="A391" s="10" t="s">
        <v>418</v>
      </c>
    </row>
    <row r="392" spans="1:1" ht="15.75" thickBot="1" x14ac:dyDescent="0.3">
      <c r="A392" s="10" t="s">
        <v>393</v>
      </c>
    </row>
    <row r="393" spans="1:1" ht="15.75" thickBot="1" x14ac:dyDescent="0.3">
      <c r="A393" s="10" t="s">
        <v>172</v>
      </c>
    </row>
    <row r="394" spans="1:1" ht="15.75" thickBot="1" x14ac:dyDescent="0.3">
      <c r="A394" s="10" t="s">
        <v>176</v>
      </c>
    </row>
    <row r="395" spans="1:1" ht="15.75" thickBot="1" x14ac:dyDescent="0.3">
      <c r="A395" s="10" t="s">
        <v>286</v>
      </c>
    </row>
    <row r="396" spans="1:1" ht="15.75" thickBot="1" x14ac:dyDescent="0.3">
      <c r="A396" s="10" t="s">
        <v>95</v>
      </c>
    </row>
    <row r="397" spans="1:1" ht="15.75" thickBot="1" x14ac:dyDescent="0.3">
      <c r="A397" s="10" t="s">
        <v>238</v>
      </c>
    </row>
    <row r="398" spans="1:1" ht="15.75" thickBot="1" x14ac:dyDescent="0.3">
      <c r="A398" s="10" t="s">
        <v>65</v>
      </c>
    </row>
    <row r="399" spans="1:1" ht="15.75" thickBot="1" x14ac:dyDescent="0.3">
      <c r="A399" s="10" t="s">
        <v>318</v>
      </c>
    </row>
    <row r="400" spans="1:1" ht="15.75" thickBot="1" x14ac:dyDescent="0.3">
      <c r="A400" s="10" t="s">
        <v>188</v>
      </c>
    </row>
    <row r="401" spans="1:1" ht="15.75" thickBot="1" x14ac:dyDescent="0.3">
      <c r="A401" s="10" t="s">
        <v>41</v>
      </c>
    </row>
    <row r="402" spans="1:1" ht="15.75" thickBot="1" x14ac:dyDescent="0.3">
      <c r="A402" s="10" t="s">
        <v>204</v>
      </c>
    </row>
    <row r="403" spans="1:1" ht="15.75" thickBot="1" x14ac:dyDescent="0.3">
      <c r="A403" s="10" t="s">
        <v>226</v>
      </c>
    </row>
    <row r="404" spans="1:1" ht="15.75" thickBot="1" x14ac:dyDescent="0.3">
      <c r="A404" s="10" t="s">
        <v>154</v>
      </c>
    </row>
    <row r="405" spans="1:1" ht="15.75" thickBot="1" x14ac:dyDescent="0.3">
      <c r="A405" s="10" t="s">
        <v>189</v>
      </c>
    </row>
    <row r="406" spans="1:1" ht="15.75" thickBot="1" x14ac:dyDescent="0.3">
      <c r="A406" s="10" t="s">
        <v>20</v>
      </c>
    </row>
    <row r="407" spans="1:1" ht="15.75" thickBot="1" x14ac:dyDescent="0.3">
      <c r="A407" s="10" t="s">
        <v>310</v>
      </c>
    </row>
    <row r="408" spans="1:1" ht="15.75" thickBot="1" x14ac:dyDescent="0.3">
      <c r="A408" s="10" t="s">
        <v>9</v>
      </c>
    </row>
    <row r="409" spans="1:1" ht="15.75" thickBot="1" x14ac:dyDescent="0.3">
      <c r="A409" s="10" t="s">
        <v>245</v>
      </c>
    </row>
    <row r="410" spans="1:1" ht="15.75" thickBot="1" x14ac:dyDescent="0.3">
      <c r="A410" s="10" t="s">
        <v>221</v>
      </c>
    </row>
    <row r="411" spans="1:1" ht="15.75" thickBot="1" x14ac:dyDescent="0.3">
      <c r="A411" s="10" t="s">
        <v>39</v>
      </c>
    </row>
    <row r="412" spans="1:1" ht="15.75" thickBot="1" x14ac:dyDescent="0.3">
      <c r="A412" s="10" t="s">
        <v>89</v>
      </c>
    </row>
    <row r="413" spans="1:1" ht="15.75" thickBot="1" x14ac:dyDescent="0.3">
      <c r="A413" s="10" t="s">
        <v>135</v>
      </c>
    </row>
    <row r="414" spans="1:1" ht="15.75" thickBot="1" x14ac:dyDescent="0.3">
      <c r="A414" s="10" t="s">
        <v>40</v>
      </c>
    </row>
    <row r="415" spans="1:1" ht="15.75" thickBot="1" x14ac:dyDescent="0.3">
      <c r="A415" s="10" t="s">
        <v>210</v>
      </c>
    </row>
    <row r="416" spans="1:1" ht="15.75" thickBot="1" x14ac:dyDescent="0.3">
      <c r="A416" s="10" t="s">
        <v>203</v>
      </c>
    </row>
    <row r="417" spans="1:1" ht="15.75" thickBot="1" x14ac:dyDescent="0.3">
      <c r="A417" s="10" t="s">
        <v>47</v>
      </c>
    </row>
    <row r="418" spans="1:1" x14ac:dyDescent="0.25">
      <c r="A418" s="10" t="s">
        <v>392</v>
      </c>
    </row>
    <row r="419" spans="1:1" ht="15.75" thickBot="1" x14ac:dyDescent="0.3">
      <c r="A419" s="12" t="s">
        <v>368</v>
      </c>
    </row>
    <row r="420" spans="1:1" ht="15.75" thickBot="1" x14ac:dyDescent="0.3">
      <c r="A420" s="10" t="s">
        <v>85</v>
      </c>
    </row>
    <row r="421" spans="1:1" ht="15.75" thickBot="1" x14ac:dyDescent="0.3">
      <c r="A421" s="10" t="s">
        <v>323</v>
      </c>
    </row>
    <row r="422" spans="1:1" ht="15.75" thickBot="1" x14ac:dyDescent="0.3">
      <c r="A422" s="10" t="s">
        <v>282</v>
      </c>
    </row>
    <row r="423" spans="1:1" x14ac:dyDescent="0.25">
      <c r="A423" s="10" t="s">
        <v>264</v>
      </c>
    </row>
  </sheetData>
  <sortState ref="A1:A653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15" x14ac:dyDescent="0.25"/>
  <sheetData>
    <row r="1" spans="1:1" x14ac:dyDescent="0.25">
      <c r="A1" t="s">
        <v>469</v>
      </c>
    </row>
    <row r="2" spans="1:1" x14ac:dyDescent="0.25">
      <c r="A2" t="s">
        <v>470</v>
      </c>
    </row>
    <row r="4" spans="1:1" x14ac:dyDescent="0.25">
      <c r="A4" t="s">
        <v>3</v>
      </c>
    </row>
    <row r="5" spans="1:1" x14ac:dyDescent="0.25">
      <c r="A5" t="str">
        <f>Dados!A11</f>
        <v>AALR3</v>
      </c>
    </row>
    <row r="6" spans="1:1" x14ac:dyDescent="0.25">
      <c r="A6" t="str">
        <f>Dados!A12</f>
        <v>ABCB4</v>
      </c>
    </row>
    <row r="7" spans="1:1" x14ac:dyDescent="0.25">
      <c r="A7" t="str">
        <f>Dados!A13</f>
        <v>ABEV3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0</v>
      </c>
      <c r="B1" t="s">
        <v>5</v>
      </c>
      <c r="C1" t="s">
        <v>6</v>
      </c>
      <c r="D1" t="s">
        <v>1</v>
      </c>
      <c r="E1" t="s">
        <v>2</v>
      </c>
      <c r="F1" t="s">
        <v>3</v>
      </c>
      <c r="G1" t="s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Parâmetros</vt:lpstr>
      <vt:lpstr>Dados</vt:lpstr>
      <vt:lpstr>Critérios</vt:lpstr>
      <vt:lpstr>Análise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VELLOSO LAPER</dc:creator>
  <cp:lastModifiedBy>FLAVIO VELLOSO LAPER</cp:lastModifiedBy>
  <dcterms:created xsi:type="dcterms:W3CDTF">2018-02-01T12:00:04Z</dcterms:created>
  <dcterms:modified xsi:type="dcterms:W3CDTF">2018-03-01T18:16:14Z</dcterms:modified>
</cp:coreProperties>
</file>